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tables/table15.xml" ContentType="application/vnd.openxmlformats-officedocument.spreadsheetml.tab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9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0.xml" ContentType="application/vnd.openxmlformats-officedocument.drawing+xml"/>
  <Override PartName="/xl/tables/table18.xml" ContentType="application/vnd.openxmlformats-officedocument.spreadsheetml.table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2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3.xml" ContentType="application/vnd.openxmlformats-officedocument.drawing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15.xml" ContentType="application/vnd.openxmlformats-officedocument.drawing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6.xml" ContentType="application/vnd.openxmlformats-officedocument.drawing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7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18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9.xml" ContentType="application/vnd.openxmlformats-officedocument.drawing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20.xml" ContentType="application/vnd.openxmlformats-officedocument.drawing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21.xml" ContentType="application/vnd.openxmlformats-officedocument.drawing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2.xml" ContentType="application/vnd.openxmlformats-officedocument.drawing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23.xml" ContentType="application/vnd.openxmlformats-officedocument.drawing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24.xml" ContentType="application/vnd.openxmlformats-officedocument.drawing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25.xml" ContentType="application/vnd.openxmlformats-officedocument.drawing+xml"/>
  <Override PartName="/xl/tables/table47.xml" ContentType="application/vnd.openxmlformats-officedocument.spreadsheetml.table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26.xml" ContentType="application/vnd.openxmlformats-officedocument.drawing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27.xml" ContentType="application/vnd.openxmlformats-officedocument.drawingml.chartshapes+xml"/>
  <Override PartName="/xl/charts/chart96.xml" ContentType="application/vnd.openxmlformats-officedocument.drawingml.chart+xml"/>
  <Override PartName="/xl/drawings/drawing28.xml" ContentType="application/vnd.openxmlformats-officedocument.drawing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29.xml" ContentType="application/vnd.openxmlformats-officedocument.drawing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drawings/drawing30.xml" ContentType="application/vnd.openxmlformats-officedocument.drawing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31.xml" ContentType="application/vnd.openxmlformats-officedocument.drawing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drawings/drawing32.xml" ContentType="application/vnd.openxmlformats-officedocument.drawing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drawings/drawing33.xml" ContentType="application/vnd.openxmlformats-officedocument.drawing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34.xml" ContentType="application/vnd.openxmlformats-officedocument.drawing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drawings/drawing35.xml" ContentType="application/vnd.openxmlformats-officedocument.drawing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 tabRatio="741" firstSheet="22" activeTab="35"/>
  </bookViews>
  <sheets>
    <sheet name="Atlantis" sheetId="1" r:id="rId1"/>
    <sheet name="Bandros" sheetId="2" r:id="rId2"/>
    <sheet name="Taufik" sheetId="3" r:id="rId3"/>
    <sheet name="Anip" sheetId="4" r:id="rId4"/>
    <sheet name="Puja" sheetId="5" r:id="rId5"/>
    <sheet name="Ade Gilang" sheetId="6" r:id="rId6"/>
    <sheet name="JM" sheetId="7" r:id="rId7"/>
    <sheet name="Kurnia Eka Jaya" sheetId="8" r:id="rId8"/>
    <sheet name="Wenpi" sheetId="9" r:id="rId9"/>
    <sheet name="Samsul Bahri" sheetId="10" r:id="rId10"/>
    <sheet name="Imas Jub" sheetId="11" r:id="rId11"/>
    <sheet name="Dedi K" sheetId="12" r:id="rId12"/>
    <sheet name="Muh Irfan" sheetId="13" r:id="rId13"/>
    <sheet name="Indra F" sheetId="14" r:id="rId14"/>
    <sheet name="Yuan" sheetId="15" r:id="rId15"/>
    <sheet name="Martin" sheetId="16" r:id="rId16"/>
    <sheet name="Misbah" sheetId="17" r:id="rId17"/>
    <sheet name="Chandra" sheetId="18" r:id="rId18"/>
    <sheet name="Asep Fahmi" sheetId="19" r:id="rId19"/>
    <sheet name="Takur" sheetId="20" r:id="rId20"/>
    <sheet name="Meki" sheetId="21" r:id="rId21"/>
    <sheet name="Dede M" sheetId="22" r:id="rId22"/>
    <sheet name="Mulana R" sheetId="23" r:id="rId23"/>
    <sheet name="Nillam" sheetId="24" r:id="rId24"/>
    <sheet name="Agus And" sheetId="25" r:id="rId25"/>
    <sheet name="Ligart" sheetId="26" r:id="rId26"/>
    <sheet name="Narnia" sheetId="27" r:id="rId27"/>
    <sheet name="Irmayanti" sheetId="28" r:id="rId28"/>
    <sheet name="Gunanjar" sheetId="29" r:id="rId29"/>
    <sheet name="Dirwan" sheetId="30" r:id="rId30"/>
    <sheet name="Asep Jenal" sheetId="31" r:id="rId31"/>
    <sheet name="LPM" sheetId="32" r:id="rId32"/>
    <sheet name="Bojes" sheetId="33" r:id="rId33"/>
    <sheet name="Mulyana" sheetId="34" r:id="rId34"/>
    <sheet name="Feri D" sheetId="35" r:id="rId35"/>
    <sheet name="Sheet1" sheetId="36" r:id="rId36"/>
  </sheets>
  <calcPr calcId="144525"/>
</workbook>
</file>

<file path=xl/calcChain.xml><?xml version="1.0" encoding="utf-8"?>
<calcChain xmlns="http://schemas.openxmlformats.org/spreadsheetml/2006/main">
  <c r="M7" i="30" l="1"/>
  <c r="N7" i="30"/>
  <c r="O7" i="30"/>
  <c r="P7" i="30"/>
  <c r="Q7" i="30"/>
  <c r="L7" i="30"/>
  <c r="D7" i="30"/>
  <c r="E7" i="30"/>
  <c r="F7" i="30"/>
  <c r="G7" i="30"/>
  <c r="H7" i="30"/>
  <c r="C7" i="30"/>
  <c r="M7" i="29"/>
  <c r="N7" i="29"/>
  <c r="O7" i="29"/>
  <c r="P7" i="29"/>
  <c r="Q7" i="29"/>
  <c r="L7" i="29"/>
  <c r="D7" i="29"/>
  <c r="E7" i="29"/>
  <c r="F7" i="29"/>
  <c r="G7" i="29"/>
  <c r="H7" i="29"/>
  <c r="C7" i="29"/>
  <c r="M7" i="34"/>
  <c r="N7" i="34"/>
  <c r="O7" i="34"/>
  <c r="P7" i="34"/>
  <c r="Q7" i="34"/>
  <c r="L7" i="34"/>
  <c r="D7" i="34"/>
  <c r="E7" i="34"/>
  <c r="F7" i="34"/>
  <c r="G7" i="34"/>
  <c r="H7" i="34"/>
  <c r="C7" i="34"/>
  <c r="M7" i="33"/>
  <c r="N7" i="33"/>
  <c r="O7" i="33"/>
  <c r="P7" i="33"/>
  <c r="Q7" i="33"/>
  <c r="L7" i="33"/>
  <c r="D7" i="33"/>
  <c r="E7" i="33"/>
  <c r="F7" i="33"/>
  <c r="G7" i="33"/>
  <c r="H7" i="33"/>
  <c r="C7" i="33"/>
  <c r="M7" i="32"/>
  <c r="N7" i="32"/>
  <c r="O7" i="32"/>
  <c r="P7" i="32"/>
  <c r="Q7" i="32"/>
  <c r="L7" i="32"/>
  <c r="D7" i="32"/>
  <c r="E7" i="32"/>
  <c r="F7" i="32"/>
  <c r="G7" i="32"/>
  <c r="H7" i="32"/>
  <c r="C7" i="32"/>
  <c r="M7" i="31"/>
  <c r="N7" i="31"/>
  <c r="O7" i="31"/>
  <c r="P7" i="31"/>
  <c r="Q7" i="31"/>
  <c r="L7" i="31"/>
  <c r="D7" i="31"/>
  <c r="E7" i="31"/>
  <c r="F7" i="31"/>
  <c r="G7" i="31"/>
  <c r="H7" i="31"/>
  <c r="C7" i="31"/>
  <c r="M7" i="28"/>
  <c r="N7" i="28"/>
  <c r="O7" i="28"/>
  <c r="P7" i="28"/>
  <c r="Q7" i="28"/>
  <c r="L7" i="28"/>
  <c r="D7" i="28"/>
  <c r="E7" i="28"/>
  <c r="F7" i="28"/>
  <c r="G7" i="28"/>
  <c r="H7" i="28"/>
  <c r="C7" i="28"/>
  <c r="M7" i="27"/>
  <c r="N7" i="27"/>
  <c r="O7" i="27"/>
  <c r="P7" i="27"/>
  <c r="Q7" i="27"/>
  <c r="L7" i="27"/>
  <c r="D7" i="27"/>
  <c r="E7" i="27"/>
  <c r="F7" i="27"/>
  <c r="G7" i="27"/>
  <c r="H7" i="27"/>
  <c r="C7" i="27"/>
  <c r="M7" i="25"/>
  <c r="N7" i="25"/>
  <c r="O7" i="25"/>
  <c r="P7" i="25"/>
  <c r="Q7" i="25"/>
  <c r="L7" i="25"/>
  <c r="D7" i="25"/>
  <c r="E7" i="25"/>
  <c r="F7" i="25"/>
  <c r="G7" i="25"/>
  <c r="H7" i="25"/>
  <c r="C7" i="25"/>
  <c r="M7" i="24"/>
  <c r="N7" i="24"/>
  <c r="O7" i="24"/>
  <c r="P7" i="24"/>
  <c r="Q7" i="24"/>
  <c r="L7" i="24"/>
  <c r="D7" i="24"/>
  <c r="E7" i="24"/>
  <c r="F7" i="24"/>
  <c r="G7" i="24"/>
  <c r="H7" i="24"/>
  <c r="C7" i="24"/>
  <c r="M7" i="23"/>
  <c r="N7" i="23"/>
  <c r="O7" i="23"/>
  <c r="P7" i="23"/>
  <c r="Q7" i="23"/>
  <c r="L7" i="23"/>
  <c r="D7" i="23"/>
  <c r="E7" i="23"/>
  <c r="F7" i="23"/>
  <c r="G7" i="23"/>
  <c r="H7" i="23"/>
  <c r="C7" i="23"/>
  <c r="M7" i="21"/>
  <c r="N7" i="21"/>
  <c r="O7" i="21"/>
  <c r="P7" i="21"/>
  <c r="Q7" i="21"/>
  <c r="L7" i="21"/>
  <c r="D7" i="21"/>
  <c r="E7" i="21"/>
  <c r="F7" i="21"/>
  <c r="G7" i="21"/>
  <c r="H7" i="21"/>
  <c r="C7" i="21"/>
  <c r="M7" i="20"/>
  <c r="N7" i="20"/>
  <c r="O7" i="20"/>
  <c r="P7" i="20"/>
  <c r="Q7" i="20"/>
  <c r="L7" i="20"/>
  <c r="D7" i="20"/>
  <c r="E7" i="20"/>
  <c r="F7" i="20"/>
  <c r="G7" i="20"/>
  <c r="H7" i="20"/>
  <c r="C7" i="20"/>
  <c r="M7" i="19"/>
  <c r="N7" i="19"/>
  <c r="O7" i="19"/>
  <c r="P7" i="19"/>
  <c r="Q7" i="19"/>
  <c r="L7" i="19"/>
  <c r="D7" i="19"/>
  <c r="E7" i="19"/>
  <c r="F7" i="19"/>
  <c r="G7" i="19"/>
  <c r="H7" i="19"/>
  <c r="C7" i="19"/>
  <c r="M7" i="18"/>
  <c r="N7" i="18"/>
  <c r="O7" i="18"/>
  <c r="P7" i="18"/>
  <c r="Q7" i="18"/>
  <c r="L7" i="18"/>
  <c r="D7" i="18"/>
  <c r="E7" i="18"/>
  <c r="F7" i="18"/>
  <c r="G7" i="18"/>
  <c r="H7" i="18"/>
  <c r="C7" i="18"/>
  <c r="M7" i="17"/>
  <c r="N7" i="17"/>
  <c r="O7" i="17"/>
  <c r="P7" i="17"/>
  <c r="Q7" i="17"/>
  <c r="L7" i="17"/>
  <c r="D7" i="17"/>
  <c r="E7" i="17"/>
  <c r="F7" i="17"/>
  <c r="G7" i="17"/>
  <c r="H7" i="17"/>
  <c r="C7" i="17"/>
  <c r="M7" i="16"/>
  <c r="N7" i="16"/>
  <c r="O7" i="16"/>
  <c r="P7" i="16"/>
  <c r="Q7" i="16"/>
  <c r="L7" i="16"/>
  <c r="D7" i="16"/>
  <c r="E7" i="16"/>
  <c r="F7" i="16"/>
  <c r="G7" i="16"/>
  <c r="H7" i="16"/>
  <c r="C7" i="16"/>
  <c r="M7" i="15"/>
  <c r="N7" i="15"/>
  <c r="O7" i="15"/>
  <c r="P7" i="15"/>
  <c r="Q7" i="15"/>
  <c r="L7" i="15"/>
  <c r="D7" i="15"/>
  <c r="E7" i="15"/>
  <c r="F7" i="15"/>
  <c r="G7" i="15"/>
  <c r="H7" i="15"/>
  <c r="C7" i="15"/>
  <c r="M7" i="14"/>
  <c r="N7" i="14"/>
  <c r="O7" i="14"/>
  <c r="P7" i="14"/>
  <c r="Q7" i="14"/>
  <c r="L7" i="14"/>
  <c r="D7" i="14"/>
  <c r="E7" i="14"/>
  <c r="F7" i="14"/>
  <c r="G7" i="14"/>
  <c r="H7" i="14"/>
  <c r="C7" i="14"/>
  <c r="M7" i="13"/>
  <c r="N7" i="13"/>
  <c r="O7" i="13"/>
  <c r="P7" i="13"/>
  <c r="Q7" i="13"/>
  <c r="L7" i="13"/>
  <c r="D7" i="13"/>
  <c r="E7" i="13"/>
  <c r="F7" i="13"/>
  <c r="G7" i="13"/>
  <c r="H7" i="13"/>
  <c r="C7" i="13"/>
  <c r="M7" i="12"/>
  <c r="N7" i="12"/>
  <c r="O7" i="12"/>
  <c r="P7" i="12"/>
  <c r="Q7" i="12"/>
  <c r="L7" i="12"/>
  <c r="D7" i="12"/>
  <c r="E7" i="12"/>
  <c r="F7" i="12"/>
  <c r="G7" i="12"/>
  <c r="H7" i="12"/>
  <c r="C7" i="12"/>
  <c r="M7" i="11"/>
  <c r="N7" i="11"/>
  <c r="O7" i="11"/>
  <c r="P7" i="11"/>
  <c r="Q7" i="11"/>
  <c r="L7" i="11"/>
  <c r="D7" i="11"/>
  <c r="E7" i="11"/>
  <c r="F7" i="11"/>
  <c r="G7" i="11"/>
  <c r="H7" i="11"/>
  <c r="C7" i="11"/>
  <c r="M7" i="9"/>
  <c r="N7" i="9"/>
  <c r="O7" i="9"/>
  <c r="P7" i="9"/>
  <c r="Q7" i="9"/>
  <c r="L7" i="9"/>
  <c r="D7" i="9"/>
  <c r="E7" i="9"/>
  <c r="F7" i="9"/>
  <c r="G7" i="9"/>
  <c r="H7" i="9"/>
  <c r="C7" i="9"/>
  <c r="M7" i="7"/>
  <c r="N7" i="7"/>
  <c r="O7" i="7"/>
  <c r="P7" i="7"/>
  <c r="Q7" i="7"/>
  <c r="L7" i="7"/>
  <c r="D7" i="7"/>
  <c r="E7" i="7"/>
  <c r="F7" i="7"/>
  <c r="G7" i="7"/>
  <c r="H7" i="7"/>
  <c r="C7" i="7"/>
  <c r="M7" i="6"/>
  <c r="N7" i="6"/>
  <c r="O7" i="6"/>
  <c r="P7" i="6"/>
  <c r="Q7" i="6"/>
  <c r="L7" i="6"/>
  <c r="D7" i="6"/>
  <c r="E7" i="6"/>
  <c r="F7" i="6"/>
  <c r="G7" i="6"/>
  <c r="H7" i="6"/>
  <c r="C7" i="6"/>
  <c r="M7" i="5"/>
  <c r="N7" i="5"/>
  <c r="O7" i="5"/>
  <c r="P7" i="5"/>
  <c r="Q7" i="5"/>
  <c r="L7" i="5"/>
  <c r="D7" i="5"/>
  <c r="E7" i="5"/>
  <c r="F7" i="5"/>
  <c r="G7" i="5"/>
  <c r="H7" i="5"/>
  <c r="C7" i="5"/>
  <c r="D7" i="4"/>
  <c r="E7" i="4"/>
  <c r="F7" i="4"/>
  <c r="G7" i="4"/>
  <c r="H7" i="4"/>
  <c r="C7" i="4"/>
  <c r="M7" i="3"/>
  <c r="N7" i="3"/>
  <c r="O7" i="3"/>
  <c r="P7" i="3"/>
  <c r="Q7" i="3"/>
  <c r="L7" i="3"/>
  <c r="D7" i="3"/>
  <c r="E7" i="3"/>
  <c r="F7" i="3"/>
  <c r="G7" i="3"/>
  <c r="H7" i="3"/>
  <c r="C7" i="3"/>
  <c r="M7" i="2"/>
  <c r="N7" i="2"/>
  <c r="O7" i="2"/>
  <c r="P7" i="2"/>
  <c r="Q7" i="2"/>
  <c r="L7" i="2"/>
  <c r="D7" i="2"/>
  <c r="E7" i="2"/>
  <c r="F7" i="2"/>
  <c r="G7" i="2"/>
  <c r="H7" i="2"/>
  <c r="C7" i="2"/>
  <c r="M7" i="1"/>
  <c r="N7" i="1"/>
  <c r="O7" i="1"/>
  <c r="P7" i="1"/>
  <c r="Q7" i="1"/>
  <c r="L7" i="1"/>
  <c r="F7" i="1"/>
  <c r="G7" i="1"/>
  <c r="H7" i="1"/>
  <c r="D7" i="1"/>
  <c r="E7" i="1"/>
  <c r="C7" i="1"/>
</calcChain>
</file>

<file path=xl/sharedStrings.xml><?xml version="1.0" encoding="utf-8"?>
<sst xmlns="http://schemas.openxmlformats.org/spreadsheetml/2006/main" count="578" uniqueCount="72">
  <si>
    <t>TAUFIK ST</t>
  </si>
  <si>
    <t>off</t>
  </si>
  <si>
    <t>Tanggal</t>
  </si>
  <si>
    <t>Pelanggan</t>
  </si>
  <si>
    <t>Nilai Jual</t>
  </si>
  <si>
    <t>Nilai Retur</t>
  </si>
  <si>
    <t>Jual Net</t>
  </si>
  <si>
    <t>Jumlah Jual</t>
  </si>
  <si>
    <t>Jumlah Retur</t>
  </si>
  <si>
    <t>Periode</t>
  </si>
  <si>
    <t>ANIP SANATA (ASSUNAH MART)</t>
  </si>
  <si>
    <t>Jual Net2</t>
  </si>
  <si>
    <t>Puja-Arcamanik</t>
  </si>
  <si>
    <t>Jaya Mandiri/ Asep Radjis</t>
  </si>
  <si>
    <t>Kurnia/ Eka Jaya (Cikarang)</t>
  </si>
  <si>
    <t>Wenpi Saragih</t>
  </si>
  <si>
    <t>Samsul Bahri (Ghaisan Collection)</t>
  </si>
  <si>
    <t>Imas Jubaedah - Kopo</t>
  </si>
  <si>
    <t>Dedei Kurniadi</t>
  </si>
  <si>
    <t>Muh Irfan Al Anshari</t>
  </si>
  <si>
    <t>Indra Fashion Bandung</t>
  </si>
  <si>
    <t>Ade Gilang Ramadhan</t>
  </si>
  <si>
    <t>Yuan Perdana</t>
  </si>
  <si>
    <t>Martin Sukiyono</t>
  </si>
  <si>
    <t>Misbah-Cibuntu</t>
  </si>
  <si>
    <t>Candra Bandung Store</t>
  </si>
  <si>
    <t>Asep Fahmi (Dian Jaya)</t>
  </si>
  <si>
    <t>Takur (Taufik Kurniawan)</t>
  </si>
  <si>
    <t>Meki Sandi Roliansyah</t>
  </si>
  <si>
    <t>Dede Mulyadi/ Pamulang</t>
  </si>
  <si>
    <t>Maulana Rohimat</t>
  </si>
  <si>
    <t>Nilam Collection</t>
  </si>
  <si>
    <t>Agus Andrianto</t>
  </si>
  <si>
    <t>Ligart Jaya</t>
  </si>
  <si>
    <t>Narnia</t>
  </si>
  <si>
    <t>Irmayati</t>
  </si>
  <si>
    <t>Gunanjar Ari Setiawan</t>
  </si>
  <si>
    <t>Dirwan</t>
  </si>
  <si>
    <t>Asep Jenal M</t>
  </si>
  <si>
    <t>Ledi Putra Mandiri (LPM)</t>
  </si>
  <si>
    <t>Bojes Kuningan</t>
  </si>
  <si>
    <t>Feri D Wahyudi</t>
  </si>
  <si>
    <t>Atlantis</t>
  </si>
  <si>
    <t>Arif Juliansyah (bandros)</t>
  </si>
  <si>
    <t>Mulyana Pamulang</t>
  </si>
  <si>
    <t>Bandros</t>
  </si>
  <si>
    <t>Taufik ST</t>
  </si>
  <si>
    <t>Puja</t>
  </si>
  <si>
    <t>Ade Gilang</t>
  </si>
  <si>
    <t>JM Sukabumi</t>
  </si>
  <si>
    <t>Wenpi</t>
  </si>
  <si>
    <t>Imas Jubaedah</t>
  </si>
  <si>
    <t>Dedi Kurniadi</t>
  </si>
  <si>
    <t>Indra Fashion</t>
  </si>
  <si>
    <t>Muh Irfan</t>
  </si>
  <si>
    <t>Yuan</t>
  </si>
  <si>
    <t>Martin</t>
  </si>
  <si>
    <t>Misbah</t>
  </si>
  <si>
    <t>Dian Jaya</t>
  </si>
  <si>
    <t>Chandra</t>
  </si>
  <si>
    <t>Takur</t>
  </si>
  <si>
    <t>Meki</t>
  </si>
  <si>
    <t>Mulana</t>
  </si>
  <si>
    <t>Nillam</t>
  </si>
  <si>
    <t>Irmayanti</t>
  </si>
  <si>
    <t>Gunanjar</t>
  </si>
  <si>
    <t>Asep Jenal</t>
  </si>
  <si>
    <t>LPM</t>
  </si>
  <si>
    <t>Bojes</t>
  </si>
  <si>
    <t>Mulyana</t>
  </si>
  <si>
    <t>No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</si>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</sst>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mmm/yy"/>
  </numFmts>
  <fonts count="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1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7" fontId="0" fillId="0" borderId="3" xfId="0" applyNumberForma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/>
    </xf>
    <xf numFmtId="17" fontId="0" fillId="0" borderId="0" xfId="0" applyNumberFormat="1"/>
    <xf numFmtId="3" fontId="0" fillId="0" borderId="4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0" fillId="0" borderId="8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41" fontId="0" fillId="0" borderId="0" xfId="1" applyFont="1"/>
    <xf numFmtId="3" fontId="1" fillId="0" borderId="0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41" fontId="6" fillId="0" borderId="0" xfId="1" applyFont="1" applyBorder="1" applyAlignment="1">
      <alignment vertical="center" wrapText="1"/>
    </xf>
    <xf numFmtId="41" fontId="6" fillId="0" borderId="0" xfId="1" applyFont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0" fillId="0" borderId="13" xfId="0" applyBorder="1"/>
    <xf numFmtId="41" fontId="0" fillId="0" borderId="0" xfId="1" applyFont="1" applyBorder="1"/>
    <xf numFmtId="41" fontId="0" fillId="0" borderId="14" xfId="1" applyFont="1" applyBorder="1"/>
    <xf numFmtId="41" fontId="6" fillId="0" borderId="14" xfId="1" applyFont="1" applyBorder="1" applyAlignment="1">
      <alignment vertical="center" wrapText="1"/>
    </xf>
    <xf numFmtId="0" fontId="0" fillId="0" borderId="15" xfId="0" applyBorder="1"/>
    <xf numFmtId="0" fontId="0" fillId="0" borderId="16" xfId="0" applyBorder="1"/>
    <xf numFmtId="41" fontId="0" fillId="0" borderId="16" xfId="1" applyFont="1" applyBorder="1"/>
    <xf numFmtId="41" fontId="0" fillId="0" borderId="17" xfId="1" applyFont="1" applyBorder="1"/>
    <xf numFmtId="41" fontId="0" fillId="0" borderId="13" xfId="1" applyFont="1" applyBorder="1"/>
    <xf numFmtId="0" fontId="0" fillId="0" borderId="0" xfId="1" applyNumberFormat="1" applyFont="1" applyBorder="1"/>
    <xf numFmtId="41" fontId="0" fillId="0" borderId="15" xfId="1" applyFont="1" applyBorder="1"/>
    <xf numFmtId="0" fontId="0" fillId="0" borderId="16" xfId="1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991"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mmm/yy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64" formatCode="mmm/yy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mmm/yy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64" formatCode="mmm/yy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mmm/yy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64" formatCode="mmm/yy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Atlantis!$C$3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Atlantis!$C$4:$C$6</c:f>
              <c:numCache>
                <c:formatCode>#,##0</c:formatCode>
                <c:ptCount val="3"/>
                <c:pt idx="0">
                  <c:v>143851488</c:v>
                </c:pt>
                <c:pt idx="1">
                  <c:v>169420913</c:v>
                </c:pt>
                <c:pt idx="2">
                  <c:v>273012425</c:v>
                </c:pt>
              </c:numCache>
            </c:numRef>
          </c:val>
        </c:ser>
        <c:ser>
          <c:idx val="1"/>
          <c:order val="1"/>
          <c:tx>
            <c:strRef>
              <c:f>Atlantis!$D$3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Atlantis!$D$4:$D$6</c:f>
              <c:numCache>
                <c:formatCode>#,##0</c:formatCode>
                <c:ptCount val="3"/>
                <c:pt idx="0">
                  <c:v>17109838</c:v>
                </c:pt>
                <c:pt idx="1">
                  <c:v>29690325</c:v>
                </c:pt>
                <c:pt idx="2">
                  <c:v>58608638</c:v>
                </c:pt>
              </c:numCache>
            </c:numRef>
          </c:val>
        </c:ser>
        <c:ser>
          <c:idx val="2"/>
          <c:order val="2"/>
          <c:tx>
            <c:strRef>
              <c:f>Atlantis!$E$3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Atlantis!$E$4:$E$6</c:f>
              <c:numCache>
                <c:formatCode>#,##0</c:formatCode>
                <c:ptCount val="3"/>
                <c:pt idx="0">
                  <c:v>126741650</c:v>
                </c:pt>
                <c:pt idx="1">
                  <c:v>139730588</c:v>
                </c:pt>
                <c:pt idx="2">
                  <c:v>214403788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987136"/>
        <c:axId val="110988672"/>
      </c:barChart>
      <c:dateAx>
        <c:axId val="11098713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0988672"/>
        <c:crosses val="autoZero"/>
        <c:auto val="1"/>
        <c:lblOffset val="100"/>
        <c:baseTimeUnit val="months"/>
      </c:dateAx>
      <c:valAx>
        <c:axId val="11098867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0987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Taufik!$L$3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0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Taufik!$L$4:$L$6</c:f>
              <c:numCache>
                <c:formatCode>#,##0</c:formatCode>
                <c:ptCount val="3"/>
                <c:pt idx="0">
                  <c:v>26641563</c:v>
                </c:pt>
                <c:pt idx="1">
                  <c:v>57203475</c:v>
                </c:pt>
                <c:pt idx="2">
                  <c:v>57623300</c:v>
                </c:pt>
              </c:numCache>
            </c:numRef>
          </c:val>
        </c:ser>
        <c:ser>
          <c:idx val="1"/>
          <c:order val="1"/>
          <c:tx>
            <c:strRef>
              <c:f>Taufik!$M$3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Taufik!$M$4:$M$6</c:f>
              <c:numCache>
                <c:formatCode>#,##0</c:formatCode>
                <c:ptCount val="3"/>
                <c:pt idx="0">
                  <c:v>2324000</c:v>
                </c:pt>
                <c:pt idx="1">
                  <c:v>5999525</c:v>
                </c:pt>
                <c:pt idx="2">
                  <c:v>6706000</c:v>
                </c:pt>
              </c:numCache>
            </c:numRef>
          </c:val>
        </c:ser>
        <c:ser>
          <c:idx val="2"/>
          <c:order val="2"/>
          <c:tx>
            <c:strRef>
              <c:f>Taufik!$N$3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Taufik!$N$4:$N$6</c:f>
              <c:numCache>
                <c:formatCode>#,##0</c:formatCode>
                <c:ptCount val="3"/>
                <c:pt idx="0">
                  <c:v>24317563</c:v>
                </c:pt>
                <c:pt idx="1">
                  <c:v>51203950</c:v>
                </c:pt>
                <c:pt idx="2">
                  <c:v>50917300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282432"/>
        <c:axId val="111300608"/>
      </c:barChart>
      <c:dateAx>
        <c:axId val="1112824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1300608"/>
        <c:crosses val="autoZero"/>
        <c:auto val="1"/>
        <c:lblOffset val="100"/>
        <c:baseTimeUnit val="months"/>
      </c:dateAx>
      <c:valAx>
        <c:axId val="1113006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1282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Irmayanti!$O$3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Irmayanti!$O$4:$O$6</c:f>
              <c:numCache>
                <c:formatCode>General</c:formatCode>
                <c:ptCount val="3"/>
                <c:pt idx="0">
                  <c:v>107</c:v>
                </c:pt>
                <c:pt idx="1">
                  <c:v>81</c:v>
                </c:pt>
                <c:pt idx="2">
                  <c:v>94</c:v>
                </c:pt>
              </c:numCache>
            </c:numRef>
          </c:val>
        </c:ser>
        <c:ser>
          <c:idx val="4"/>
          <c:order val="1"/>
          <c:tx>
            <c:strRef>
              <c:f>Irmayanti!$P$3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Irmayanti!$P$4:$P$6</c:f>
              <c:numCache>
                <c:formatCode>General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5"/>
          <c:order val="2"/>
          <c:tx>
            <c:strRef>
              <c:f>Irmayanti!$Q$3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Irmayanti!$Q$4:$Q$6</c:f>
              <c:numCache>
                <c:formatCode>General</c:formatCode>
                <c:ptCount val="3"/>
                <c:pt idx="0">
                  <c:v>93</c:v>
                </c:pt>
                <c:pt idx="1">
                  <c:v>81</c:v>
                </c:pt>
                <c:pt idx="2">
                  <c:v>91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826496"/>
        <c:axId val="120836480"/>
      </c:barChart>
      <c:dateAx>
        <c:axId val="1208264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836480"/>
        <c:crosses val="autoZero"/>
        <c:auto val="1"/>
        <c:lblOffset val="100"/>
        <c:baseTimeUnit val="months"/>
      </c:dateAx>
      <c:valAx>
        <c:axId val="120836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826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Gunanjar!$C$3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Gunanjar!$C$4:$C$6</c:f>
              <c:numCache>
                <c:formatCode>#,##0</c:formatCode>
                <c:ptCount val="3"/>
                <c:pt idx="0">
                  <c:v>5567538</c:v>
                </c:pt>
                <c:pt idx="1">
                  <c:v>8262188</c:v>
                </c:pt>
                <c:pt idx="2">
                  <c:v>16824675</c:v>
                </c:pt>
              </c:numCache>
            </c:numRef>
          </c:val>
        </c:ser>
        <c:ser>
          <c:idx val="1"/>
          <c:order val="1"/>
          <c:tx>
            <c:strRef>
              <c:f>Gunanjar!$D$3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Gunanjar!$D$4:$D$6</c:f>
              <c:numCache>
                <c:formatCode>#,##0</c:formatCode>
                <c:ptCount val="3"/>
                <c:pt idx="0">
                  <c:v>308875</c:v>
                </c:pt>
                <c:pt idx="1">
                  <c:v>794938</c:v>
                </c:pt>
                <c:pt idx="2">
                  <c:v>1037788</c:v>
                </c:pt>
              </c:numCache>
            </c:numRef>
          </c:val>
        </c:ser>
        <c:ser>
          <c:idx val="2"/>
          <c:order val="2"/>
          <c:tx>
            <c:strRef>
              <c:f>Gunanjar!$E$3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Gunanjar!$E$4:$E$6</c:f>
              <c:numCache>
                <c:formatCode>#,##0</c:formatCode>
                <c:ptCount val="3"/>
                <c:pt idx="0">
                  <c:v>5258663</c:v>
                </c:pt>
                <c:pt idx="1">
                  <c:v>7467250</c:v>
                </c:pt>
                <c:pt idx="2">
                  <c:v>15786888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452992"/>
        <c:axId val="118454528"/>
      </c:barChart>
      <c:dateAx>
        <c:axId val="11845299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454528"/>
        <c:crosses val="autoZero"/>
        <c:auto val="1"/>
        <c:lblOffset val="100"/>
        <c:baseTimeUnit val="months"/>
      </c:dateAx>
      <c:valAx>
        <c:axId val="1184545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8452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Gunanjar!$L$3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Gunanjar!$L$4:$L$6</c:f>
              <c:numCache>
                <c:formatCode>#,##0</c:formatCode>
                <c:ptCount val="3"/>
                <c:pt idx="0">
                  <c:v>11663400</c:v>
                </c:pt>
                <c:pt idx="1">
                  <c:v>15793838</c:v>
                </c:pt>
                <c:pt idx="2">
                  <c:v>37774713</c:v>
                </c:pt>
              </c:numCache>
            </c:numRef>
          </c:val>
        </c:ser>
        <c:ser>
          <c:idx val="1"/>
          <c:order val="1"/>
          <c:tx>
            <c:strRef>
              <c:f>Gunanjar!$M$3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Gunanjar!$M$4:$M$6</c:f>
              <c:numCache>
                <c:formatCode>#,##0</c:formatCode>
                <c:ptCount val="3"/>
                <c:pt idx="0">
                  <c:v>875088</c:v>
                </c:pt>
                <c:pt idx="1">
                  <c:v>429975</c:v>
                </c:pt>
                <c:pt idx="2">
                  <c:v>2279550</c:v>
                </c:pt>
              </c:numCache>
            </c:numRef>
          </c:val>
        </c:ser>
        <c:ser>
          <c:idx val="2"/>
          <c:order val="2"/>
          <c:tx>
            <c:strRef>
              <c:f>Gunanjar!$N$3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Gunanjar!$N$4:$N$6</c:f>
              <c:numCache>
                <c:formatCode>#,##0</c:formatCode>
                <c:ptCount val="3"/>
                <c:pt idx="0">
                  <c:v>10788313</c:v>
                </c:pt>
                <c:pt idx="1">
                  <c:v>15363863</c:v>
                </c:pt>
                <c:pt idx="2">
                  <c:v>35495163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267712"/>
        <c:axId val="121269248"/>
      </c:barChart>
      <c:dateAx>
        <c:axId val="12126771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1269248"/>
        <c:crosses val="autoZero"/>
        <c:auto val="1"/>
        <c:lblOffset val="100"/>
        <c:baseTimeUnit val="months"/>
      </c:dateAx>
      <c:valAx>
        <c:axId val="1212692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1267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Gunanjar!$F$3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Gunanjar!$F$4:$F$6</c:f>
              <c:numCache>
                <c:formatCode>General</c:formatCode>
                <c:ptCount val="3"/>
                <c:pt idx="0">
                  <c:v>55</c:v>
                </c:pt>
                <c:pt idx="1">
                  <c:v>77</c:v>
                </c:pt>
                <c:pt idx="2">
                  <c:v>156</c:v>
                </c:pt>
              </c:numCache>
            </c:numRef>
          </c:val>
        </c:ser>
        <c:ser>
          <c:idx val="4"/>
          <c:order val="1"/>
          <c:tx>
            <c:strRef>
              <c:f>Gunanjar!$G$3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Gunanjar!$G$4:$G$6</c:f>
              <c:numCache>
                <c:formatCode>General</c:formatCode>
                <c:ptCount val="3"/>
                <c:pt idx="0">
                  <c:v>3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</c:ser>
        <c:ser>
          <c:idx val="5"/>
          <c:order val="2"/>
          <c:tx>
            <c:strRef>
              <c:f>Gunanjar!$H$3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Gunanjar!$H$4:$H$6</c:f>
              <c:numCache>
                <c:formatCode>General</c:formatCode>
                <c:ptCount val="3"/>
                <c:pt idx="0">
                  <c:v>52</c:v>
                </c:pt>
                <c:pt idx="1">
                  <c:v>70</c:v>
                </c:pt>
                <c:pt idx="2">
                  <c:v>146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706752"/>
        <c:axId val="121712640"/>
      </c:barChart>
      <c:dateAx>
        <c:axId val="1217067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1712640"/>
        <c:crosses val="autoZero"/>
        <c:auto val="1"/>
        <c:lblOffset val="100"/>
        <c:baseTimeUnit val="months"/>
      </c:dateAx>
      <c:valAx>
        <c:axId val="121712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706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Gunanjar!$O$3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Gunanjar!$O$4:$O$6</c:f>
              <c:numCache>
                <c:formatCode>General</c:formatCode>
                <c:ptCount val="3"/>
                <c:pt idx="0">
                  <c:v>102</c:v>
                </c:pt>
                <c:pt idx="1">
                  <c:v>137</c:v>
                </c:pt>
                <c:pt idx="2">
                  <c:v>302</c:v>
                </c:pt>
              </c:numCache>
            </c:numRef>
          </c:val>
        </c:ser>
        <c:ser>
          <c:idx val="4"/>
          <c:order val="1"/>
          <c:tx>
            <c:strRef>
              <c:f>Gunanjar!$P$3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Gunanjar!$P$4:$P$6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17</c:v>
                </c:pt>
              </c:numCache>
            </c:numRef>
          </c:val>
        </c:ser>
        <c:ser>
          <c:idx val="5"/>
          <c:order val="2"/>
          <c:tx>
            <c:strRef>
              <c:f>Gunanjar!$Q$3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Gunanjar!$Q$4:$Q$6</c:f>
              <c:numCache>
                <c:formatCode>General</c:formatCode>
                <c:ptCount val="3"/>
                <c:pt idx="0">
                  <c:v>94</c:v>
                </c:pt>
                <c:pt idx="1">
                  <c:v>134</c:v>
                </c:pt>
                <c:pt idx="2">
                  <c:v>285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728000"/>
        <c:axId val="121832192"/>
      </c:barChart>
      <c:dateAx>
        <c:axId val="12172800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1832192"/>
        <c:crosses val="autoZero"/>
        <c:auto val="1"/>
        <c:lblOffset val="100"/>
        <c:baseTimeUnit val="months"/>
      </c:dateAx>
      <c:valAx>
        <c:axId val="12183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728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Dirwan!$L$3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Dirwan!$L$4:$L$6</c:f>
              <c:numCache>
                <c:formatCode>#,##0</c:formatCode>
                <c:ptCount val="3"/>
                <c:pt idx="0">
                  <c:v>2409925</c:v>
                </c:pt>
                <c:pt idx="1">
                  <c:v>6429938</c:v>
                </c:pt>
                <c:pt idx="2">
                  <c:v>4586225</c:v>
                </c:pt>
              </c:numCache>
            </c:numRef>
          </c:val>
        </c:ser>
        <c:ser>
          <c:idx val="1"/>
          <c:order val="1"/>
          <c:tx>
            <c:strRef>
              <c:f>Dirwan!$M$3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Dirwan!$M$4:$M$6</c:f>
              <c:numCache>
                <c:formatCode>#,##0</c:formatCode>
                <c:ptCount val="3"/>
                <c:pt idx="0">
                  <c:v>506538</c:v>
                </c:pt>
                <c:pt idx="1">
                  <c:v>1013150</c:v>
                </c:pt>
                <c:pt idx="2">
                  <c:v>1211000</c:v>
                </c:pt>
              </c:numCache>
            </c:numRef>
          </c:val>
        </c:ser>
        <c:ser>
          <c:idx val="2"/>
          <c:order val="2"/>
          <c:tx>
            <c:strRef>
              <c:f>Dirwan!$N$3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Dirwan!$N$4:$N$6</c:f>
              <c:numCache>
                <c:formatCode>#,##0</c:formatCode>
                <c:ptCount val="3"/>
                <c:pt idx="0">
                  <c:v>1903388</c:v>
                </c:pt>
                <c:pt idx="1">
                  <c:v>5416788</c:v>
                </c:pt>
                <c:pt idx="2">
                  <c:v>3375225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570432"/>
        <c:axId val="121571968"/>
      </c:barChart>
      <c:dateAx>
        <c:axId val="1215704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1571968"/>
        <c:crosses val="autoZero"/>
        <c:auto val="1"/>
        <c:lblOffset val="100"/>
        <c:baseTimeUnit val="months"/>
      </c:dateAx>
      <c:valAx>
        <c:axId val="12157196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1570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Dirwan!$C$3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mmm\-yy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Dirwan!$C$4:$C$5</c:f>
              <c:numCache>
                <c:formatCode>#,##0</c:formatCode>
                <c:ptCount val="2"/>
                <c:pt idx="0">
                  <c:v>24623288</c:v>
                </c:pt>
                <c:pt idx="1">
                  <c:v>45146938</c:v>
                </c:pt>
              </c:numCache>
            </c:numRef>
          </c:val>
        </c:ser>
        <c:ser>
          <c:idx val="1"/>
          <c:order val="1"/>
          <c:tx>
            <c:strRef>
              <c:f>Dirwan!$D$3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mmm\-yy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Dirwan!$D$4:$D$5</c:f>
              <c:numCache>
                <c:formatCode>#,##0</c:formatCode>
                <c:ptCount val="2"/>
                <c:pt idx="0">
                  <c:v>2825311</c:v>
                </c:pt>
                <c:pt idx="1">
                  <c:v>12013417</c:v>
                </c:pt>
              </c:numCache>
            </c:numRef>
          </c:val>
        </c:ser>
        <c:ser>
          <c:idx val="2"/>
          <c:order val="2"/>
          <c:tx>
            <c:strRef>
              <c:f>Dirwan!$E$3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mmm\-yy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Dirwan!$E$4:$E$5</c:f>
              <c:numCache>
                <c:formatCode>#,##0</c:formatCode>
                <c:ptCount val="2"/>
                <c:pt idx="0">
                  <c:v>21797977</c:v>
                </c:pt>
                <c:pt idx="1">
                  <c:v>33133521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616256"/>
        <c:axId val="121617792"/>
      </c:barChart>
      <c:dateAx>
        <c:axId val="12161625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1617792"/>
        <c:crosses val="autoZero"/>
        <c:auto val="1"/>
        <c:lblOffset val="100"/>
        <c:baseTimeUnit val="months"/>
      </c:dateAx>
      <c:valAx>
        <c:axId val="1216177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1616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Dirwan!$F$3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mmm\-yy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Dirwan!$F$4:$F$5</c:f>
              <c:numCache>
                <c:formatCode>General</c:formatCode>
                <c:ptCount val="2"/>
                <c:pt idx="0">
                  <c:v>226</c:v>
                </c:pt>
                <c:pt idx="1">
                  <c:v>423</c:v>
                </c:pt>
              </c:numCache>
            </c:numRef>
          </c:val>
        </c:ser>
        <c:ser>
          <c:idx val="4"/>
          <c:order val="1"/>
          <c:tx>
            <c:strRef>
              <c:f>Dirwan!$G$3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mmm\-yy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Dirwan!$G$4:$G$5</c:f>
              <c:numCache>
                <c:formatCode>General</c:formatCode>
                <c:ptCount val="2"/>
                <c:pt idx="0">
                  <c:v>42</c:v>
                </c:pt>
                <c:pt idx="1">
                  <c:v>82</c:v>
                </c:pt>
              </c:numCache>
            </c:numRef>
          </c:val>
        </c:ser>
        <c:ser>
          <c:idx val="5"/>
          <c:order val="2"/>
          <c:tx>
            <c:strRef>
              <c:f>Dirwan!$H$3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mmm\-yy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Dirwan!$H$4:$H$5</c:f>
              <c:numCache>
                <c:formatCode>General</c:formatCode>
                <c:ptCount val="2"/>
                <c:pt idx="0">
                  <c:v>184</c:v>
                </c:pt>
                <c:pt idx="1">
                  <c:v>341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666176"/>
        <c:axId val="121667968"/>
      </c:barChart>
      <c:dateAx>
        <c:axId val="1216661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1667968"/>
        <c:crosses val="autoZero"/>
        <c:auto val="1"/>
        <c:lblOffset val="100"/>
        <c:baseTimeUnit val="months"/>
      </c:dateAx>
      <c:valAx>
        <c:axId val="121667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666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Dirwan!$O$3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Dirwan!$O$4:$O$6</c:f>
              <c:numCache>
                <c:formatCode>General</c:formatCode>
                <c:ptCount val="3"/>
                <c:pt idx="0">
                  <c:v>24</c:v>
                </c:pt>
                <c:pt idx="1">
                  <c:v>67</c:v>
                </c:pt>
                <c:pt idx="2">
                  <c:v>46</c:v>
                </c:pt>
              </c:numCache>
            </c:numRef>
          </c:val>
        </c:ser>
        <c:ser>
          <c:idx val="4"/>
          <c:order val="1"/>
          <c:tx>
            <c:strRef>
              <c:f>Dirwan!$P$3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Dirwan!$P$4:$P$6</c:f>
              <c:numCache>
                <c:formatCode>General</c:formatCode>
                <c:ptCount val="3"/>
                <c:pt idx="0">
                  <c:v>4</c:v>
                </c:pt>
                <c:pt idx="1">
                  <c:v>11</c:v>
                </c:pt>
                <c:pt idx="2">
                  <c:v>16</c:v>
                </c:pt>
              </c:numCache>
            </c:numRef>
          </c:val>
        </c:ser>
        <c:ser>
          <c:idx val="5"/>
          <c:order val="2"/>
          <c:tx>
            <c:strRef>
              <c:f>Dirwan!$Q$3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Dirwan!$Q$4:$Q$6</c:f>
              <c:numCache>
                <c:formatCode>General</c:formatCode>
                <c:ptCount val="3"/>
                <c:pt idx="0">
                  <c:v>20</c:v>
                </c:pt>
                <c:pt idx="1">
                  <c:v>56</c:v>
                </c:pt>
                <c:pt idx="2">
                  <c:v>30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432896"/>
        <c:axId val="122451072"/>
      </c:barChart>
      <c:dateAx>
        <c:axId val="1224328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2451072"/>
        <c:crosses val="autoZero"/>
        <c:auto val="1"/>
        <c:lblOffset val="100"/>
        <c:baseTimeUnit val="months"/>
      </c:dateAx>
      <c:valAx>
        <c:axId val="12245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32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</a:t>
            </a:r>
            <a:r>
              <a:rPr lang="en-US" baseline="0"/>
              <a:t>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'Asep Jenal'!$C$3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Jenal'!$C$4:$C$6</c:f>
              <c:numCache>
                <c:formatCode>#,##0</c:formatCode>
                <c:ptCount val="3"/>
                <c:pt idx="0">
                  <c:v>3146675</c:v>
                </c:pt>
                <c:pt idx="1">
                  <c:v>20210488</c:v>
                </c:pt>
                <c:pt idx="2">
                  <c:v>44961613</c:v>
                </c:pt>
              </c:numCache>
            </c:numRef>
          </c:val>
        </c:ser>
        <c:ser>
          <c:idx val="1"/>
          <c:order val="1"/>
          <c:tx>
            <c:strRef>
              <c:f>'Asep Jenal'!$D$3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Jenal'!$D$4:$D$6</c:f>
              <c:numCache>
                <c:formatCode>#,##0</c:formatCode>
                <c:ptCount val="3"/>
                <c:pt idx="0">
                  <c:v>712950</c:v>
                </c:pt>
                <c:pt idx="1">
                  <c:v>921663</c:v>
                </c:pt>
                <c:pt idx="2">
                  <c:v>6261325</c:v>
                </c:pt>
              </c:numCache>
            </c:numRef>
          </c:val>
        </c:ser>
        <c:ser>
          <c:idx val="2"/>
          <c:order val="2"/>
          <c:tx>
            <c:strRef>
              <c:f>'Asep Jenal'!$E$3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Jenal'!$E$4:$E$6</c:f>
              <c:numCache>
                <c:formatCode>#,##0</c:formatCode>
                <c:ptCount val="3"/>
                <c:pt idx="0">
                  <c:v>2433725</c:v>
                </c:pt>
                <c:pt idx="1">
                  <c:v>19288825</c:v>
                </c:pt>
                <c:pt idx="2">
                  <c:v>38700288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029568"/>
        <c:axId val="122031104"/>
      </c:barChart>
      <c:dateAx>
        <c:axId val="12202956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2031104"/>
        <c:crosses val="autoZero"/>
        <c:auto val="1"/>
        <c:lblOffset val="100"/>
        <c:baseTimeUnit val="months"/>
      </c:dateAx>
      <c:valAx>
        <c:axId val="1220311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2029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Taufik!$F$3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Taufik!$B$4:$B$8</c:f>
              <c:numCache>
                <c:formatCode>mmm\-yy</c:formatCode>
                <c:ptCount val="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Taufik!$F$4:$F$8</c:f>
              <c:numCache>
                <c:formatCode>General</c:formatCode>
                <c:ptCount val="5"/>
                <c:pt idx="0">
                  <c:v>439</c:v>
                </c:pt>
                <c:pt idx="1">
                  <c:v>648</c:v>
                </c:pt>
                <c:pt idx="2">
                  <c:v>942</c:v>
                </c:pt>
                <c:pt idx="3" formatCode="#,##0">
                  <c:v>2029</c:v>
                </c:pt>
              </c:numCache>
            </c:numRef>
          </c:val>
        </c:ser>
        <c:ser>
          <c:idx val="4"/>
          <c:order val="1"/>
          <c:tx>
            <c:strRef>
              <c:f>Taufik!$G$3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Taufik!$B$4:$B$8</c:f>
              <c:numCache>
                <c:formatCode>mmm\-yy</c:formatCode>
                <c:ptCount val="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Taufik!$G$4:$G$8</c:f>
              <c:numCache>
                <c:formatCode>General</c:formatCode>
                <c:ptCount val="5"/>
                <c:pt idx="0">
                  <c:v>67</c:v>
                </c:pt>
                <c:pt idx="1">
                  <c:v>83</c:v>
                </c:pt>
                <c:pt idx="2">
                  <c:v>169</c:v>
                </c:pt>
                <c:pt idx="3" formatCode="#,##0">
                  <c:v>319</c:v>
                </c:pt>
              </c:numCache>
            </c:numRef>
          </c:val>
        </c:ser>
        <c:ser>
          <c:idx val="5"/>
          <c:order val="2"/>
          <c:tx>
            <c:strRef>
              <c:f>Taufik!$H$3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Taufik!$B$4:$B$8</c:f>
              <c:numCache>
                <c:formatCode>mmm\-yy</c:formatCode>
                <c:ptCount val="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Taufik!$H$4:$H$8</c:f>
              <c:numCache>
                <c:formatCode>General</c:formatCode>
                <c:ptCount val="5"/>
                <c:pt idx="0">
                  <c:v>372</c:v>
                </c:pt>
                <c:pt idx="1">
                  <c:v>565</c:v>
                </c:pt>
                <c:pt idx="2">
                  <c:v>773</c:v>
                </c:pt>
                <c:pt idx="3" formatCode="#,##0">
                  <c:v>1710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332352"/>
        <c:axId val="111342336"/>
      </c:barChart>
      <c:dateAx>
        <c:axId val="1113323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1342336"/>
        <c:crosses val="autoZero"/>
        <c:auto val="1"/>
        <c:lblOffset val="100"/>
        <c:baseTimeUnit val="months"/>
      </c:dateAx>
      <c:valAx>
        <c:axId val="111342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1332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'Asep Jenal'!$L$3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Jenal'!$L$4:$L$6</c:f>
              <c:numCache>
                <c:formatCode>#,##0</c:formatCode>
                <c:ptCount val="3"/>
                <c:pt idx="0">
                  <c:v>6872950</c:v>
                </c:pt>
                <c:pt idx="1">
                  <c:v>14620463</c:v>
                </c:pt>
                <c:pt idx="2">
                  <c:v>32090363</c:v>
                </c:pt>
              </c:numCache>
            </c:numRef>
          </c:val>
        </c:ser>
        <c:ser>
          <c:idx val="1"/>
          <c:order val="1"/>
          <c:tx>
            <c:strRef>
              <c:f>'Asep Jenal'!$M$3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Jenal'!$M$4:$M$6</c:f>
              <c:numCache>
                <c:formatCode>#,##0</c:formatCode>
                <c:ptCount val="3"/>
                <c:pt idx="0">
                  <c:v>1908975</c:v>
                </c:pt>
                <c:pt idx="1">
                  <c:v>1478750</c:v>
                </c:pt>
                <c:pt idx="2">
                  <c:v>5673138</c:v>
                </c:pt>
              </c:numCache>
            </c:numRef>
          </c:val>
        </c:ser>
        <c:ser>
          <c:idx val="2"/>
          <c:order val="2"/>
          <c:tx>
            <c:strRef>
              <c:f>'Asep Jenal'!$N$3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Jenal'!$N$4:$N$6</c:f>
              <c:numCache>
                <c:formatCode>#,##0</c:formatCode>
                <c:ptCount val="3"/>
                <c:pt idx="0">
                  <c:v>4963975</c:v>
                </c:pt>
                <c:pt idx="1">
                  <c:v>13141713</c:v>
                </c:pt>
                <c:pt idx="2">
                  <c:v>26417225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095872"/>
        <c:axId val="122105856"/>
      </c:barChart>
      <c:dateAx>
        <c:axId val="12209587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2105856"/>
        <c:crosses val="autoZero"/>
        <c:auto val="1"/>
        <c:lblOffset val="100"/>
        <c:baseTimeUnit val="months"/>
      </c:dateAx>
      <c:valAx>
        <c:axId val="12210585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2095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'Asep Jenal'!$F$3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Jenal'!$F$4:$F$6</c:f>
              <c:numCache>
                <c:formatCode>General</c:formatCode>
                <c:ptCount val="3"/>
                <c:pt idx="0">
                  <c:v>34</c:v>
                </c:pt>
                <c:pt idx="1">
                  <c:v>183</c:v>
                </c:pt>
                <c:pt idx="2">
                  <c:v>413</c:v>
                </c:pt>
              </c:numCache>
            </c:numRef>
          </c:val>
        </c:ser>
        <c:ser>
          <c:idx val="4"/>
          <c:order val="1"/>
          <c:tx>
            <c:strRef>
              <c:f>'Asep Jenal'!$G$3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Jenal'!$G$4:$G$6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52</c:v>
                </c:pt>
              </c:numCache>
            </c:numRef>
          </c:val>
        </c:ser>
        <c:ser>
          <c:idx val="5"/>
          <c:order val="2"/>
          <c:tx>
            <c:strRef>
              <c:f>'Asep Jenal'!$H$3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Jenal'!$H$4:$H$6</c:f>
              <c:numCache>
                <c:formatCode>General</c:formatCode>
                <c:ptCount val="3"/>
                <c:pt idx="0">
                  <c:v>26</c:v>
                </c:pt>
                <c:pt idx="1">
                  <c:v>175</c:v>
                </c:pt>
                <c:pt idx="2">
                  <c:v>361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125312"/>
        <c:axId val="122139392"/>
      </c:barChart>
      <c:dateAx>
        <c:axId val="12212531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2139392"/>
        <c:crosses val="autoZero"/>
        <c:auto val="1"/>
        <c:lblOffset val="100"/>
        <c:baseTimeUnit val="months"/>
      </c:dateAx>
      <c:valAx>
        <c:axId val="1221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125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'Asep Jenal'!$O$3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Jenal'!$O$4:$O$6</c:f>
              <c:numCache>
                <c:formatCode>General</c:formatCode>
                <c:ptCount val="3"/>
                <c:pt idx="0">
                  <c:v>76</c:v>
                </c:pt>
                <c:pt idx="1">
                  <c:v>134</c:v>
                </c:pt>
                <c:pt idx="2">
                  <c:v>294</c:v>
                </c:pt>
              </c:numCache>
            </c:numRef>
          </c:val>
        </c:ser>
        <c:ser>
          <c:idx val="4"/>
          <c:order val="1"/>
          <c:tx>
            <c:strRef>
              <c:f>'Asep Jenal'!$P$3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Jenal'!$P$4:$P$6</c:f>
              <c:numCache>
                <c:formatCode>General</c:formatCode>
                <c:ptCount val="3"/>
                <c:pt idx="0">
                  <c:v>19</c:v>
                </c:pt>
                <c:pt idx="1">
                  <c:v>15</c:v>
                </c:pt>
                <c:pt idx="2">
                  <c:v>50</c:v>
                </c:pt>
              </c:numCache>
            </c:numRef>
          </c:val>
        </c:ser>
        <c:ser>
          <c:idx val="5"/>
          <c:order val="2"/>
          <c:tx>
            <c:strRef>
              <c:f>'Asep Jenal'!$Q$3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Jenal'!$Q$4:$Q$6</c:f>
              <c:numCache>
                <c:formatCode>General</c:formatCode>
                <c:ptCount val="3"/>
                <c:pt idx="0">
                  <c:v>57</c:v>
                </c:pt>
                <c:pt idx="1">
                  <c:v>119</c:v>
                </c:pt>
                <c:pt idx="2">
                  <c:v>244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249216"/>
        <c:axId val="122250752"/>
      </c:barChart>
      <c:dateAx>
        <c:axId val="12224921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2250752"/>
        <c:crosses val="autoZero"/>
        <c:auto val="1"/>
        <c:lblOffset val="100"/>
        <c:baseTimeUnit val="months"/>
      </c:dateAx>
      <c:valAx>
        <c:axId val="122250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249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LPM!$C$3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LPM!$C$4:$C$6</c:f>
              <c:numCache>
                <c:formatCode>#,##0</c:formatCode>
                <c:ptCount val="3"/>
                <c:pt idx="0">
                  <c:v>4833200</c:v>
                </c:pt>
                <c:pt idx="1">
                  <c:v>10282800</c:v>
                </c:pt>
                <c:pt idx="2">
                  <c:v>17309800</c:v>
                </c:pt>
              </c:numCache>
            </c:numRef>
          </c:val>
        </c:ser>
        <c:ser>
          <c:idx val="1"/>
          <c:order val="1"/>
          <c:tx>
            <c:strRef>
              <c:f>LPM!$D$3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LPM!$D$4:$D$6</c:f>
              <c:numCache>
                <c:formatCode>#,##0</c:formatCode>
                <c:ptCount val="3"/>
                <c:pt idx="0">
                  <c:v>1075600</c:v>
                </c:pt>
                <c:pt idx="1">
                  <c:v>718100</c:v>
                </c:pt>
                <c:pt idx="2">
                  <c:v>3194300</c:v>
                </c:pt>
              </c:numCache>
            </c:numRef>
          </c:val>
        </c:ser>
        <c:ser>
          <c:idx val="2"/>
          <c:order val="2"/>
          <c:tx>
            <c:strRef>
              <c:f>LPM!$E$3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LPM!$E$4:$E$6</c:f>
              <c:numCache>
                <c:formatCode>#,##0</c:formatCode>
                <c:ptCount val="3"/>
                <c:pt idx="0">
                  <c:v>3757600</c:v>
                </c:pt>
                <c:pt idx="1">
                  <c:v>9564700</c:v>
                </c:pt>
                <c:pt idx="2">
                  <c:v>14115500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041664"/>
        <c:axId val="123043200"/>
      </c:barChart>
      <c:dateAx>
        <c:axId val="1230416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3043200"/>
        <c:crosses val="autoZero"/>
        <c:auto val="1"/>
        <c:lblOffset val="100"/>
        <c:baseTimeUnit val="months"/>
      </c:dateAx>
      <c:valAx>
        <c:axId val="1230432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304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LPM!$L$3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LPM!$L$4:$L$6</c:f>
              <c:numCache>
                <c:formatCode>#,##0</c:formatCode>
                <c:ptCount val="3"/>
                <c:pt idx="0">
                  <c:v>5364000</c:v>
                </c:pt>
                <c:pt idx="1">
                  <c:v>4971800</c:v>
                </c:pt>
                <c:pt idx="2">
                  <c:v>4598400</c:v>
                </c:pt>
              </c:numCache>
            </c:numRef>
          </c:val>
        </c:ser>
        <c:ser>
          <c:idx val="1"/>
          <c:order val="1"/>
          <c:tx>
            <c:strRef>
              <c:f>LPM!$M$3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LPM!$M$4:$M$6</c:f>
              <c:numCache>
                <c:formatCode>#,##0</c:formatCode>
                <c:ptCount val="3"/>
                <c:pt idx="0">
                  <c:v>1970000</c:v>
                </c:pt>
                <c:pt idx="1">
                  <c:v>415100</c:v>
                </c:pt>
                <c:pt idx="2">
                  <c:v>814600</c:v>
                </c:pt>
              </c:numCache>
            </c:numRef>
          </c:val>
        </c:ser>
        <c:ser>
          <c:idx val="2"/>
          <c:order val="2"/>
          <c:tx>
            <c:strRef>
              <c:f>LPM!$N$3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LPM!$N$4:$N$6</c:f>
              <c:numCache>
                <c:formatCode>#,##0</c:formatCode>
                <c:ptCount val="3"/>
                <c:pt idx="0">
                  <c:v>3394000</c:v>
                </c:pt>
                <c:pt idx="1">
                  <c:v>4556700</c:v>
                </c:pt>
                <c:pt idx="2">
                  <c:v>3783800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091584"/>
        <c:axId val="123117952"/>
      </c:barChart>
      <c:dateAx>
        <c:axId val="12309158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3117952"/>
        <c:crosses val="autoZero"/>
        <c:auto val="1"/>
        <c:lblOffset val="100"/>
        <c:baseTimeUnit val="months"/>
      </c:dateAx>
      <c:valAx>
        <c:axId val="12311795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3091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LPM!$F$3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LPM!$F$4:$F$6</c:f>
              <c:numCache>
                <c:formatCode>General</c:formatCode>
                <c:ptCount val="3"/>
                <c:pt idx="0">
                  <c:v>47</c:v>
                </c:pt>
                <c:pt idx="1">
                  <c:v>83</c:v>
                </c:pt>
                <c:pt idx="2">
                  <c:v>144</c:v>
                </c:pt>
              </c:numCache>
            </c:numRef>
          </c:val>
        </c:ser>
        <c:ser>
          <c:idx val="4"/>
          <c:order val="1"/>
          <c:tx>
            <c:strRef>
              <c:f>LPM!$G$3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LPM!$G$4:$G$6</c:f>
              <c:numCache>
                <c:formatCode>General</c:formatCode>
                <c:ptCount val="3"/>
                <c:pt idx="0">
                  <c:v>9</c:v>
                </c:pt>
                <c:pt idx="1">
                  <c:v>6</c:v>
                </c:pt>
                <c:pt idx="2">
                  <c:v>25</c:v>
                </c:pt>
              </c:numCache>
            </c:numRef>
          </c:val>
        </c:ser>
        <c:ser>
          <c:idx val="5"/>
          <c:order val="2"/>
          <c:tx>
            <c:strRef>
              <c:f>LPM!$H$3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LPM!$H$4:$H$6</c:f>
              <c:numCache>
                <c:formatCode>General</c:formatCode>
                <c:ptCount val="3"/>
                <c:pt idx="0">
                  <c:v>38</c:v>
                </c:pt>
                <c:pt idx="1">
                  <c:v>77</c:v>
                </c:pt>
                <c:pt idx="2">
                  <c:v>119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141504"/>
        <c:axId val="122766464"/>
      </c:barChart>
      <c:dateAx>
        <c:axId val="12314150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2766464"/>
        <c:crosses val="autoZero"/>
        <c:auto val="1"/>
        <c:lblOffset val="100"/>
        <c:baseTimeUnit val="months"/>
      </c:dateAx>
      <c:valAx>
        <c:axId val="12276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41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LPM!$O$3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LPM!$O$4:$O$6</c:f>
              <c:numCache>
                <c:formatCode>General</c:formatCode>
                <c:ptCount val="3"/>
                <c:pt idx="0">
                  <c:v>49</c:v>
                </c:pt>
                <c:pt idx="1">
                  <c:v>42</c:v>
                </c:pt>
                <c:pt idx="2">
                  <c:v>38</c:v>
                </c:pt>
              </c:numCache>
            </c:numRef>
          </c:val>
        </c:ser>
        <c:ser>
          <c:idx val="4"/>
          <c:order val="1"/>
          <c:tx>
            <c:strRef>
              <c:f>LPM!$P$3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LPM!$P$4:$P$6</c:f>
              <c:numCache>
                <c:formatCode>General</c:formatCode>
                <c:ptCount val="3"/>
                <c:pt idx="0">
                  <c:v>16</c:v>
                </c:pt>
                <c:pt idx="1">
                  <c:v>5</c:v>
                </c:pt>
                <c:pt idx="2">
                  <c:v>11</c:v>
                </c:pt>
              </c:numCache>
            </c:numRef>
          </c:val>
        </c:ser>
        <c:ser>
          <c:idx val="5"/>
          <c:order val="2"/>
          <c:tx>
            <c:strRef>
              <c:f>LPM!$Q$3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LPM!$Q$4:$Q$6</c:f>
              <c:numCache>
                <c:formatCode>General</c:formatCode>
                <c:ptCount val="3"/>
                <c:pt idx="0">
                  <c:v>33</c:v>
                </c:pt>
                <c:pt idx="1">
                  <c:v>37</c:v>
                </c:pt>
                <c:pt idx="2">
                  <c:v>27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810752"/>
        <c:axId val="122812288"/>
      </c:barChart>
      <c:dateAx>
        <c:axId val="1228107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2812288"/>
        <c:crosses val="autoZero"/>
        <c:auto val="1"/>
        <c:lblOffset val="100"/>
        <c:baseTimeUnit val="months"/>
      </c:dateAx>
      <c:valAx>
        <c:axId val="122812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810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Bojes!$C$3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Bojes!$C$4:$C$6</c:f>
              <c:numCache>
                <c:formatCode>#,##0</c:formatCode>
                <c:ptCount val="3"/>
                <c:pt idx="0">
                  <c:v>5017863</c:v>
                </c:pt>
                <c:pt idx="1">
                  <c:v>10587588</c:v>
                </c:pt>
                <c:pt idx="2">
                  <c:v>43376288</c:v>
                </c:pt>
              </c:numCache>
            </c:numRef>
          </c:val>
        </c:ser>
        <c:ser>
          <c:idx val="1"/>
          <c:order val="1"/>
          <c:tx>
            <c:strRef>
              <c:f>Bojes!$D$3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Bojes!$D$4:$D$6</c:f>
              <c:numCache>
                <c:formatCode>#,##0</c:formatCode>
                <c:ptCount val="3"/>
                <c:pt idx="0">
                  <c:v>1970063</c:v>
                </c:pt>
                <c:pt idx="1">
                  <c:v>2531375</c:v>
                </c:pt>
                <c:pt idx="2">
                  <c:v>8443488</c:v>
                </c:pt>
              </c:numCache>
            </c:numRef>
          </c:val>
        </c:ser>
        <c:ser>
          <c:idx val="2"/>
          <c:order val="2"/>
          <c:tx>
            <c:strRef>
              <c:f>Bojes!$E$3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Bojes!$E$4:$E$6</c:f>
              <c:numCache>
                <c:formatCode>#,##0</c:formatCode>
                <c:ptCount val="3"/>
                <c:pt idx="0">
                  <c:v>3047800</c:v>
                </c:pt>
                <c:pt idx="1">
                  <c:v>8056213</c:v>
                </c:pt>
                <c:pt idx="2">
                  <c:v>34932800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530048"/>
        <c:axId val="122540032"/>
      </c:barChart>
      <c:dateAx>
        <c:axId val="12253004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2540032"/>
        <c:crosses val="autoZero"/>
        <c:auto val="1"/>
        <c:lblOffset val="100"/>
        <c:baseTimeUnit val="months"/>
      </c:dateAx>
      <c:valAx>
        <c:axId val="1225400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2530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Bojes!$L$3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Bojes!$L$4:$L$6</c:f>
              <c:numCache>
                <c:formatCode>#,##0</c:formatCode>
                <c:ptCount val="3"/>
                <c:pt idx="0">
                  <c:v>6196750</c:v>
                </c:pt>
                <c:pt idx="1">
                  <c:v>14585113</c:v>
                </c:pt>
                <c:pt idx="2">
                  <c:v>16286900</c:v>
                </c:pt>
              </c:numCache>
            </c:numRef>
          </c:val>
        </c:ser>
        <c:ser>
          <c:idx val="1"/>
          <c:order val="1"/>
          <c:tx>
            <c:strRef>
              <c:f>Bojes!$M$3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Bojes!$M$4:$M$6</c:f>
              <c:numCache>
                <c:formatCode>#,##0</c:formatCode>
                <c:ptCount val="3"/>
                <c:pt idx="0">
                  <c:v>1357913</c:v>
                </c:pt>
                <c:pt idx="1">
                  <c:v>5058638</c:v>
                </c:pt>
                <c:pt idx="2">
                  <c:v>4386122</c:v>
                </c:pt>
              </c:numCache>
            </c:numRef>
          </c:val>
        </c:ser>
        <c:ser>
          <c:idx val="2"/>
          <c:order val="2"/>
          <c:tx>
            <c:strRef>
              <c:f>Bojes!$N$3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Bojes!$N$4:$N$6</c:f>
              <c:numCache>
                <c:formatCode>#,##0</c:formatCode>
                <c:ptCount val="3"/>
                <c:pt idx="0">
                  <c:v>4838838</c:v>
                </c:pt>
                <c:pt idx="1">
                  <c:v>9526475</c:v>
                </c:pt>
                <c:pt idx="2">
                  <c:v>11900779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311360"/>
        <c:axId val="119317248"/>
      </c:barChart>
      <c:dateAx>
        <c:axId val="11931136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9317248"/>
        <c:crosses val="autoZero"/>
        <c:auto val="1"/>
        <c:lblOffset val="100"/>
        <c:baseTimeUnit val="months"/>
      </c:dateAx>
      <c:valAx>
        <c:axId val="1193172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9311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Bojes!$F$3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Bojes!$F$4:$F$6</c:f>
              <c:numCache>
                <c:formatCode>General</c:formatCode>
                <c:ptCount val="3"/>
                <c:pt idx="0">
                  <c:v>51</c:v>
                </c:pt>
                <c:pt idx="1">
                  <c:v>99</c:v>
                </c:pt>
                <c:pt idx="2">
                  <c:v>401</c:v>
                </c:pt>
              </c:numCache>
            </c:numRef>
          </c:val>
        </c:ser>
        <c:ser>
          <c:idx val="4"/>
          <c:order val="1"/>
          <c:tx>
            <c:strRef>
              <c:f>Bojes!$G$3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Bojes!$G$4:$G$6</c:f>
              <c:numCache>
                <c:formatCode>General</c:formatCode>
                <c:ptCount val="3"/>
                <c:pt idx="0">
                  <c:v>17</c:v>
                </c:pt>
                <c:pt idx="1">
                  <c:v>30</c:v>
                </c:pt>
                <c:pt idx="2">
                  <c:v>72</c:v>
                </c:pt>
              </c:numCache>
            </c:numRef>
          </c:val>
        </c:ser>
        <c:ser>
          <c:idx val="5"/>
          <c:order val="2"/>
          <c:tx>
            <c:strRef>
              <c:f>Bojes!$H$3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Bojes!$H$4:$H$6</c:f>
              <c:numCache>
                <c:formatCode>General</c:formatCode>
                <c:ptCount val="3"/>
                <c:pt idx="0">
                  <c:v>34</c:v>
                </c:pt>
                <c:pt idx="1">
                  <c:v>69</c:v>
                </c:pt>
                <c:pt idx="2">
                  <c:v>329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369728"/>
        <c:axId val="119371264"/>
      </c:barChart>
      <c:dateAx>
        <c:axId val="1193697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9371264"/>
        <c:crosses val="autoZero"/>
        <c:auto val="1"/>
        <c:lblOffset val="100"/>
        <c:baseTimeUnit val="months"/>
      </c:dateAx>
      <c:valAx>
        <c:axId val="119371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369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Taufik!$O$3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Taufik!$K$4:$K$6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Taufik!$O$4:$O$6</c:f>
              <c:numCache>
                <c:formatCode>General</c:formatCode>
                <c:ptCount val="3"/>
                <c:pt idx="0">
                  <c:v>245</c:v>
                </c:pt>
                <c:pt idx="1">
                  <c:v>560</c:v>
                </c:pt>
                <c:pt idx="2">
                  <c:v>560</c:v>
                </c:pt>
              </c:numCache>
            </c:numRef>
          </c:val>
        </c:ser>
        <c:ser>
          <c:idx val="4"/>
          <c:order val="1"/>
          <c:tx>
            <c:strRef>
              <c:f>Taufik!$P$3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Taufik!$K$4:$K$6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Taufik!$P$4:$P$6</c:f>
              <c:numCache>
                <c:formatCode>General</c:formatCode>
                <c:ptCount val="3"/>
                <c:pt idx="0">
                  <c:v>20</c:v>
                </c:pt>
                <c:pt idx="1">
                  <c:v>58</c:v>
                </c:pt>
                <c:pt idx="2">
                  <c:v>63</c:v>
                </c:pt>
              </c:numCache>
            </c:numRef>
          </c:val>
        </c:ser>
        <c:ser>
          <c:idx val="5"/>
          <c:order val="2"/>
          <c:tx>
            <c:strRef>
              <c:f>Taufik!$Q$3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Taufik!$K$4:$K$6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Taufik!$Q$4:$Q$6</c:f>
              <c:numCache>
                <c:formatCode>General</c:formatCode>
                <c:ptCount val="3"/>
                <c:pt idx="0">
                  <c:v>225</c:v>
                </c:pt>
                <c:pt idx="1">
                  <c:v>502</c:v>
                </c:pt>
                <c:pt idx="2">
                  <c:v>497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382528"/>
        <c:axId val="111384064"/>
      </c:barChart>
      <c:dateAx>
        <c:axId val="1113825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1384064"/>
        <c:crosses val="autoZero"/>
        <c:auto val="1"/>
        <c:lblOffset val="100"/>
        <c:baseTimeUnit val="months"/>
      </c:dateAx>
      <c:valAx>
        <c:axId val="1113840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1382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Bojes!$O$3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Bojes!$O$4:$O$6</c:f>
              <c:numCache>
                <c:formatCode>General</c:formatCode>
                <c:ptCount val="3"/>
                <c:pt idx="0">
                  <c:v>62</c:v>
                </c:pt>
                <c:pt idx="1">
                  <c:v>139</c:v>
                </c:pt>
                <c:pt idx="2">
                  <c:v>141</c:v>
                </c:pt>
              </c:numCache>
            </c:numRef>
          </c:val>
        </c:ser>
        <c:ser>
          <c:idx val="4"/>
          <c:order val="1"/>
          <c:tx>
            <c:strRef>
              <c:f>Bojes!$P$3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Bojes!$P$4:$P$6</c:f>
              <c:numCache>
                <c:formatCode>General</c:formatCode>
                <c:ptCount val="3"/>
                <c:pt idx="0">
                  <c:v>17</c:v>
                </c:pt>
                <c:pt idx="1">
                  <c:v>13</c:v>
                </c:pt>
                <c:pt idx="2">
                  <c:v>37</c:v>
                </c:pt>
              </c:numCache>
            </c:numRef>
          </c:val>
        </c:ser>
        <c:ser>
          <c:idx val="5"/>
          <c:order val="2"/>
          <c:tx>
            <c:strRef>
              <c:f>Bojes!$Q$3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Bojes!$Q$4:$Q$6</c:f>
              <c:numCache>
                <c:formatCode>General</c:formatCode>
                <c:ptCount val="3"/>
                <c:pt idx="0">
                  <c:v>45</c:v>
                </c:pt>
                <c:pt idx="1">
                  <c:v>126</c:v>
                </c:pt>
                <c:pt idx="2">
                  <c:v>104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8363008"/>
        <c:axId val="68364544"/>
      </c:barChart>
      <c:dateAx>
        <c:axId val="6836300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68364544"/>
        <c:crosses val="autoZero"/>
        <c:auto val="1"/>
        <c:lblOffset val="100"/>
        <c:baseTimeUnit val="months"/>
      </c:dateAx>
      <c:valAx>
        <c:axId val="68364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363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Mulyana!$C$3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Mulyana!$C$4:$C$6</c:f>
              <c:numCache>
                <c:formatCode>#,##0</c:formatCode>
                <c:ptCount val="3"/>
                <c:pt idx="0">
                  <c:v>2654400</c:v>
                </c:pt>
                <c:pt idx="1">
                  <c:v>7767725</c:v>
                </c:pt>
                <c:pt idx="2">
                  <c:v>21988663</c:v>
                </c:pt>
              </c:numCache>
            </c:numRef>
          </c:val>
        </c:ser>
        <c:ser>
          <c:idx val="1"/>
          <c:order val="1"/>
          <c:tx>
            <c:strRef>
              <c:f>Mulyana!$D$3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Mulyana!$D$4:$D$6</c:f>
              <c:numCache>
                <c:formatCode>#,##0</c:formatCode>
                <c:ptCount val="3"/>
                <c:pt idx="0">
                  <c:v>796600</c:v>
                </c:pt>
                <c:pt idx="1">
                  <c:v>1938038</c:v>
                </c:pt>
                <c:pt idx="2">
                  <c:v>1967350</c:v>
                </c:pt>
              </c:numCache>
            </c:numRef>
          </c:val>
        </c:ser>
        <c:ser>
          <c:idx val="2"/>
          <c:order val="2"/>
          <c:tx>
            <c:strRef>
              <c:f>Mulyana!$E$3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Mulyana!$E$4:$E$6</c:f>
              <c:numCache>
                <c:formatCode>#,##0</c:formatCode>
                <c:ptCount val="3"/>
                <c:pt idx="0">
                  <c:v>1857800</c:v>
                </c:pt>
                <c:pt idx="1">
                  <c:v>5829688</c:v>
                </c:pt>
                <c:pt idx="2">
                  <c:v>20021313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9081728"/>
        <c:axId val="69095808"/>
      </c:barChart>
      <c:dateAx>
        <c:axId val="690817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69095808"/>
        <c:crosses val="autoZero"/>
        <c:auto val="1"/>
        <c:lblOffset val="100"/>
        <c:baseTimeUnit val="months"/>
      </c:dateAx>
      <c:valAx>
        <c:axId val="690958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69081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Mulyana!$L$3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Mulyana!$L$4:$L$6</c:f>
              <c:numCache>
                <c:formatCode>#,##0</c:formatCode>
                <c:ptCount val="3"/>
                <c:pt idx="0">
                  <c:v>3241175</c:v>
                </c:pt>
                <c:pt idx="1">
                  <c:v>13294663</c:v>
                </c:pt>
                <c:pt idx="2">
                  <c:v>21549150</c:v>
                </c:pt>
              </c:numCache>
            </c:numRef>
          </c:val>
        </c:ser>
        <c:ser>
          <c:idx val="1"/>
          <c:order val="1"/>
          <c:tx>
            <c:strRef>
              <c:f>Mulyana!$M$3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Mulyana!$M$4:$M$6</c:f>
              <c:numCache>
                <c:formatCode>#,##0</c:formatCode>
                <c:ptCount val="3"/>
                <c:pt idx="0">
                  <c:v>1438063</c:v>
                </c:pt>
                <c:pt idx="1">
                  <c:v>1464838</c:v>
                </c:pt>
                <c:pt idx="2">
                  <c:v>3795450</c:v>
                </c:pt>
              </c:numCache>
            </c:numRef>
          </c:val>
        </c:ser>
        <c:ser>
          <c:idx val="2"/>
          <c:order val="2"/>
          <c:tx>
            <c:strRef>
              <c:f>Mulyana!$N$3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Mulyana!$N$4:$N$6</c:f>
              <c:numCache>
                <c:formatCode>#,##0</c:formatCode>
                <c:ptCount val="3"/>
                <c:pt idx="0">
                  <c:v>1803113</c:v>
                </c:pt>
                <c:pt idx="1">
                  <c:v>11829825</c:v>
                </c:pt>
                <c:pt idx="2">
                  <c:v>17753700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9139840"/>
        <c:axId val="68826240"/>
      </c:barChart>
      <c:dateAx>
        <c:axId val="6913984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68826240"/>
        <c:crosses val="autoZero"/>
        <c:auto val="1"/>
        <c:lblOffset val="100"/>
        <c:baseTimeUnit val="months"/>
      </c:dateAx>
      <c:valAx>
        <c:axId val="688262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69139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Mulyana!$F$3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Mulyana!$F$4:$F$6</c:f>
              <c:numCache>
                <c:formatCode>General</c:formatCode>
                <c:ptCount val="3"/>
                <c:pt idx="0">
                  <c:v>26</c:v>
                </c:pt>
                <c:pt idx="1">
                  <c:v>71</c:v>
                </c:pt>
                <c:pt idx="2">
                  <c:v>219</c:v>
                </c:pt>
              </c:numCache>
            </c:numRef>
          </c:val>
        </c:ser>
        <c:ser>
          <c:idx val="4"/>
          <c:order val="1"/>
          <c:tx>
            <c:strRef>
              <c:f>Mulyana!$G$3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Mulyana!$G$4:$G$6</c:f>
              <c:numCache>
                <c:formatCode>General</c:formatCode>
                <c:ptCount val="3"/>
                <c:pt idx="0">
                  <c:v>7</c:v>
                </c:pt>
                <c:pt idx="1">
                  <c:v>19</c:v>
                </c:pt>
                <c:pt idx="2">
                  <c:v>19</c:v>
                </c:pt>
              </c:numCache>
            </c:numRef>
          </c:val>
        </c:ser>
        <c:ser>
          <c:idx val="5"/>
          <c:order val="2"/>
          <c:tx>
            <c:strRef>
              <c:f>Mulyana!$H$3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Mulyana!$H$4:$H$6</c:f>
              <c:numCache>
                <c:formatCode>General</c:formatCode>
                <c:ptCount val="3"/>
                <c:pt idx="0">
                  <c:v>19</c:v>
                </c:pt>
                <c:pt idx="1">
                  <c:v>52</c:v>
                </c:pt>
                <c:pt idx="2">
                  <c:v>200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8870528"/>
        <c:axId val="68872064"/>
      </c:barChart>
      <c:dateAx>
        <c:axId val="688705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68872064"/>
        <c:crosses val="autoZero"/>
        <c:auto val="1"/>
        <c:lblOffset val="100"/>
        <c:baseTimeUnit val="months"/>
      </c:dateAx>
      <c:valAx>
        <c:axId val="68872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870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Mulyana!$O$3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Mulyana!$O$4:$O$6</c:f>
              <c:numCache>
                <c:formatCode>General</c:formatCode>
                <c:ptCount val="3"/>
                <c:pt idx="0">
                  <c:v>28</c:v>
                </c:pt>
                <c:pt idx="1">
                  <c:v>126</c:v>
                </c:pt>
                <c:pt idx="2">
                  <c:v>204</c:v>
                </c:pt>
              </c:numCache>
            </c:numRef>
          </c:val>
        </c:ser>
        <c:ser>
          <c:idx val="4"/>
          <c:order val="1"/>
          <c:tx>
            <c:strRef>
              <c:f>Mulyana!$P$3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Mulyana!$P$4:$P$6</c:f>
              <c:numCache>
                <c:formatCode>General</c:formatCode>
                <c:ptCount val="3"/>
                <c:pt idx="0">
                  <c:v>12</c:v>
                </c:pt>
                <c:pt idx="1">
                  <c:v>13</c:v>
                </c:pt>
                <c:pt idx="2">
                  <c:v>35</c:v>
                </c:pt>
              </c:numCache>
            </c:numRef>
          </c:val>
        </c:ser>
        <c:ser>
          <c:idx val="5"/>
          <c:order val="2"/>
          <c:tx>
            <c:strRef>
              <c:f>Mulyana!$Q$3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Mulyana!$Q$4:$Q$6</c:f>
              <c:numCache>
                <c:formatCode>General</c:formatCode>
                <c:ptCount val="3"/>
                <c:pt idx="0">
                  <c:v>16</c:v>
                </c:pt>
                <c:pt idx="1">
                  <c:v>113</c:v>
                </c:pt>
                <c:pt idx="2">
                  <c:v>169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8912256"/>
        <c:axId val="68913792"/>
      </c:barChart>
      <c:dateAx>
        <c:axId val="6891225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68913792"/>
        <c:crosses val="autoZero"/>
        <c:auto val="1"/>
        <c:lblOffset val="100"/>
        <c:baseTimeUnit val="months"/>
      </c:dateAx>
      <c:valAx>
        <c:axId val="6891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12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'Feri D'!$C$3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D'!$C$4:$C$6</c:f>
              <c:numCache>
                <c:formatCode>#,##0</c:formatCode>
                <c:ptCount val="3"/>
                <c:pt idx="0">
                  <c:v>3416000</c:v>
                </c:pt>
                <c:pt idx="1">
                  <c:v>4277438</c:v>
                </c:pt>
                <c:pt idx="2">
                  <c:v>20798838</c:v>
                </c:pt>
              </c:numCache>
            </c:numRef>
          </c:val>
        </c:ser>
        <c:ser>
          <c:idx val="1"/>
          <c:order val="1"/>
          <c:tx>
            <c:strRef>
              <c:f>'Feri D'!$D$3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D'!$D$4:$D$6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 formatCode="#,##0">
                  <c:v>-338000</c:v>
                </c:pt>
              </c:numCache>
            </c:numRef>
          </c:val>
        </c:ser>
        <c:ser>
          <c:idx val="2"/>
          <c:order val="2"/>
          <c:tx>
            <c:strRef>
              <c:f>'Feri D'!$E$3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D'!$E$4:$E$6</c:f>
              <c:numCache>
                <c:formatCode>#,##0</c:formatCode>
                <c:ptCount val="3"/>
                <c:pt idx="0">
                  <c:v>3416000</c:v>
                </c:pt>
                <c:pt idx="1">
                  <c:v>4277438</c:v>
                </c:pt>
                <c:pt idx="2">
                  <c:v>21136838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8967424"/>
        <c:axId val="68977408"/>
      </c:barChart>
      <c:dateAx>
        <c:axId val="689674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68977408"/>
        <c:crosses val="autoZero"/>
        <c:auto val="1"/>
        <c:lblOffset val="100"/>
        <c:baseTimeUnit val="months"/>
      </c:dateAx>
      <c:valAx>
        <c:axId val="689774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68967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'Feri D'!$L$3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mmm\-yy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D'!$L$4</c:f>
              <c:numCache>
                <c:formatCode>#,##0</c:formatCode>
                <c:ptCount val="1"/>
                <c:pt idx="0">
                  <c:v>1628550</c:v>
                </c:pt>
              </c:numCache>
            </c:numRef>
          </c:val>
        </c:ser>
        <c:ser>
          <c:idx val="1"/>
          <c:order val="1"/>
          <c:tx>
            <c:strRef>
              <c:f>'Feri D'!$M$3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mmm\-yy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D'!$M$4</c:f>
              <c:numCache>
                <c:formatCode>#,##0</c:formatCode>
                <c:ptCount val="1"/>
                <c:pt idx="0">
                  <c:v>52452</c:v>
                </c:pt>
              </c:numCache>
            </c:numRef>
          </c:val>
        </c:ser>
        <c:ser>
          <c:idx val="2"/>
          <c:order val="2"/>
          <c:tx>
            <c:strRef>
              <c:f>'Feri D'!$N$3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mmm\-yy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D'!$N$4</c:f>
              <c:numCache>
                <c:formatCode>#,##0</c:formatCode>
                <c:ptCount val="1"/>
                <c:pt idx="0">
                  <c:v>1576098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9021696"/>
        <c:axId val="69023232"/>
      </c:barChart>
      <c:dateAx>
        <c:axId val="690216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69023232"/>
        <c:crosses val="autoZero"/>
        <c:auto val="1"/>
        <c:lblOffset val="100"/>
        <c:baseTimeUnit val="days"/>
      </c:dateAx>
      <c:valAx>
        <c:axId val="690232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69021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'Feri D'!$F$3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D'!$F$4:$F$6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133</c:v>
                </c:pt>
              </c:numCache>
            </c:numRef>
          </c:val>
        </c:ser>
        <c:ser>
          <c:idx val="4"/>
          <c:order val="1"/>
          <c:tx>
            <c:strRef>
              <c:f>'Feri D'!$G$3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D'!$G$4:$G$6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'Feri D'!$H$3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D'!$H$4:$H$6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133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9055232"/>
        <c:axId val="69056768"/>
      </c:barChart>
      <c:dateAx>
        <c:axId val="690552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69056768"/>
        <c:crosses val="autoZero"/>
        <c:auto val="1"/>
        <c:lblOffset val="100"/>
        <c:baseTimeUnit val="months"/>
      </c:dateAx>
      <c:valAx>
        <c:axId val="69056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55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'Feri D'!$O$3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mmm\-yy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D'!$O$4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1"/>
          <c:tx>
            <c:strRef>
              <c:f>'Feri D'!$P$3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mmm\-yy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D'!$P$4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2"/>
          <c:tx>
            <c:strRef>
              <c:f>'Feri D'!$Q$3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mmm\-yy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D'!$Q$4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9162496"/>
        <c:axId val="69164032"/>
      </c:barChart>
      <c:dateAx>
        <c:axId val="691624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69164032"/>
        <c:crosses val="autoZero"/>
        <c:auto val="1"/>
        <c:lblOffset val="100"/>
        <c:baseTimeUnit val="days"/>
      </c:dateAx>
      <c:valAx>
        <c:axId val="6916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162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1758046373235605E-2"/>
          <c:y val="0.20821777486147564"/>
          <c:w val="0.74875447020735308"/>
          <c:h val="0.754745188101487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Anip!$C$3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Anip!$C$4:$C$6</c:f>
              <c:numCache>
                <c:formatCode>#,##0</c:formatCode>
                <c:ptCount val="3"/>
                <c:pt idx="0">
                  <c:v>17322025</c:v>
                </c:pt>
                <c:pt idx="1">
                  <c:v>15483125</c:v>
                </c:pt>
                <c:pt idx="2">
                  <c:v>27445600</c:v>
                </c:pt>
              </c:numCache>
            </c:numRef>
          </c:val>
        </c:ser>
        <c:ser>
          <c:idx val="1"/>
          <c:order val="1"/>
          <c:tx>
            <c:strRef>
              <c:f>Anip!$D$3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Anip!$D$4:$D$6</c:f>
              <c:numCache>
                <c:formatCode>General</c:formatCode>
                <c:ptCount val="3"/>
                <c:pt idx="0" formatCode="#,##0">
                  <c:v>51888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Anip!$E$3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Anip!$E$4:$E$6</c:f>
              <c:numCache>
                <c:formatCode>#,##0</c:formatCode>
                <c:ptCount val="3"/>
                <c:pt idx="0">
                  <c:v>17270138</c:v>
                </c:pt>
                <c:pt idx="1">
                  <c:v>15483125</c:v>
                </c:pt>
                <c:pt idx="2">
                  <c:v>27445600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941504"/>
        <c:axId val="111943040"/>
      </c:barChart>
      <c:dateAx>
        <c:axId val="11194150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1943040"/>
        <c:crosses val="autoZero"/>
        <c:auto val="1"/>
        <c:lblOffset val="100"/>
        <c:baseTimeUnit val="months"/>
      </c:dateAx>
      <c:valAx>
        <c:axId val="1119430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1941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Anip!$F$3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Anip!$F$4:$F$6</c:f>
              <c:numCache>
                <c:formatCode>General</c:formatCode>
                <c:ptCount val="3"/>
                <c:pt idx="0">
                  <c:v>248</c:v>
                </c:pt>
                <c:pt idx="1">
                  <c:v>176</c:v>
                </c:pt>
                <c:pt idx="2">
                  <c:v>343</c:v>
                </c:pt>
              </c:numCache>
            </c:numRef>
          </c:val>
        </c:ser>
        <c:ser>
          <c:idx val="4"/>
          <c:order val="1"/>
          <c:tx>
            <c:strRef>
              <c:f>Anip!$G$3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Anip!$G$4:$G$6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Anip!$H$3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Anip!$H$4:$H$6</c:f>
              <c:numCache>
                <c:formatCode>General</c:formatCode>
                <c:ptCount val="3"/>
                <c:pt idx="0">
                  <c:v>248</c:v>
                </c:pt>
                <c:pt idx="1">
                  <c:v>176</c:v>
                </c:pt>
                <c:pt idx="2">
                  <c:v>343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003712"/>
        <c:axId val="112009600"/>
      </c:barChart>
      <c:dateAx>
        <c:axId val="11200371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2009600"/>
        <c:crosses val="autoZero"/>
        <c:auto val="1"/>
        <c:lblOffset val="100"/>
        <c:baseTimeUnit val="months"/>
      </c:dateAx>
      <c:valAx>
        <c:axId val="112009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2003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Anip!$L$3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mmm\-yy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Anip!$L$4:$L$5</c:f>
              <c:numCache>
                <c:formatCode>#,##0</c:formatCode>
                <c:ptCount val="2"/>
                <c:pt idx="0">
                  <c:v>18161763</c:v>
                </c:pt>
                <c:pt idx="1">
                  <c:v>3001688</c:v>
                </c:pt>
              </c:numCache>
            </c:numRef>
          </c:val>
        </c:ser>
        <c:ser>
          <c:idx val="1"/>
          <c:order val="1"/>
          <c:tx>
            <c:strRef>
              <c:f>Anip!$M$3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mmm\-yy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Anip!$M$4:$M$5</c:f>
              <c:numCache>
                <c:formatCode>General</c:formatCode>
                <c:ptCount val="2"/>
                <c:pt idx="0" formatCode="#,##0">
                  <c:v>98525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Anip!$N$3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mmm\-yy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Anip!$N$4:$N$5</c:f>
              <c:numCache>
                <c:formatCode>#,##0</c:formatCode>
                <c:ptCount val="2"/>
                <c:pt idx="0">
                  <c:v>18063238</c:v>
                </c:pt>
                <c:pt idx="1">
                  <c:v>3001688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049536"/>
        <c:axId val="112063616"/>
      </c:barChart>
      <c:dateAx>
        <c:axId val="11204953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2063616"/>
        <c:crosses val="autoZero"/>
        <c:auto val="1"/>
        <c:lblOffset val="100"/>
        <c:baseTimeUnit val="months"/>
      </c:dateAx>
      <c:valAx>
        <c:axId val="1120636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2049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Anip!$O$3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mmm\-yy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Anip!$O$4:$O$5</c:f>
              <c:numCache>
                <c:formatCode>General</c:formatCode>
                <c:ptCount val="2"/>
                <c:pt idx="0">
                  <c:v>196</c:v>
                </c:pt>
                <c:pt idx="1">
                  <c:v>28</c:v>
                </c:pt>
              </c:numCache>
            </c:numRef>
          </c:val>
        </c:ser>
        <c:ser>
          <c:idx val="4"/>
          <c:order val="1"/>
          <c:tx>
            <c:strRef>
              <c:f>Anip!$P$3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mmm\-yy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Anip!$P$4:$P$5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5"/>
          <c:order val="2"/>
          <c:tx>
            <c:strRef>
              <c:f>Anip!$Q$3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mmm\-yy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Anip!$Q$4:$Q$5</c:f>
              <c:numCache>
                <c:formatCode>General</c:formatCode>
                <c:ptCount val="2"/>
                <c:pt idx="0">
                  <c:v>195</c:v>
                </c:pt>
                <c:pt idx="1">
                  <c:v>27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091520"/>
        <c:axId val="112093056"/>
      </c:barChart>
      <c:dateAx>
        <c:axId val="11209152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2093056"/>
        <c:crosses val="autoZero"/>
        <c:auto val="1"/>
        <c:lblOffset val="100"/>
        <c:baseTimeUnit val="months"/>
      </c:dateAx>
      <c:valAx>
        <c:axId val="112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09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Puja!$C$3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Puja!$C$4:$C$6</c:f>
              <c:numCache>
                <c:formatCode>#,##0</c:formatCode>
                <c:ptCount val="3"/>
                <c:pt idx="0">
                  <c:v>17313450</c:v>
                </c:pt>
                <c:pt idx="1">
                  <c:v>8825775</c:v>
                </c:pt>
                <c:pt idx="2">
                  <c:v>18430388</c:v>
                </c:pt>
              </c:numCache>
            </c:numRef>
          </c:val>
        </c:ser>
        <c:ser>
          <c:idx val="1"/>
          <c:order val="1"/>
          <c:tx>
            <c:strRef>
              <c:f>Puja!$D$3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Puja!$D$4:$D$6</c:f>
              <c:numCache>
                <c:formatCode>#,##0</c:formatCode>
                <c:ptCount val="3"/>
                <c:pt idx="0">
                  <c:v>204050</c:v>
                </c:pt>
                <c:pt idx="1">
                  <c:v>2173767</c:v>
                </c:pt>
                <c:pt idx="2">
                  <c:v>670689</c:v>
                </c:pt>
              </c:numCache>
            </c:numRef>
          </c:val>
        </c:ser>
        <c:ser>
          <c:idx val="2"/>
          <c:order val="2"/>
          <c:tx>
            <c:strRef>
              <c:f>Puja!$E$3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Puja!$E$4:$E$6</c:f>
              <c:numCache>
                <c:formatCode>#,##0</c:formatCode>
                <c:ptCount val="3"/>
                <c:pt idx="0">
                  <c:v>17109400</c:v>
                </c:pt>
                <c:pt idx="1">
                  <c:v>6652008</c:v>
                </c:pt>
                <c:pt idx="2">
                  <c:v>17759699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929600"/>
        <c:axId val="112132096"/>
      </c:barChart>
      <c:dateAx>
        <c:axId val="11192960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2132096"/>
        <c:crosses val="autoZero"/>
        <c:auto val="1"/>
        <c:lblOffset val="100"/>
        <c:baseTimeUnit val="months"/>
      </c:dateAx>
      <c:valAx>
        <c:axId val="1121320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1929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Puja!$L$3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Puja!$L$4:$L$6</c:f>
              <c:numCache>
                <c:formatCode>#,##0</c:formatCode>
                <c:ptCount val="3"/>
                <c:pt idx="0">
                  <c:v>8423450</c:v>
                </c:pt>
                <c:pt idx="1">
                  <c:v>8149313</c:v>
                </c:pt>
                <c:pt idx="2">
                  <c:v>8955450</c:v>
                </c:pt>
              </c:numCache>
            </c:numRef>
          </c:val>
        </c:ser>
        <c:ser>
          <c:idx val="1"/>
          <c:order val="1"/>
          <c:tx>
            <c:strRef>
              <c:f>Puja!$M$3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Puja!$M$4:$M$6</c:f>
              <c:numCache>
                <c:formatCode>General</c:formatCode>
                <c:ptCount val="3"/>
                <c:pt idx="0" formatCode="#,##0">
                  <c:v>312375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Puja!$N$3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Puja!$N$4:$N$6</c:f>
              <c:numCache>
                <c:formatCode>#,##0</c:formatCode>
                <c:ptCount val="3"/>
                <c:pt idx="0">
                  <c:v>8111075</c:v>
                </c:pt>
                <c:pt idx="1">
                  <c:v>8149313</c:v>
                </c:pt>
                <c:pt idx="2">
                  <c:v>8955450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163840"/>
        <c:axId val="112182016"/>
      </c:barChart>
      <c:dateAx>
        <c:axId val="11216384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2182016"/>
        <c:crosses val="autoZero"/>
        <c:auto val="1"/>
        <c:lblOffset val="100"/>
        <c:baseTimeUnit val="months"/>
      </c:dateAx>
      <c:valAx>
        <c:axId val="1121820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2163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Puja!$F$3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Puja!$F$4:$F$6</c:f>
              <c:numCache>
                <c:formatCode>General</c:formatCode>
                <c:ptCount val="3"/>
                <c:pt idx="0">
                  <c:v>178</c:v>
                </c:pt>
                <c:pt idx="1">
                  <c:v>88</c:v>
                </c:pt>
                <c:pt idx="2">
                  <c:v>174</c:v>
                </c:pt>
              </c:numCache>
            </c:numRef>
          </c:val>
        </c:ser>
        <c:ser>
          <c:idx val="4"/>
          <c:order val="1"/>
          <c:tx>
            <c:strRef>
              <c:f>Puja!$G$3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Puja!$G$4:$G$6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</c:ser>
        <c:ser>
          <c:idx val="5"/>
          <c:order val="2"/>
          <c:tx>
            <c:strRef>
              <c:f>Puja!$H$3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Puja!$H$4:$H$6</c:f>
              <c:numCache>
                <c:formatCode>General</c:formatCode>
                <c:ptCount val="3"/>
                <c:pt idx="0">
                  <c:v>175</c:v>
                </c:pt>
                <c:pt idx="1">
                  <c:v>88</c:v>
                </c:pt>
                <c:pt idx="2">
                  <c:v>167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558080"/>
        <c:axId val="112559616"/>
      </c:barChart>
      <c:dateAx>
        <c:axId val="11255808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2559616"/>
        <c:crosses val="autoZero"/>
        <c:auto val="1"/>
        <c:lblOffset val="100"/>
        <c:baseTimeUnit val="months"/>
      </c:dateAx>
      <c:valAx>
        <c:axId val="11255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558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Atlantis!$L$3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Atlantis!$L$4:$L$6</c:f>
              <c:numCache>
                <c:formatCode>#,##0</c:formatCode>
                <c:ptCount val="3"/>
                <c:pt idx="0">
                  <c:v>53093863</c:v>
                </c:pt>
                <c:pt idx="1">
                  <c:v>69718863</c:v>
                </c:pt>
                <c:pt idx="2">
                  <c:v>88331163</c:v>
                </c:pt>
              </c:numCache>
            </c:numRef>
          </c:val>
        </c:ser>
        <c:ser>
          <c:idx val="1"/>
          <c:order val="1"/>
          <c:tx>
            <c:strRef>
              <c:f>Atlantis!$M$3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Atlantis!$M$4:$M$6</c:f>
              <c:numCache>
                <c:formatCode>#,##0</c:formatCode>
                <c:ptCount val="3"/>
                <c:pt idx="0">
                  <c:v>9849613</c:v>
                </c:pt>
                <c:pt idx="1">
                  <c:v>14087675</c:v>
                </c:pt>
                <c:pt idx="2">
                  <c:v>19821200</c:v>
                </c:pt>
              </c:numCache>
            </c:numRef>
          </c:val>
        </c:ser>
        <c:ser>
          <c:idx val="2"/>
          <c:order val="2"/>
          <c:tx>
            <c:strRef>
              <c:f>Atlantis!$N$3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Atlantis!$N$4:$N$6</c:f>
              <c:numCache>
                <c:formatCode>#,##0</c:formatCode>
                <c:ptCount val="3"/>
                <c:pt idx="0">
                  <c:v>43244250</c:v>
                </c:pt>
                <c:pt idx="1">
                  <c:v>55631188</c:v>
                </c:pt>
                <c:pt idx="2">
                  <c:v>68509963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934656"/>
        <c:axId val="110948736"/>
      </c:barChart>
      <c:dateAx>
        <c:axId val="11093465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0948736"/>
        <c:crosses val="autoZero"/>
        <c:auto val="1"/>
        <c:lblOffset val="100"/>
        <c:baseTimeUnit val="months"/>
      </c:dateAx>
      <c:valAx>
        <c:axId val="11094873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093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Puja!$O$3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Puja!$O$4:$O$6</c:f>
              <c:numCache>
                <c:formatCode>General</c:formatCode>
                <c:ptCount val="3"/>
                <c:pt idx="0">
                  <c:v>87</c:v>
                </c:pt>
                <c:pt idx="1">
                  <c:v>87</c:v>
                </c:pt>
                <c:pt idx="2">
                  <c:v>96</c:v>
                </c:pt>
              </c:numCache>
            </c:numRef>
          </c:val>
        </c:ser>
        <c:ser>
          <c:idx val="4"/>
          <c:order val="1"/>
          <c:tx>
            <c:strRef>
              <c:f>Puja!$P$3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Puja!$P$4:$P$6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Puja!$Q$3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Puja!$Q$4:$Q$6</c:f>
              <c:numCache>
                <c:formatCode>General</c:formatCode>
                <c:ptCount val="3"/>
                <c:pt idx="0">
                  <c:v>85</c:v>
                </c:pt>
                <c:pt idx="1">
                  <c:v>87</c:v>
                </c:pt>
                <c:pt idx="2">
                  <c:v>96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612096"/>
        <c:axId val="112613632"/>
      </c:barChart>
      <c:dateAx>
        <c:axId val="1126120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2613632"/>
        <c:crosses val="autoZero"/>
        <c:auto val="1"/>
        <c:lblOffset val="100"/>
        <c:baseTimeUnit val="months"/>
      </c:dateAx>
      <c:valAx>
        <c:axId val="11261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612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'Ade Gilang'!$C$3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Gilang'!$C$4:$C$6</c:f>
              <c:numCache>
                <c:formatCode>#,##0</c:formatCode>
                <c:ptCount val="3"/>
                <c:pt idx="0">
                  <c:v>16590613</c:v>
                </c:pt>
                <c:pt idx="1">
                  <c:v>23860200</c:v>
                </c:pt>
                <c:pt idx="2">
                  <c:v>24631250</c:v>
                </c:pt>
              </c:numCache>
            </c:numRef>
          </c:val>
        </c:ser>
        <c:ser>
          <c:idx val="1"/>
          <c:order val="1"/>
          <c:tx>
            <c:strRef>
              <c:f>'Ade Gilang'!$D$3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Gilang'!$D$4:$D$6</c:f>
              <c:numCache>
                <c:formatCode>#,##0</c:formatCode>
                <c:ptCount val="3"/>
                <c:pt idx="0">
                  <c:v>577063</c:v>
                </c:pt>
                <c:pt idx="1">
                  <c:v>371925</c:v>
                </c:pt>
                <c:pt idx="2">
                  <c:v>609700</c:v>
                </c:pt>
              </c:numCache>
            </c:numRef>
          </c:val>
        </c:ser>
        <c:ser>
          <c:idx val="2"/>
          <c:order val="2"/>
          <c:tx>
            <c:strRef>
              <c:f>'Ade Gilang'!$E$3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Gilang'!$E$4:$E$6</c:f>
              <c:numCache>
                <c:formatCode>#,##0</c:formatCode>
                <c:ptCount val="3"/>
                <c:pt idx="0">
                  <c:v>16013550</c:v>
                </c:pt>
                <c:pt idx="1">
                  <c:v>23488275</c:v>
                </c:pt>
                <c:pt idx="2">
                  <c:v>24021550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315008"/>
        <c:axId val="112329088"/>
      </c:barChart>
      <c:dateAx>
        <c:axId val="11231500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2329088"/>
        <c:crosses val="autoZero"/>
        <c:auto val="1"/>
        <c:lblOffset val="100"/>
        <c:baseTimeUnit val="months"/>
      </c:dateAx>
      <c:valAx>
        <c:axId val="1123290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2315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'Ade Gilang'!$L$3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Gilang'!$L$4:$L$6</c:f>
              <c:numCache>
                <c:formatCode>#,##0</c:formatCode>
                <c:ptCount val="3"/>
                <c:pt idx="0">
                  <c:v>23343950</c:v>
                </c:pt>
                <c:pt idx="1">
                  <c:v>19204238</c:v>
                </c:pt>
                <c:pt idx="2">
                  <c:v>13209700</c:v>
                </c:pt>
              </c:numCache>
            </c:numRef>
          </c:val>
        </c:ser>
        <c:ser>
          <c:idx val="1"/>
          <c:order val="1"/>
          <c:tx>
            <c:strRef>
              <c:f>'Ade Gilang'!$M$3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Gilang'!$M$4:$M$6</c:f>
              <c:numCache>
                <c:formatCode>#,##0</c:formatCode>
                <c:ptCount val="3"/>
                <c:pt idx="0">
                  <c:v>328125</c:v>
                </c:pt>
                <c:pt idx="1">
                  <c:v>1678838</c:v>
                </c:pt>
                <c:pt idx="2">
                  <c:v>1058925</c:v>
                </c:pt>
              </c:numCache>
            </c:numRef>
          </c:val>
        </c:ser>
        <c:ser>
          <c:idx val="2"/>
          <c:order val="2"/>
          <c:tx>
            <c:strRef>
              <c:f>'Ade Gilang'!$N$3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Gilang'!$N$4:$N$6</c:f>
              <c:numCache>
                <c:formatCode>#,##0</c:formatCode>
                <c:ptCount val="3"/>
                <c:pt idx="0">
                  <c:v>23015825</c:v>
                </c:pt>
                <c:pt idx="1">
                  <c:v>17525400</c:v>
                </c:pt>
                <c:pt idx="2">
                  <c:v>12150775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360832"/>
        <c:axId val="112366720"/>
      </c:barChart>
      <c:dateAx>
        <c:axId val="1123608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2366720"/>
        <c:crosses val="autoZero"/>
        <c:auto val="1"/>
        <c:lblOffset val="100"/>
        <c:baseTimeUnit val="months"/>
      </c:dateAx>
      <c:valAx>
        <c:axId val="11236672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2360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'Ade Gilang'!$F$3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Gilang'!$F$4:$F$6</c:f>
              <c:numCache>
                <c:formatCode>General</c:formatCode>
                <c:ptCount val="3"/>
                <c:pt idx="0">
                  <c:v>144</c:v>
                </c:pt>
                <c:pt idx="1">
                  <c:v>197</c:v>
                </c:pt>
                <c:pt idx="2">
                  <c:v>214</c:v>
                </c:pt>
              </c:numCache>
            </c:numRef>
          </c:val>
        </c:ser>
        <c:ser>
          <c:idx val="4"/>
          <c:order val="1"/>
          <c:tx>
            <c:strRef>
              <c:f>'Ade Gilang'!$G$3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Gilang'!$G$4:$G$6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ser>
          <c:idx val="5"/>
          <c:order val="2"/>
          <c:tx>
            <c:strRef>
              <c:f>'Ade Gilang'!$H$3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Gilang'!$H$4:$H$6</c:f>
              <c:numCache>
                <c:formatCode>General</c:formatCode>
                <c:ptCount val="3"/>
                <c:pt idx="0">
                  <c:v>139</c:v>
                </c:pt>
                <c:pt idx="1">
                  <c:v>194</c:v>
                </c:pt>
                <c:pt idx="2">
                  <c:v>209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423296"/>
        <c:axId val="112424832"/>
      </c:barChart>
      <c:dateAx>
        <c:axId val="1124232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2424832"/>
        <c:crosses val="autoZero"/>
        <c:auto val="1"/>
        <c:lblOffset val="100"/>
        <c:baseTimeUnit val="months"/>
      </c:dateAx>
      <c:valAx>
        <c:axId val="112424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423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'Ade Gilang'!$O$3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Gilang'!$O$4:$O$6</c:f>
              <c:numCache>
                <c:formatCode>General</c:formatCode>
                <c:ptCount val="3"/>
                <c:pt idx="0">
                  <c:v>211</c:v>
                </c:pt>
                <c:pt idx="1">
                  <c:v>167</c:v>
                </c:pt>
                <c:pt idx="2">
                  <c:v>118</c:v>
                </c:pt>
              </c:numCache>
            </c:numRef>
          </c:val>
        </c:ser>
        <c:ser>
          <c:idx val="4"/>
          <c:order val="1"/>
          <c:tx>
            <c:strRef>
              <c:f>'Ade Gilang'!$P$3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Gilang'!$P$4:$P$6</c:f>
              <c:numCache>
                <c:formatCode>General</c:formatCode>
                <c:ptCount val="3"/>
                <c:pt idx="0">
                  <c:v>4</c:v>
                </c:pt>
                <c:pt idx="1">
                  <c:v>13</c:v>
                </c:pt>
                <c:pt idx="2">
                  <c:v>14</c:v>
                </c:pt>
              </c:numCache>
            </c:numRef>
          </c:val>
        </c:ser>
        <c:ser>
          <c:idx val="5"/>
          <c:order val="2"/>
          <c:tx>
            <c:strRef>
              <c:f>'Ade Gilang'!$Q$3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Gilang'!$Q$4:$Q$6</c:f>
              <c:numCache>
                <c:formatCode>General</c:formatCode>
                <c:ptCount val="3"/>
                <c:pt idx="0">
                  <c:v>207</c:v>
                </c:pt>
                <c:pt idx="1">
                  <c:v>154</c:v>
                </c:pt>
                <c:pt idx="2">
                  <c:v>104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465024"/>
        <c:axId val="112466560"/>
      </c:barChart>
      <c:dateAx>
        <c:axId val="1124650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2466560"/>
        <c:crosses val="autoZero"/>
        <c:auto val="1"/>
        <c:lblOffset val="100"/>
        <c:baseTimeUnit val="months"/>
      </c:dateAx>
      <c:valAx>
        <c:axId val="112466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465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JM!$C$3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JM!$C$4:$C$6</c:f>
              <c:numCache>
                <c:formatCode>#,##0</c:formatCode>
                <c:ptCount val="3"/>
                <c:pt idx="0">
                  <c:v>26015700</c:v>
                </c:pt>
                <c:pt idx="1">
                  <c:v>16264900</c:v>
                </c:pt>
                <c:pt idx="2">
                  <c:v>54977000</c:v>
                </c:pt>
              </c:numCache>
            </c:numRef>
          </c:val>
        </c:ser>
        <c:ser>
          <c:idx val="1"/>
          <c:order val="1"/>
          <c:tx>
            <c:strRef>
              <c:f>JM!$D$3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JM!$D$4:$D$6</c:f>
              <c:numCache>
                <c:formatCode>#,##0</c:formatCode>
                <c:ptCount val="3"/>
                <c:pt idx="0">
                  <c:v>10835988</c:v>
                </c:pt>
                <c:pt idx="1">
                  <c:v>5119900</c:v>
                </c:pt>
                <c:pt idx="2">
                  <c:v>7856800</c:v>
                </c:pt>
              </c:numCache>
            </c:numRef>
          </c:val>
        </c:ser>
        <c:ser>
          <c:idx val="2"/>
          <c:order val="2"/>
          <c:tx>
            <c:strRef>
              <c:f>JM!$E$3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JM!$E$4:$E$6</c:f>
              <c:numCache>
                <c:formatCode>#,##0</c:formatCode>
                <c:ptCount val="3"/>
                <c:pt idx="0">
                  <c:v>15179713</c:v>
                </c:pt>
                <c:pt idx="1">
                  <c:v>11145000</c:v>
                </c:pt>
                <c:pt idx="2">
                  <c:v>47120200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404928"/>
        <c:axId val="113423104"/>
      </c:barChart>
      <c:dateAx>
        <c:axId val="1134049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423104"/>
        <c:crosses val="autoZero"/>
        <c:auto val="1"/>
        <c:lblOffset val="100"/>
        <c:baseTimeUnit val="months"/>
      </c:dateAx>
      <c:valAx>
        <c:axId val="1134231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3404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JM!$L$3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JM!$L$4:$L$6</c:f>
              <c:numCache>
                <c:formatCode>#,##0</c:formatCode>
                <c:ptCount val="3"/>
                <c:pt idx="0">
                  <c:v>12627400</c:v>
                </c:pt>
                <c:pt idx="1">
                  <c:v>6292400</c:v>
                </c:pt>
                <c:pt idx="2">
                  <c:v>10672200</c:v>
                </c:pt>
              </c:numCache>
            </c:numRef>
          </c:val>
        </c:ser>
        <c:ser>
          <c:idx val="1"/>
          <c:order val="1"/>
          <c:tx>
            <c:strRef>
              <c:f>JM!$M$3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JM!$M$4:$M$6</c:f>
              <c:numCache>
                <c:formatCode>#,##0</c:formatCode>
                <c:ptCount val="3"/>
                <c:pt idx="0">
                  <c:v>4059800</c:v>
                </c:pt>
                <c:pt idx="1">
                  <c:v>1817600</c:v>
                </c:pt>
                <c:pt idx="2">
                  <c:v>2341688</c:v>
                </c:pt>
              </c:numCache>
            </c:numRef>
          </c:val>
        </c:ser>
        <c:ser>
          <c:idx val="2"/>
          <c:order val="2"/>
          <c:tx>
            <c:strRef>
              <c:f>JM!$N$3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JM!$N$4:$N$6</c:f>
              <c:numCache>
                <c:formatCode>#,##0</c:formatCode>
                <c:ptCount val="3"/>
                <c:pt idx="0">
                  <c:v>8567600</c:v>
                </c:pt>
                <c:pt idx="1">
                  <c:v>4474800</c:v>
                </c:pt>
                <c:pt idx="2">
                  <c:v>8330513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156096"/>
        <c:axId val="113157632"/>
      </c:barChart>
      <c:dateAx>
        <c:axId val="1131560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157632"/>
        <c:crosses val="autoZero"/>
        <c:auto val="1"/>
        <c:lblOffset val="100"/>
        <c:baseTimeUnit val="months"/>
      </c:dateAx>
      <c:valAx>
        <c:axId val="1131576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3156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JM!$F$3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JM!$F$4:$F$6</c:f>
              <c:numCache>
                <c:formatCode>General</c:formatCode>
                <c:ptCount val="3"/>
                <c:pt idx="0">
                  <c:v>247</c:v>
                </c:pt>
                <c:pt idx="1">
                  <c:v>130</c:v>
                </c:pt>
                <c:pt idx="2">
                  <c:v>464</c:v>
                </c:pt>
              </c:numCache>
            </c:numRef>
          </c:val>
        </c:ser>
        <c:ser>
          <c:idx val="4"/>
          <c:order val="1"/>
          <c:tx>
            <c:strRef>
              <c:f>JM!$G$3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JM!$G$4:$G$6</c:f>
              <c:numCache>
                <c:formatCode>General</c:formatCode>
                <c:ptCount val="3"/>
                <c:pt idx="0">
                  <c:v>94</c:v>
                </c:pt>
                <c:pt idx="1">
                  <c:v>40</c:v>
                </c:pt>
                <c:pt idx="2">
                  <c:v>61</c:v>
                </c:pt>
              </c:numCache>
            </c:numRef>
          </c:val>
        </c:ser>
        <c:ser>
          <c:idx val="5"/>
          <c:order val="2"/>
          <c:tx>
            <c:strRef>
              <c:f>JM!$H$3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JM!$H$4:$H$6</c:f>
              <c:numCache>
                <c:formatCode>General</c:formatCode>
                <c:ptCount val="3"/>
                <c:pt idx="0">
                  <c:v>153</c:v>
                </c:pt>
                <c:pt idx="1">
                  <c:v>90</c:v>
                </c:pt>
                <c:pt idx="2">
                  <c:v>403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181440"/>
        <c:axId val="113182976"/>
      </c:barChart>
      <c:dateAx>
        <c:axId val="11318144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182976"/>
        <c:crosses val="autoZero"/>
        <c:auto val="1"/>
        <c:lblOffset val="100"/>
        <c:baseTimeUnit val="months"/>
      </c:dateAx>
      <c:valAx>
        <c:axId val="11318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181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JM!$O$3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JM!$O$4:$O$6</c:f>
              <c:numCache>
                <c:formatCode>General</c:formatCode>
                <c:ptCount val="3"/>
                <c:pt idx="0">
                  <c:v>101</c:v>
                </c:pt>
                <c:pt idx="1">
                  <c:v>53</c:v>
                </c:pt>
                <c:pt idx="2">
                  <c:v>89</c:v>
                </c:pt>
              </c:numCache>
            </c:numRef>
          </c:val>
        </c:ser>
        <c:ser>
          <c:idx val="4"/>
          <c:order val="1"/>
          <c:tx>
            <c:strRef>
              <c:f>JM!$P$3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JM!$P$4:$P$6</c:f>
              <c:numCache>
                <c:formatCode>General</c:formatCode>
                <c:ptCount val="3"/>
                <c:pt idx="0">
                  <c:v>33</c:v>
                </c:pt>
                <c:pt idx="1">
                  <c:v>15</c:v>
                </c:pt>
                <c:pt idx="2">
                  <c:v>20</c:v>
                </c:pt>
              </c:numCache>
            </c:numRef>
          </c:val>
        </c:ser>
        <c:ser>
          <c:idx val="5"/>
          <c:order val="2"/>
          <c:tx>
            <c:strRef>
              <c:f>JM!$Q$3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JM!$Q$4:$Q$6</c:f>
              <c:numCache>
                <c:formatCode>General</c:formatCode>
                <c:ptCount val="3"/>
                <c:pt idx="0">
                  <c:v>68</c:v>
                </c:pt>
                <c:pt idx="1">
                  <c:v>38</c:v>
                </c:pt>
                <c:pt idx="2">
                  <c:v>69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219072"/>
        <c:axId val="113220608"/>
      </c:barChart>
      <c:dateAx>
        <c:axId val="11321907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220608"/>
        <c:crosses val="autoZero"/>
        <c:auto val="1"/>
        <c:lblOffset val="100"/>
        <c:baseTimeUnit val="months"/>
      </c:dateAx>
      <c:valAx>
        <c:axId val="11322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21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'Kurnia Eka Jaya'!$C$3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Jaya'!$C$4:$C$6</c:f>
              <c:numCache>
                <c:formatCode>#,##0</c:formatCode>
                <c:ptCount val="3"/>
                <c:pt idx="0">
                  <c:v>19274238</c:v>
                </c:pt>
                <c:pt idx="1">
                  <c:v>27351363</c:v>
                </c:pt>
                <c:pt idx="2">
                  <c:v>56435925</c:v>
                </c:pt>
              </c:numCache>
            </c:numRef>
          </c:val>
        </c:ser>
        <c:ser>
          <c:idx val="1"/>
          <c:order val="1"/>
          <c:tx>
            <c:strRef>
              <c:f>'Kurnia Eka Jaya'!$D$3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Jaya'!$D$4:$D$6</c:f>
              <c:numCache>
                <c:formatCode>#,##0</c:formatCode>
                <c:ptCount val="3"/>
                <c:pt idx="0">
                  <c:v>5105800</c:v>
                </c:pt>
                <c:pt idx="1">
                  <c:v>5133713</c:v>
                </c:pt>
                <c:pt idx="2">
                  <c:v>6790613</c:v>
                </c:pt>
              </c:numCache>
            </c:numRef>
          </c:val>
        </c:ser>
        <c:ser>
          <c:idx val="2"/>
          <c:order val="2"/>
          <c:tx>
            <c:strRef>
              <c:f>'Kurnia Eka Jaya'!$E$3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Jaya'!$E$4:$E$6</c:f>
              <c:numCache>
                <c:formatCode>#,##0</c:formatCode>
                <c:ptCount val="3"/>
                <c:pt idx="0">
                  <c:v>14168438</c:v>
                </c:pt>
                <c:pt idx="1">
                  <c:v>22217650</c:v>
                </c:pt>
                <c:pt idx="2">
                  <c:v>49645313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549440"/>
        <c:axId val="111555328"/>
      </c:barChart>
      <c:dateAx>
        <c:axId val="11154944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1555328"/>
        <c:crosses val="autoZero"/>
        <c:auto val="1"/>
        <c:lblOffset val="100"/>
        <c:baseTimeUnit val="months"/>
      </c:dateAx>
      <c:valAx>
        <c:axId val="1115553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1549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Atlantis!$F$3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Atlantis!$F$4:$F$6</c:f>
              <c:numCache>
                <c:formatCode>#,##0</c:formatCode>
                <c:ptCount val="3"/>
                <c:pt idx="0">
                  <c:v>1538</c:v>
                </c:pt>
                <c:pt idx="1">
                  <c:v>1699</c:v>
                </c:pt>
                <c:pt idx="2">
                  <c:v>2684</c:v>
                </c:pt>
              </c:numCache>
            </c:numRef>
          </c:val>
        </c:ser>
        <c:ser>
          <c:idx val="4"/>
          <c:order val="1"/>
          <c:tx>
            <c:strRef>
              <c:f>Atlantis!$G$3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Atlantis!$G$4:$G$6</c:f>
              <c:numCache>
                <c:formatCode>General</c:formatCode>
                <c:ptCount val="3"/>
                <c:pt idx="0">
                  <c:v>170</c:v>
                </c:pt>
                <c:pt idx="1">
                  <c:v>315</c:v>
                </c:pt>
                <c:pt idx="2">
                  <c:v>582</c:v>
                </c:pt>
              </c:numCache>
            </c:numRef>
          </c:val>
        </c:ser>
        <c:ser>
          <c:idx val="5"/>
          <c:order val="2"/>
          <c:tx>
            <c:strRef>
              <c:f>Atlantis!$H$3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Atlantis!$H$4:$H$6</c:f>
              <c:numCache>
                <c:formatCode>#,##0</c:formatCode>
                <c:ptCount val="3"/>
                <c:pt idx="0">
                  <c:v>1368</c:v>
                </c:pt>
                <c:pt idx="1">
                  <c:v>1384</c:v>
                </c:pt>
                <c:pt idx="2">
                  <c:v>2102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021440"/>
        <c:axId val="111039616"/>
      </c:barChart>
      <c:dateAx>
        <c:axId val="11102144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1039616"/>
        <c:crosses val="autoZero"/>
        <c:auto val="1"/>
        <c:lblOffset val="100"/>
        <c:baseTimeUnit val="months"/>
      </c:dateAx>
      <c:valAx>
        <c:axId val="1110396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1021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'Kurnia Eka Jaya'!$F$3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Jaya'!$F$4:$F$6</c:f>
              <c:numCache>
                <c:formatCode>General</c:formatCode>
                <c:ptCount val="3"/>
                <c:pt idx="0">
                  <c:v>194</c:v>
                </c:pt>
                <c:pt idx="1">
                  <c:v>276</c:v>
                </c:pt>
                <c:pt idx="2">
                  <c:v>539</c:v>
                </c:pt>
              </c:numCache>
            </c:numRef>
          </c:val>
        </c:ser>
        <c:ser>
          <c:idx val="4"/>
          <c:order val="1"/>
          <c:tx>
            <c:strRef>
              <c:f>'Kurnia Eka Jaya'!$G$3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Jaya'!$G$4:$G$6</c:f>
              <c:numCache>
                <c:formatCode>General</c:formatCode>
                <c:ptCount val="3"/>
                <c:pt idx="0">
                  <c:v>53</c:v>
                </c:pt>
                <c:pt idx="1">
                  <c:v>50</c:v>
                </c:pt>
                <c:pt idx="2">
                  <c:v>67</c:v>
                </c:pt>
              </c:numCache>
            </c:numRef>
          </c:val>
        </c:ser>
        <c:ser>
          <c:idx val="5"/>
          <c:order val="2"/>
          <c:tx>
            <c:strRef>
              <c:f>'Kurnia Eka Jaya'!$H$3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Jaya'!$H$4:$H$6</c:f>
              <c:numCache>
                <c:formatCode>General</c:formatCode>
                <c:ptCount val="3"/>
                <c:pt idx="0">
                  <c:v>141</c:v>
                </c:pt>
                <c:pt idx="1">
                  <c:v>226</c:v>
                </c:pt>
                <c:pt idx="2">
                  <c:v>472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053696"/>
        <c:axId val="113055232"/>
      </c:barChart>
      <c:dateAx>
        <c:axId val="1130536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055232"/>
        <c:crosses val="autoZero"/>
        <c:auto val="1"/>
        <c:lblOffset val="100"/>
        <c:baseTimeUnit val="months"/>
      </c:dateAx>
      <c:valAx>
        <c:axId val="113055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053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Nilau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Wenpi!$C$3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Wenpi!$C$4:$C$6</c:f>
              <c:numCache>
                <c:formatCode>#,##0</c:formatCode>
                <c:ptCount val="3"/>
                <c:pt idx="0">
                  <c:v>13187475</c:v>
                </c:pt>
                <c:pt idx="1">
                  <c:v>27518313</c:v>
                </c:pt>
                <c:pt idx="2">
                  <c:v>42126000</c:v>
                </c:pt>
              </c:numCache>
            </c:numRef>
          </c:val>
        </c:ser>
        <c:ser>
          <c:idx val="1"/>
          <c:order val="1"/>
          <c:tx>
            <c:strRef>
              <c:f>Wenpi!$D$3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Wenpi!$D$4:$D$6</c:f>
              <c:numCache>
                <c:formatCode>#,##0</c:formatCode>
                <c:ptCount val="3"/>
                <c:pt idx="0">
                  <c:v>422800</c:v>
                </c:pt>
                <c:pt idx="1">
                  <c:v>497875</c:v>
                </c:pt>
                <c:pt idx="2">
                  <c:v>1024013</c:v>
                </c:pt>
              </c:numCache>
            </c:numRef>
          </c:val>
        </c:ser>
        <c:ser>
          <c:idx val="2"/>
          <c:order val="2"/>
          <c:tx>
            <c:strRef>
              <c:f>Wenpi!$E$3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Wenpi!$E$4:$E$6</c:f>
              <c:numCache>
                <c:formatCode>#,##0</c:formatCode>
                <c:ptCount val="3"/>
                <c:pt idx="0">
                  <c:v>12764675</c:v>
                </c:pt>
                <c:pt idx="1">
                  <c:v>27020438</c:v>
                </c:pt>
                <c:pt idx="2">
                  <c:v>41101988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289088"/>
        <c:axId val="113290624"/>
      </c:barChart>
      <c:dateAx>
        <c:axId val="11328908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290624"/>
        <c:crosses val="autoZero"/>
        <c:auto val="1"/>
        <c:lblOffset val="100"/>
        <c:baseTimeUnit val="months"/>
      </c:dateAx>
      <c:valAx>
        <c:axId val="11329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3289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Wenpi!$L$3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Wenpi!$L$4:$L$6</c:f>
              <c:numCache>
                <c:formatCode>#,##0</c:formatCode>
                <c:ptCount val="3"/>
                <c:pt idx="0">
                  <c:v>11544925</c:v>
                </c:pt>
                <c:pt idx="1">
                  <c:v>19589850</c:v>
                </c:pt>
                <c:pt idx="2">
                  <c:v>20616138</c:v>
                </c:pt>
              </c:numCache>
            </c:numRef>
          </c:val>
        </c:ser>
        <c:ser>
          <c:idx val="1"/>
          <c:order val="1"/>
          <c:tx>
            <c:strRef>
              <c:f>Wenpi!$M$3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Wenpi!$M$4:$M$6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498663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Wenpi!$N$3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Wenpi!$N$4:$N$6</c:f>
              <c:numCache>
                <c:formatCode>#,##0</c:formatCode>
                <c:ptCount val="3"/>
                <c:pt idx="0">
                  <c:v>11544925</c:v>
                </c:pt>
                <c:pt idx="1">
                  <c:v>19091188</c:v>
                </c:pt>
                <c:pt idx="2">
                  <c:v>20616138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334912"/>
        <c:axId val="113348992"/>
      </c:barChart>
      <c:dateAx>
        <c:axId val="11333491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348992"/>
        <c:crosses val="autoZero"/>
        <c:auto val="1"/>
        <c:lblOffset val="100"/>
        <c:baseTimeUnit val="months"/>
      </c:dateAx>
      <c:valAx>
        <c:axId val="1133489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3334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Wenpi!$F$3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Wenpi!$F$4:$F$6</c:f>
              <c:numCache>
                <c:formatCode>General</c:formatCode>
                <c:ptCount val="3"/>
                <c:pt idx="0">
                  <c:v>115</c:v>
                </c:pt>
                <c:pt idx="1">
                  <c:v>240</c:v>
                </c:pt>
                <c:pt idx="2">
                  <c:v>371</c:v>
                </c:pt>
              </c:numCache>
            </c:numRef>
          </c:val>
        </c:ser>
        <c:ser>
          <c:idx val="4"/>
          <c:order val="1"/>
          <c:tx>
            <c:strRef>
              <c:f>Wenpi!$G$3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Wenpi!$G$4:$G$6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</c:ser>
        <c:ser>
          <c:idx val="5"/>
          <c:order val="2"/>
          <c:tx>
            <c:strRef>
              <c:f>Wenpi!$H$3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Wenpi!$H$4:$H$6</c:f>
              <c:numCache>
                <c:formatCode>General</c:formatCode>
                <c:ptCount val="3"/>
                <c:pt idx="0">
                  <c:v>111</c:v>
                </c:pt>
                <c:pt idx="1">
                  <c:v>235</c:v>
                </c:pt>
                <c:pt idx="2">
                  <c:v>361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048384"/>
        <c:axId val="114050176"/>
      </c:barChart>
      <c:dateAx>
        <c:axId val="11404838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050176"/>
        <c:crosses val="autoZero"/>
        <c:auto val="1"/>
        <c:lblOffset val="100"/>
        <c:baseTimeUnit val="months"/>
      </c:dateAx>
      <c:valAx>
        <c:axId val="11405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048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Wenpi!$O$3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Wenpi!$O$4:$O$6</c:f>
              <c:numCache>
                <c:formatCode>General</c:formatCode>
                <c:ptCount val="3"/>
                <c:pt idx="0">
                  <c:v>109</c:v>
                </c:pt>
                <c:pt idx="1">
                  <c:v>179</c:v>
                </c:pt>
                <c:pt idx="2">
                  <c:v>186</c:v>
                </c:pt>
              </c:numCache>
            </c:numRef>
          </c:val>
        </c:ser>
        <c:ser>
          <c:idx val="4"/>
          <c:order val="1"/>
          <c:tx>
            <c:strRef>
              <c:f>Wenpi!$P$3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Wenpi!$P$4:$P$6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Wenpi!$Q$3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Wenpi!$Q$4:$Q$6</c:f>
              <c:numCache>
                <c:formatCode>General</c:formatCode>
                <c:ptCount val="3"/>
                <c:pt idx="0">
                  <c:v>109</c:v>
                </c:pt>
                <c:pt idx="1">
                  <c:v>174</c:v>
                </c:pt>
                <c:pt idx="2">
                  <c:v>186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106752"/>
        <c:axId val="114108288"/>
      </c:barChart>
      <c:dateAx>
        <c:axId val="1141067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108288"/>
        <c:crosses val="autoZero"/>
        <c:auto val="1"/>
        <c:lblOffset val="100"/>
        <c:baseTimeUnit val="months"/>
      </c:dateAx>
      <c:valAx>
        <c:axId val="11410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106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'Samsul Bahri'!$C$3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Bahri'!$C$4:$C$6</c:f>
              <c:numCache>
                <c:formatCode>#,##0</c:formatCode>
                <c:ptCount val="3"/>
                <c:pt idx="0">
                  <c:v>18896238</c:v>
                </c:pt>
                <c:pt idx="1">
                  <c:v>26993663</c:v>
                </c:pt>
                <c:pt idx="2">
                  <c:v>65075063</c:v>
                </c:pt>
              </c:numCache>
            </c:numRef>
          </c:val>
        </c:ser>
        <c:ser>
          <c:idx val="1"/>
          <c:order val="1"/>
          <c:tx>
            <c:strRef>
              <c:f>'Samsul Bahri'!$D$3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Bahri'!$D$4:$D$6</c:f>
              <c:numCache>
                <c:formatCode>#,##0</c:formatCode>
                <c:ptCount val="3"/>
                <c:pt idx="0">
                  <c:v>6587875</c:v>
                </c:pt>
                <c:pt idx="1">
                  <c:v>8755250</c:v>
                </c:pt>
                <c:pt idx="2">
                  <c:v>15188425</c:v>
                </c:pt>
              </c:numCache>
            </c:numRef>
          </c:val>
        </c:ser>
        <c:ser>
          <c:idx val="2"/>
          <c:order val="2"/>
          <c:tx>
            <c:strRef>
              <c:f>'Samsul Bahri'!$E$3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Bahri'!$E$4:$E$6</c:f>
              <c:numCache>
                <c:formatCode>#,##0</c:formatCode>
                <c:ptCount val="3"/>
                <c:pt idx="0">
                  <c:v>12308363</c:v>
                </c:pt>
                <c:pt idx="1">
                  <c:v>18238413</c:v>
                </c:pt>
                <c:pt idx="2">
                  <c:v>49886638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473408"/>
        <c:axId val="113474944"/>
      </c:barChart>
      <c:dateAx>
        <c:axId val="11347340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474944"/>
        <c:crosses val="autoZero"/>
        <c:auto val="1"/>
        <c:lblOffset val="100"/>
        <c:baseTimeUnit val="months"/>
      </c:dateAx>
      <c:valAx>
        <c:axId val="1134749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3473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'Samsul Bahri'!$F$3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Bahri'!$F$4:$F$6</c:f>
              <c:numCache>
                <c:formatCode>General</c:formatCode>
                <c:ptCount val="3"/>
                <c:pt idx="0">
                  <c:v>188</c:v>
                </c:pt>
                <c:pt idx="1">
                  <c:v>263</c:v>
                </c:pt>
                <c:pt idx="2">
                  <c:v>642</c:v>
                </c:pt>
              </c:numCache>
            </c:numRef>
          </c:val>
        </c:ser>
        <c:ser>
          <c:idx val="4"/>
          <c:order val="1"/>
          <c:tx>
            <c:strRef>
              <c:f>'Samsul Bahri'!$G$3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Bahri'!$G$4:$G$6</c:f>
              <c:numCache>
                <c:formatCode>General</c:formatCode>
                <c:ptCount val="3"/>
                <c:pt idx="0">
                  <c:v>67</c:v>
                </c:pt>
                <c:pt idx="1">
                  <c:v>93</c:v>
                </c:pt>
                <c:pt idx="2">
                  <c:v>132</c:v>
                </c:pt>
              </c:numCache>
            </c:numRef>
          </c:val>
        </c:ser>
        <c:ser>
          <c:idx val="5"/>
          <c:order val="2"/>
          <c:tx>
            <c:strRef>
              <c:f>'Samsul Bahri'!$H$3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Bahri'!$H$4:$H$6</c:f>
              <c:numCache>
                <c:formatCode>General</c:formatCode>
                <c:ptCount val="3"/>
                <c:pt idx="0">
                  <c:v>121</c:v>
                </c:pt>
                <c:pt idx="1">
                  <c:v>170</c:v>
                </c:pt>
                <c:pt idx="2">
                  <c:v>510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781376"/>
        <c:axId val="113791360"/>
      </c:barChart>
      <c:dateAx>
        <c:axId val="1137813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791360"/>
        <c:crosses val="autoZero"/>
        <c:auto val="1"/>
        <c:lblOffset val="100"/>
        <c:baseTimeUnit val="months"/>
      </c:dateAx>
      <c:valAx>
        <c:axId val="11379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781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'Imas Jub'!$C$3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Jub'!$C$4:$C$6</c:f>
              <c:numCache>
                <c:formatCode>#,##0</c:formatCode>
                <c:ptCount val="3"/>
                <c:pt idx="0">
                  <c:v>12686450</c:v>
                </c:pt>
                <c:pt idx="1">
                  <c:v>17144663</c:v>
                </c:pt>
                <c:pt idx="2">
                  <c:v>17946688</c:v>
                </c:pt>
              </c:numCache>
            </c:numRef>
          </c:val>
        </c:ser>
        <c:ser>
          <c:idx val="1"/>
          <c:order val="1"/>
          <c:tx>
            <c:strRef>
              <c:f>'Imas Jub'!$D$3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Jub'!$D$4:$D$6</c:f>
              <c:numCache>
                <c:formatCode>#,##0</c:formatCode>
                <c:ptCount val="3"/>
                <c:pt idx="0">
                  <c:v>742613</c:v>
                </c:pt>
                <c:pt idx="1">
                  <c:v>211488</c:v>
                </c:pt>
                <c:pt idx="2">
                  <c:v>610838</c:v>
                </c:pt>
              </c:numCache>
            </c:numRef>
          </c:val>
        </c:ser>
        <c:ser>
          <c:idx val="2"/>
          <c:order val="2"/>
          <c:tx>
            <c:strRef>
              <c:f>'Imas Jub'!$E$3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Jub'!$E$4:$E$6</c:f>
              <c:numCache>
                <c:formatCode>#,##0</c:formatCode>
                <c:ptCount val="3"/>
                <c:pt idx="0">
                  <c:v>11943838</c:v>
                </c:pt>
                <c:pt idx="1">
                  <c:v>16933175</c:v>
                </c:pt>
                <c:pt idx="2">
                  <c:v>17335850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685248"/>
        <c:axId val="113686784"/>
      </c:barChart>
      <c:dateAx>
        <c:axId val="11368524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686784"/>
        <c:crosses val="autoZero"/>
        <c:auto val="1"/>
        <c:lblOffset val="100"/>
        <c:baseTimeUnit val="months"/>
      </c:dateAx>
      <c:valAx>
        <c:axId val="11368678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3685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'Imas Jub'!$L$3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Jub'!$L$4:$L$6</c:f>
              <c:numCache>
                <c:formatCode>#,##0</c:formatCode>
                <c:ptCount val="3"/>
                <c:pt idx="0">
                  <c:v>10443038</c:v>
                </c:pt>
                <c:pt idx="1">
                  <c:v>15020688</c:v>
                </c:pt>
                <c:pt idx="2">
                  <c:v>18219163</c:v>
                </c:pt>
              </c:numCache>
            </c:numRef>
          </c:val>
        </c:ser>
        <c:ser>
          <c:idx val="1"/>
          <c:order val="1"/>
          <c:tx>
            <c:strRef>
              <c:f>'Imas Jub'!$M$3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Jub'!$M$4:$M$6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503388</c:v>
                </c:pt>
                <c:pt idx="2">
                  <c:v>724325</c:v>
                </c:pt>
              </c:numCache>
            </c:numRef>
          </c:val>
        </c:ser>
        <c:ser>
          <c:idx val="2"/>
          <c:order val="2"/>
          <c:tx>
            <c:strRef>
              <c:f>'Imas Jub'!$N$3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Jub'!$N$4:$N$6</c:f>
              <c:numCache>
                <c:formatCode>#,##0</c:formatCode>
                <c:ptCount val="3"/>
                <c:pt idx="0">
                  <c:v>10443038</c:v>
                </c:pt>
                <c:pt idx="1">
                  <c:v>14517300</c:v>
                </c:pt>
                <c:pt idx="2">
                  <c:v>17494838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739264"/>
        <c:axId val="113740800"/>
      </c:barChart>
      <c:dateAx>
        <c:axId val="1137392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740800"/>
        <c:crosses val="autoZero"/>
        <c:auto val="1"/>
        <c:lblOffset val="100"/>
        <c:baseTimeUnit val="months"/>
      </c:dateAx>
      <c:valAx>
        <c:axId val="1137408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3739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'Imas Jub'!$F$3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Jub'!$F$4:$F$6</c:f>
              <c:numCache>
                <c:formatCode>General</c:formatCode>
                <c:ptCount val="3"/>
                <c:pt idx="0">
                  <c:v>109</c:v>
                </c:pt>
                <c:pt idx="1">
                  <c:v>145</c:v>
                </c:pt>
                <c:pt idx="2">
                  <c:v>146</c:v>
                </c:pt>
              </c:numCache>
            </c:numRef>
          </c:val>
        </c:ser>
        <c:ser>
          <c:idx val="4"/>
          <c:order val="1"/>
          <c:tx>
            <c:strRef>
              <c:f>'Imas Jub'!$G$3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Jub'!$G$4:$G$6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ser>
          <c:idx val="5"/>
          <c:order val="2"/>
          <c:tx>
            <c:strRef>
              <c:f>'Imas Jub'!$H$3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Jub'!$H$4:$H$6</c:f>
              <c:numCache>
                <c:formatCode>General</c:formatCode>
                <c:ptCount val="3"/>
                <c:pt idx="0">
                  <c:v>102</c:v>
                </c:pt>
                <c:pt idx="1">
                  <c:v>143</c:v>
                </c:pt>
                <c:pt idx="2">
                  <c:v>141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907968"/>
        <c:axId val="113917952"/>
      </c:barChart>
      <c:dateAx>
        <c:axId val="11390796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917952"/>
        <c:crosses val="autoZero"/>
        <c:auto val="1"/>
        <c:lblOffset val="100"/>
        <c:baseTimeUnit val="months"/>
      </c:dateAx>
      <c:valAx>
        <c:axId val="113917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907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Atlantis!$O$3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Atlantis!$O$4:$O$6</c:f>
              <c:numCache>
                <c:formatCode>General</c:formatCode>
                <c:ptCount val="3"/>
                <c:pt idx="0">
                  <c:v>577</c:v>
                </c:pt>
                <c:pt idx="1">
                  <c:v>733</c:v>
                </c:pt>
                <c:pt idx="2">
                  <c:v>915</c:v>
                </c:pt>
              </c:numCache>
            </c:numRef>
          </c:val>
        </c:ser>
        <c:ser>
          <c:idx val="4"/>
          <c:order val="1"/>
          <c:tx>
            <c:strRef>
              <c:f>Atlantis!$P$3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Atlantis!$P$4:$P$6</c:f>
              <c:numCache>
                <c:formatCode>General</c:formatCode>
                <c:ptCount val="3"/>
                <c:pt idx="0">
                  <c:v>110</c:v>
                </c:pt>
                <c:pt idx="1">
                  <c:v>133</c:v>
                </c:pt>
                <c:pt idx="2">
                  <c:v>196</c:v>
                </c:pt>
              </c:numCache>
            </c:numRef>
          </c:val>
        </c:ser>
        <c:ser>
          <c:idx val="5"/>
          <c:order val="2"/>
          <c:tx>
            <c:strRef>
              <c:f>Atlantis!$Q$3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Atlantis!$Q$4:$Q$6</c:f>
              <c:numCache>
                <c:formatCode>General</c:formatCode>
                <c:ptCount val="3"/>
                <c:pt idx="0">
                  <c:v>467</c:v>
                </c:pt>
                <c:pt idx="1">
                  <c:v>600</c:v>
                </c:pt>
                <c:pt idx="2">
                  <c:v>719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088000"/>
        <c:axId val="111089536"/>
      </c:barChart>
      <c:dateAx>
        <c:axId val="11108800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1089536"/>
        <c:crosses val="autoZero"/>
        <c:auto val="1"/>
        <c:lblOffset val="100"/>
        <c:baseTimeUnit val="months"/>
      </c:dateAx>
      <c:valAx>
        <c:axId val="111089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088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'Imas Jub'!$O$3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Jub'!$O$4:$O$6</c:f>
              <c:numCache>
                <c:formatCode>General</c:formatCode>
                <c:ptCount val="3"/>
                <c:pt idx="0">
                  <c:v>84</c:v>
                </c:pt>
                <c:pt idx="1">
                  <c:v>142</c:v>
                </c:pt>
                <c:pt idx="2">
                  <c:v>160</c:v>
                </c:pt>
              </c:numCache>
            </c:numRef>
          </c:val>
        </c:ser>
        <c:ser>
          <c:idx val="4"/>
          <c:order val="1"/>
          <c:tx>
            <c:strRef>
              <c:f>'Imas Jub'!$P$3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Jub'!$P$4:$P$6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</c:ser>
        <c:ser>
          <c:idx val="5"/>
          <c:order val="2"/>
          <c:tx>
            <c:strRef>
              <c:f>'Imas Jub'!$Q$3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Jub'!$Q$4:$Q$6</c:f>
              <c:numCache>
                <c:formatCode>General</c:formatCode>
                <c:ptCount val="3"/>
                <c:pt idx="0">
                  <c:v>84</c:v>
                </c:pt>
                <c:pt idx="1">
                  <c:v>137</c:v>
                </c:pt>
                <c:pt idx="2">
                  <c:v>153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949696"/>
        <c:axId val="113840896"/>
      </c:barChart>
      <c:dateAx>
        <c:axId val="1139496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840896"/>
        <c:crosses val="autoZero"/>
        <c:auto val="1"/>
        <c:lblOffset val="100"/>
        <c:baseTimeUnit val="months"/>
      </c:dateAx>
      <c:valAx>
        <c:axId val="11384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949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'Dedi K'!$C$3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K'!$C$4:$C$6</c:f>
              <c:numCache>
                <c:formatCode>#,##0</c:formatCode>
                <c:ptCount val="3"/>
                <c:pt idx="0">
                  <c:v>11499775</c:v>
                </c:pt>
                <c:pt idx="1">
                  <c:v>20612288</c:v>
                </c:pt>
                <c:pt idx="2">
                  <c:v>32027713</c:v>
                </c:pt>
              </c:numCache>
            </c:numRef>
          </c:val>
        </c:ser>
        <c:ser>
          <c:idx val="1"/>
          <c:order val="1"/>
          <c:tx>
            <c:strRef>
              <c:f>'Dedi K'!$D$3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K'!$D$4:$D$6</c:f>
              <c:numCache>
                <c:formatCode>#,##0</c:formatCode>
                <c:ptCount val="3"/>
                <c:pt idx="0">
                  <c:v>822850</c:v>
                </c:pt>
                <c:pt idx="1">
                  <c:v>2328638</c:v>
                </c:pt>
                <c:pt idx="2">
                  <c:v>3483463</c:v>
                </c:pt>
              </c:numCache>
            </c:numRef>
          </c:val>
        </c:ser>
        <c:ser>
          <c:idx val="2"/>
          <c:order val="2"/>
          <c:tx>
            <c:strRef>
              <c:f>'Dedi K'!$E$3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K'!$E$4:$E$6</c:f>
              <c:numCache>
                <c:formatCode>#,##0</c:formatCode>
                <c:ptCount val="3"/>
                <c:pt idx="0">
                  <c:v>10676925</c:v>
                </c:pt>
                <c:pt idx="1">
                  <c:v>18283650</c:v>
                </c:pt>
                <c:pt idx="2">
                  <c:v>28544250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205824"/>
        <c:axId val="114207360"/>
      </c:barChart>
      <c:dateAx>
        <c:axId val="1142058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207360"/>
        <c:crosses val="autoZero"/>
        <c:auto val="1"/>
        <c:lblOffset val="100"/>
        <c:baseTimeUnit val="months"/>
      </c:dateAx>
      <c:valAx>
        <c:axId val="1142073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4205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'Dedi K'!$L$3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K'!$L$4:$L$6</c:f>
              <c:numCache>
                <c:formatCode>#,##0</c:formatCode>
                <c:ptCount val="3"/>
                <c:pt idx="0">
                  <c:v>2369500</c:v>
                </c:pt>
                <c:pt idx="1">
                  <c:v>14588000</c:v>
                </c:pt>
                <c:pt idx="2">
                  <c:v>18573713</c:v>
                </c:pt>
              </c:numCache>
            </c:numRef>
          </c:val>
        </c:ser>
        <c:ser>
          <c:idx val="1"/>
          <c:order val="1"/>
          <c:tx>
            <c:strRef>
              <c:f>'Dedi K'!$M$3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K'!$M$4:$M$6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980263</c:v>
                </c:pt>
                <c:pt idx="2">
                  <c:v>747425</c:v>
                </c:pt>
              </c:numCache>
            </c:numRef>
          </c:val>
        </c:ser>
        <c:ser>
          <c:idx val="2"/>
          <c:order val="2"/>
          <c:tx>
            <c:strRef>
              <c:f>'Dedi K'!$N$3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K'!$N$4:$N$6</c:f>
              <c:numCache>
                <c:formatCode>#,##0</c:formatCode>
                <c:ptCount val="3"/>
                <c:pt idx="0">
                  <c:v>2369500</c:v>
                </c:pt>
                <c:pt idx="1">
                  <c:v>13607738</c:v>
                </c:pt>
                <c:pt idx="2">
                  <c:v>17826288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395008"/>
        <c:axId val="114396544"/>
      </c:barChart>
      <c:dateAx>
        <c:axId val="11439500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396544"/>
        <c:crosses val="autoZero"/>
        <c:auto val="1"/>
        <c:lblOffset val="100"/>
        <c:baseTimeUnit val="months"/>
      </c:dateAx>
      <c:valAx>
        <c:axId val="1143965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4395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'Dedi K'!$F$3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K'!$F$4:$F$6</c:f>
              <c:numCache>
                <c:formatCode>General</c:formatCode>
                <c:ptCount val="3"/>
                <c:pt idx="0">
                  <c:v>109</c:v>
                </c:pt>
                <c:pt idx="1">
                  <c:v>193</c:v>
                </c:pt>
                <c:pt idx="2">
                  <c:v>289</c:v>
                </c:pt>
              </c:numCache>
            </c:numRef>
          </c:val>
        </c:ser>
        <c:ser>
          <c:idx val="4"/>
          <c:order val="1"/>
          <c:tx>
            <c:strRef>
              <c:f>'Dedi K'!$G$3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K'!$G$4:$G$6</c:f>
              <c:numCache>
                <c:formatCode>General</c:formatCode>
                <c:ptCount val="3"/>
                <c:pt idx="0">
                  <c:v>8</c:v>
                </c:pt>
                <c:pt idx="1">
                  <c:v>21</c:v>
                </c:pt>
                <c:pt idx="2">
                  <c:v>30</c:v>
                </c:pt>
              </c:numCache>
            </c:numRef>
          </c:val>
        </c:ser>
        <c:ser>
          <c:idx val="5"/>
          <c:order val="2"/>
          <c:tx>
            <c:strRef>
              <c:f>'Dedi K'!$H$3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K'!$H$4:$H$6</c:f>
              <c:numCache>
                <c:formatCode>General</c:formatCode>
                <c:ptCount val="3"/>
                <c:pt idx="0">
                  <c:v>101</c:v>
                </c:pt>
                <c:pt idx="1">
                  <c:v>172</c:v>
                </c:pt>
                <c:pt idx="2">
                  <c:v>259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756224"/>
        <c:axId val="114766208"/>
      </c:barChart>
      <c:dateAx>
        <c:axId val="1147562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766208"/>
        <c:crosses val="autoZero"/>
        <c:auto val="1"/>
        <c:lblOffset val="100"/>
        <c:baseTimeUnit val="months"/>
      </c:dateAx>
      <c:valAx>
        <c:axId val="11476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756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'Dedi K'!$O$3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K'!$O$4:$O$6</c:f>
              <c:numCache>
                <c:formatCode>General</c:formatCode>
                <c:ptCount val="3"/>
                <c:pt idx="0">
                  <c:v>24</c:v>
                </c:pt>
                <c:pt idx="1">
                  <c:v>145</c:v>
                </c:pt>
                <c:pt idx="2">
                  <c:v>173</c:v>
                </c:pt>
              </c:numCache>
            </c:numRef>
          </c:val>
        </c:ser>
        <c:ser>
          <c:idx val="4"/>
          <c:order val="1"/>
          <c:tx>
            <c:strRef>
              <c:f>'Dedi K'!$P$3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K'!$P$4:$P$6</c:f>
              <c:numCache>
                <c:formatCode>General</c:formatCode>
                <c:ptCount val="3"/>
                <c:pt idx="0">
                  <c:v>0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</c:ser>
        <c:ser>
          <c:idx val="5"/>
          <c:order val="2"/>
          <c:tx>
            <c:strRef>
              <c:f>'Dedi K'!$Q$3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K'!$Q$4:$Q$6</c:f>
              <c:numCache>
                <c:formatCode>General</c:formatCode>
                <c:ptCount val="3"/>
                <c:pt idx="0">
                  <c:v>24</c:v>
                </c:pt>
                <c:pt idx="1">
                  <c:v>136</c:v>
                </c:pt>
                <c:pt idx="2">
                  <c:v>165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797952"/>
        <c:axId val="114812032"/>
      </c:barChart>
      <c:dateAx>
        <c:axId val="1147979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812032"/>
        <c:crosses val="autoZero"/>
        <c:auto val="1"/>
        <c:lblOffset val="100"/>
        <c:baseTimeUnit val="months"/>
      </c:dateAx>
      <c:valAx>
        <c:axId val="114812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797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'Muh Irfan'!$C$3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Irfan'!$C$4:$C$6</c:f>
              <c:numCache>
                <c:formatCode>#,##0</c:formatCode>
                <c:ptCount val="3"/>
                <c:pt idx="0">
                  <c:v>10915888</c:v>
                </c:pt>
                <c:pt idx="1">
                  <c:v>18635488</c:v>
                </c:pt>
                <c:pt idx="2">
                  <c:v>18730775</c:v>
                </c:pt>
              </c:numCache>
            </c:numRef>
          </c:val>
        </c:ser>
        <c:ser>
          <c:idx val="1"/>
          <c:order val="1"/>
          <c:tx>
            <c:strRef>
              <c:f>'Muh Irfan'!$D$3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Irfan'!$D$4:$D$6</c:f>
              <c:numCache>
                <c:formatCode>#,##0</c:formatCode>
                <c:ptCount val="3"/>
                <c:pt idx="0">
                  <c:v>605150</c:v>
                </c:pt>
                <c:pt idx="1">
                  <c:v>540838</c:v>
                </c:pt>
                <c:pt idx="2">
                  <c:v>460950</c:v>
                </c:pt>
              </c:numCache>
            </c:numRef>
          </c:val>
        </c:ser>
        <c:ser>
          <c:idx val="2"/>
          <c:order val="2"/>
          <c:tx>
            <c:strRef>
              <c:f>'Muh Irfan'!$E$3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Irfan'!$E$4:$E$6</c:f>
              <c:numCache>
                <c:formatCode>#,##0</c:formatCode>
                <c:ptCount val="3"/>
                <c:pt idx="0">
                  <c:v>10310738</c:v>
                </c:pt>
                <c:pt idx="1">
                  <c:v>18094650</c:v>
                </c:pt>
                <c:pt idx="2">
                  <c:v>18269825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570752"/>
        <c:axId val="114572288"/>
      </c:barChart>
      <c:dateAx>
        <c:axId val="1145707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572288"/>
        <c:crosses val="autoZero"/>
        <c:auto val="1"/>
        <c:lblOffset val="100"/>
        <c:baseTimeUnit val="months"/>
      </c:dateAx>
      <c:valAx>
        <c:axId val="11457228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14570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'Muh Irfan'!$L$3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Irfan'!$L$4:$L$6</c:f>
              <c:numCache>
                <c:formatCode>#,##0</c:formatCode>
                <c:ptCount val="3"/>
                <c:pt idx="0">
                  <c:v>8076775</c:v>
                </c:pt>
                <c:pt idx="1">
                  <c:v>8414000</c:v>
                </c:pt>
                <c:pt idx="2">
                  <c:v>7812788</c:v>
                </c:pt>
              </c:numCache>
            </c:numRef>
          </c:val>
        </c:ser>
        <c:ser>
          <c:idx val="1"/>
          <c:order val="1"/>
          <c:tx>
            <c:strRef>
              <c:f>'Muh Irfan'!$M$3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Irfan'!$M$4:$M$6</c:f>
              <c:numCache>
                <c:formatCode>#,##0</c:formatCode>
                <c:ptCount val="3"/>
                <c:pt idx="0">
                  <c:v>228025</c:v>
                </c:pt>
                <c:pt idx="1">
                  <c:v>195825</c:v>
                </c:pt>
                <c:pt idx="2">
                  <c:v>382463</c:v>
                </c:pt>
              </c:numCache>
            </c:numRef>
          </c:val>
        </c:ser>
        <c:ser>
          <c:idx val="2"/>
          <c:order val="2"/>
          <c:tx>
            <c:strRef>
              <c:f>'Muh Irfan'!$N$3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Irfan'!$N$4:$N$6</c:f>
              <c:numCache>
                <c:formatCode>#,##0</c:formatCode>
                <c:ptCount val="3"/>
                <c:pt idx="0">
                  <c:v>7848750</c:v>
                </c:pt>
                <c:pt idx="1">
                  <c:v>8218175</c:v>
                </c:pt>
                <c:pt idx="2">
                  <c:v>7430325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616576"/>
        <c:axId val="114704384"/>
      </c:barChart>
      <c:dateAx>
        <c:axId val="1146165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704384"/>
        <c:crosses val="autoZero"/>
        <c:auto val="1"/>
        <c:lblOffset val="100"/>
        <c:baseTimeUnit val="months"/>
      </c:dateAx>
      <c:valAx>
        <c:axId val="11470438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4616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'Muh Irfan'!$F$3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Irfan'!$F$4:$F$6</c:f>
              <c:numCache>
                <c:formatCode>General</c:formatCode>
                <c:ptCount val="3"/>
                <c:pt idx="0">
                  <c:v>103</c:v>
                </c:pt>
                <c:pt idx="1">
                  <c:v>189</c:v>
                </c:pt>
                <c:pt idx="2">
                  <c:v>184</c:v>
                </c:pt>
              </c:numCache>
            </c:numRef>
          </c:val>
        </c:ser>
        <c:ser>
          <c:idx val="4"/>
          <c:order val="1"/>
          <c:tx>
            <c:strRef>
              <c:f>'Muh Irfan'!$G$3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Irfan'!$G$4:$G$6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5"/>
          <c:order val="2"/>
          <c:tx>
            <c:strRef>
              <c:f>'Muh Irfan'!$H$3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Irfan'!$H$4:$H$6</c:f>
              <c:numCache>
                <c:formatCode>General</c:formatCode>
                <c:ptCount val="3"/>
                <c:pt idx="0">
                  <c:v>96</c:v>
                </c:pt>
                <c:pt idx="1">
                  <c:v>184</c:v>
                </c:pt>
                <c:pt idx="2">
                  <c:v>179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744320"/>
        <c:axId val="114750208"/>
      </c:barChart>
      <c:dateAx>
        <c:axId val="11474432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750208"/>
        <c:crosses val="autoZero"/>
        <c:auto val="1"/>
        <c:lblOffset val="100"/>
        <c:baseTimeUnit val="months"/>
      </c:dateAx>
      <c:valAx>
        <c:axId val="114750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744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'Muh Irfan'!$O$3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Irfan'!$O$4:$O$6</c:f>
              <c:numCache>
                <c:formatCode>General</c:formatCode>
                <c:ptCount val="3"/>
                <c:pt idx="0">
                  <c:v>75</c:v>
                </c:pt>
                <c:pt idx="1">
                  <c:v>78</c:v>
                </c:pt>
                <c:pt idx="2">
                  <c:v>68</c:v>
                </c:pt>
              </c:numCache>
            </c:numRef>
          </c:val>
        </c:ser>
        <c:ser>
          <c:idx val="4"/>
          <c:order val="1"/>
          <c:tx>
            <c:strRef>
              <c:f>'Muh Irfan'!$P$3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Irfan'!$P$4:$P$6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ser>
          <c:idx val="5"/>
          <c:order val="2"/>
          <c:tx>
            <c:strRef>
              <c:f>'Muh Irfan'!$Q$3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Irfan'!$Q$4:$Q$6</c:f>
              <c:numCache>
                <c:formatCode>General</c:formatCode>
                <c:ptCount val="3"/>
                <c:pt idx="0">
                  <c:v>73</c:v>
                </c:pt>
                <c:pt idx="1">
                  <c:v>76</c:v>
                </c:pt>
                <c:pt idx="2">
                  <c:v>66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5183616"/>
        <c:axId val="115185152"/>
      </c:barChart>
      <c:dateAx>
        <c:axId val="11518361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5185152"/>
        <c:crosses val="autoZero"/>
        <c:auto val="1"/>
        <c:lblOffset val="100"/>
        <c:baseTimeUnit val="months"/>
      </c:dateAx>
      <c:valAx>
        <c:axId val="115185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183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'Indra F'!$C$3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'Indra F'!$B$4:$B$6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'Indra F'!$C$4:$C$6</c:f>
              <c:numCache>
                <c:formatCode>#,##0</c:formatCode>
                <c:ptCount val="3"/>
                <c:pt idx="0">
                  <c:v>11328013</c:v>
                </c:pt>
                <c:pt idx="1">
                  <c:v>45165925</c:v>
                </c:pt>
                <c:pt idx="2">
                  <c:v>51899575</c:v>
                </c:pt>
              </c:numCache>
            </c:numRef>
          </c:val>
        </c:ser>
        <c:ser>
          <c:idx val="1"/>
          <c:order val="1"/>
          <c:tx>
            <c:strRef>
              <c:f>'Indra F'!$D$3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'Indra F'!$B$4:$B$6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'Indra F'!$D$4:$D$6</c:f>
              <c:numCache>
                <c:formatCode>#,##0</c:formatCode>
                <c:ptCount val="3"/>
                <c:pt idx="0">
                  <c:v>1307688</c:v>
                </c:pt>
                <c:pt idx="1">
                  <c:v>5717163</c:v>
                </c:pt>
                <c:pt idx="2">
                  <c:v>6874700</c:v>
                </c:pt>
              </c:numCache>
            </c:numRef>
          </c:val>
        </c:ser>
        <c:ser>
          <c:idx val="2"/>
          <c:order val="2"/>
          <c:tx>
            <c:strRef>
              <c:f>'Indra F'!$E$3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'Indra F'!$B$4:$B$6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'Indra F'!$E$4:$E$6</c:f>
              <c:numCache>
                <c:formatCode>#,##0</c:formatCode>
                <c:ptCount val="3"/>
                <c:pt idx="0">
                  <c:v>10020325</c:v>
                </c:pt>
                <c:pt idx="1">
                  <c:v>39448763</c:v>
                </c:pt>
                <c:pt idx="2">
                  <c:v>45024875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964352"/>
        <c:axId val="114965888"/>
      </c:barChart>
      <c:dateAx>
        <c:axId val="1149643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965888"/>
        <c:crosses val="autoZero"/>
        <c:auto val="1"/>
        <c:lblOffset val="100"/>
        <c:baseTimeUnit val="months"/>
      </c:dateAx>
      <c:valAx>
        <c:axId val="1149658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4964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Bandros!$C$3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Bandros!$C$4:$C$6</c:f>
              <c:numCache>
                <c:formatCode>#,##0</c:formatCode>
                <c:ptCount val="3"/>
                <c:pt idx="0">
                  <c:v>122635188</c:v>
                </c:pt>
                <c:pt idx="1">
                  <c:v>151669700</c:v>
                </c:pt>
                <c:pt idx="2">
                  <c:v>175152688</c:v>
                </c:pt>
              </c:numCache>
            </c:numRef>
          </c:val>
        </c:ser>
        <c:ser>
          <c:idx val="1"/>
          <c:order val="1"/>
          <c:tx>
            <c:strRef>
              <c:f>Bandros!$D$3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Bandros!$D$4:$D$6</c:f>
              <c:numCache>
                <c:formatCode>#,##0</c:formatCode>
                <c:ptCount val="3"/>
                <c:pt idx="0">
                  <c:v>7883138</c:v>
                </c:pt>
                <c:pt idx="1">
                  <c:v>12131925</c:v>
                </c:pt>
                <c:pt idx="2">
                  <c:v>10025838</c:v>
                </c:pt>
              </c:numCache>
            </c:numRef>
          </c:val>
        </c:ser>
        <c:ser>
          <c:idx val="2"/>
          <c:order val="2"/>
          <c:tx>
            <c:strRef>
              <c:f>Bandros!$E$3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Bandros!$E$4:$E$6</c:f>
              <c:numCache>
                <c:formatCode>#,##0</c:formatCode>
                <c:ptCount val="3"/>
                <c:pt idx="0">
                  <c:v>114752050</c:v>
                </c:pt>
                <c:pt idx="1">
                  <c:v>139537775</c:v>
                </c:pt>
                <c:pt idx="2">
                  <c:v>165126850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415872"/>
        <c:axId val="110417408"/>
      </c:barChart>
      <c:dateAx>
        <c:axId val="11041587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0417408"/>
        <c:crosses val="autoZero"/>
        <c:auto val="1"/>
        <c:lblOffset val="100"/>
        <c:baseTimeUnit val="months"/>
      </c:dateAx>
      <c:valAx>
        <c:axId val="1104174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0415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'Indra F'!$L$3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'Indra F'!$K$4:$K$6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'Indra F'!$L$4:$L$6</c:f>
              <c:numCache>
                <c:formatCode>#,##0</c:formatCode>
                <c:ptCount val="3"/>
                <c:pt idx="0">
                  <c:v>2825288</c:v>
                </c:pt>
                <c:pt idx="1">
                  <c:v>7780588</c:v>
                </c:pt>
                <c:pt idx="2">
                  <c:v>35356650</c:v>
                </c:pt>
              </c:numCache>
            </c:numRef>
          </c:val>
        </c:ser>
        <c:ser>
          <c:idx val="1"/>
          <c:order val="1"/>
          <c:tx>
            <c:strRef>
              <c:f>'Indra F'!$M$3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'Indra F'!$K$4:$K$6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'Indra F'!$M$4:$M$6</c:f>
              <c:numCache>
                <c:formatCode>#,##0</c:formatCode>
                <c:ptCount val="3"/>
                <c:pt idx="0">
                  <c:v>114450</c:v>
                </c:pt>
                <c:pt idx="1">
                  <c:v>936250</c:v>
                </c:pt>
                <c:pt idx="2">
                  <c:v>12631362</c:v>
                </c:pt>
              </c:numCache>
            </c:numRef>
          </c:val>
        </c:ser>
        <c:ser>
          <c:idx val="2"/>
          <c:order val="2"/>
          <c:tx>
            <c:strRef>
              <c:f>'Indra F'!$N$3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'Indra F'!$K$4:$K$6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'Indra F'!$N$4:$N$6</c:f>
              <c:numCache>
                <c:formatCode>#,##0</c:formatCode>
                <c:ptCount val="3"/>
                <c:pt idx="0">
                  <c:v>2710838</c:v>
                </c:pt>
                <c:pt idx="1">
                  <c:v>6844338</c:v>
                </c:pt>
                <c:pt idx="2">
                  <c:v>22725289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5010176"/>
        <c:axId val="115081600"/>
      </c:barChart>
      <c:dateAx>
        <c:axId val="1150101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5081600"/>
        <c:crosses val="autoZero"/>
        <c:auto val="1"/>
        <c:lblOffset val="100"/>
        <c:baseTimeUnit val="months"/>
      </c:dateAx>
      <c:valAx>
        <c:axId val="1150816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5010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Yuan!$C$3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Yuan!$C$4:$C$6</c:f>
              <c:numCache>
                <c:formatCode>#,##0</c:formatCode>
                <c:ptCount val="3"/>
                <c:pt idx="0">
                  <c:v>9824500</c:v>
                </c:pt>
                <c:pt idx="1">
                  <c:v>12306613</c:v>
                </c:pt>
                <c:pt idx="2">
                  <c:v>22677375</c:v>
                </c:pt>
              </c:numCache>
            </c:numRef>
          </c:val>
        </c:ser>
        <c:ser>
          <c:idx val="1"/>
          <c:order val="1"/>
          <c:tx>
            <c:strRef>
              <c:f>Yuan!$D$3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Yuan!$D$4:$D$6</c:f>
              <c:numCache>
                <c:formatCode>#,##0</c:formatCode>
                <c:ptCount val="3"/>
                <c:pt idx="0">
                  <c:v>651262</c:v>
                </c:pt>
                <c:pt idx="1">
                  <c:v>1423450</c:v>
                </c:pt>
                <c:pt idx="2">
                  <c:v>1978375</c:v>
                </c:pt>
              </c:numCache>
            </c:numRef>
          </c:val>
        </c:ser>
        <c:ser>
          <c:idx val="2"/>
          <c:order val="2"/>
          <c:tx>
            <c:strRef>
              <c:f>Yuan!$E$3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Yuan!$E$4:$E$6</c:f>
              <c:numCache>
                <c:formatCode>#,##0</c:formatCode>
                <c:ptCount val="3"/>
                <c:pt idx="0">
                  <c:v>9173238</c:v>
                </c:pt>
                <c:pt idx="1">
                  <c:v>10883163</c:v>
                </c:pt>
                <c:pt idx="2">
                  <c:v>20699000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5835648"/>
        <c:axId val="115837184"/>
      </c:barChart>
      <c:dateAx>
        <c:axId val="11583564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5837184"/>
        <c:crosses val="autoZero"/>
        <c:auto val="1"/>
        <c:lblOffset val="100"/>
        <c:baseTimeUnit val="months"/>
      </c:dateAx>
      <c:valAx>
        <c:axId val="11583718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5835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Yuan!$L$3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Yuan!$L$4:$L$6</c:f>
              <c:numCache>
                <c:formatCode>#,##0</c:formatCode>
                <c:ptCount val="3"/>
                <c:pt idx="0">
                  <c:v>11873138</c:v>
                </c:pt>
                <c:pt idx="1">
                  <c:v>6990550</c:v>
                </c:pt>
                <c:pt idx="2">
                  <c:v>10016388</c:v>
                </c:pt>
              </c:numCache>
            </c:numRef>
          </c:val>
        </c:ser>
        <c:ser>
          <c:idx val="1"/>
          <c:order val="1"/>
          <c:tx>
            <c:strRef>
              <c:f>Yuan!$M$3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Yuan!$M$4:$M$6</c:f>
              <c:numCache>
                <c:formatCode>#,##0</c:formatCode>
                <c:ptCount val="3"/>
                <c:pt idx="0">
                  <c:v>1331225</c:v>
                </c:pt>
                <c:pt idx="1">
                  <c:v>754513</c:v>
                </c:pt>
                <c:pt idx="2">
                  <c:v>363650</c:v>
                </c:pt>
              </c:numCache>
            </c:numRef>
          </c:val>
        </c:ser>
        <c:ser>
          <c:idx val="2"/>
          <c:order val="2"/>
          <c:tx>
            <c:strRef>
              <c:f>Yuan!$N$3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Yuan!$N$4:$N$6</c:f>
              <c:numCache>
                <c:formatCode>#,##0</c:formatCode>
                <c:ptCount val="3"/>
                <c:pt idx="0">
                  <c:v>10541913</c:v>
                </c:pt>
                <c:pt idx="1">
                  <c:v>6236038</c:v>
                </c:pt>
                <c:pt idx="2">
                  <c:v>9652738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5541504"/>
        <c:axId val="115543040"/>
      </c:barChart>
      <c:dateAx>
        <c:axId val="11554150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5543040"/>
        <c:crosses val="autoZero"/>
        <c:auto val="1"/>
        <c:lblOffset val="100"/>
        <c:baseTimeUnit val="months"/>
      </c:dateAx>
      <c:valAx>
        <c:axId val="1155430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5541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Yuan!$F$3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Yuan!$F$4:$F$6</c:f>
              <c:numCache>
                <c:formatCode>General</c:formatCode>
                <c:ptCount val="3"/>
                <c:pt idx="0">
                  <c:v>95</c:v>
                </c:pt>
                <c:pt idx="1">
                  <c:v>115</c:v>
                </c:pt>
                <c:pt idx="2">
                  <c:v>202</c:v>
                </c:pt>
              </c:numCache>
            </c:numRef>
          </c:val>
        </c:ser>
        <c:ser>
          <c:idx val="4"/>
          <c:order val="1"/>
          <c:tx>
            <c:strRef>
              <c:f>Yuan!$G$3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Yuan!$G$4:$G$6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19</c:v>
                </c:pt>
              </c:numCache>
            </c:numRef>
          </c:val>
        </c:ser>
        <c:ser>
          <c:idx val="5"/>
          <c:order val="2"/>
          <c:tx>
            <c:strRef>
              <c:f>Yuan!$H$3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Yuan!$H$4:$H$6</c:f>
              <c:numCache>
                <c:formatCode>General</c:formatCode>
                <c:ptCount val="3"/>
                <c:pt idx="0">
                  <c:v>90</c:v>
                </c:pt>
                <c:pt idx="1">
                  <c:v>101</c:v>
                </c:pt>
                <c:pt idx="2">
                  <c:v>183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5587328"/>
        <c:axId val="115597312"/>
      </c:barChart>
      <c:dateAx>
        <c:axId val="1155873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5597312"/>
        <c:crosses val="autoZero"/>
        <c:auto val="1"/>
        <c:lblOffset val="100"/>
        <c:baseTimeUnit val="months"/>
      </c:dateAx>
      <c:valAx>
        <c:axId val="11559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587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Yuan!$O$3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Yuan!$O$4:$O$6</c:f>
              <c:numCache>
                <c:formatCode>General</c:formatCode>
                <c:ptCount val="3"/>
                <c:pt idx="0">
                  <c:v>118</c:v>
                </c:pt>
                <c:pt idx="1">
                  <c:v>67</c:v>
                </c:pt>
                <c:pt idx="2">
                  <c:v>90</c:v>
                </c:pt>
              </c:numCache>
            </c:numRef>
          </c:val>
        </c:ser>
        <c:ser>
          <c:idx val="4"/>
          <c:order val="1"/>
          <c:tx>
            <c:strRef>
              <c:f>Yuan!$P$3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Yuan!$P$4:$P$6</c:f>
              <c:numCache>
                <c:formatCode>General</c:formatCode>
                <c:ptCount val="3"/>
                <c:pt idx="0">
                  <c:v>12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</c:ser>
        <c:ser>
          <c:idx val="5"/>
          <c:order val="2"/>
          <c:tx>
            <c:strRef>
              <c:f>Yuan!$Q$3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Yuan!$Q$4:$Q$6</c:f>
              <c:numCache>
                <c:formatCode>General</c:formatCode>
                <c:ptCount val="3"/>
                <c:pt idx="0">
                  <c:v>106</c:v>
                </c:pt>
                <c:pt idx="1">
                  <c:v>61</c:v>
                </c:pt>
                <c:pt idx="2">
                  <c:v>86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5715072"/>
        <c:axId val="115729152"/>
      </c:barChart>
      <c:dateAx>
        <c:axId val="11571507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5729152"/>
        <c:crosses val="autoZero"/>
        <c:auto val="1"/>
        <c:lblOffset val="100"/>
        <c:baseTimeUnit val="months"/>
      </c:dateAx>
      <c:valAx>
        <c:axId val="11572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71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</a:t>
            </a:r>
            <a:r>
              <a:rPr lang="en-US" baseline="0"/>
              <a:t>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Martin!$C$3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Martin!$C$4:$C$6</c:f>
              <c:numCache>
                <c:formatCode>#,##0</c:formatCode>
                <c:ptCount val="3"/>
                <c:pt idx="0">
                  <c:v>9029388</c:v>
                </c:pt>
                <c:pt idx="1">
                  <c:v>14615038</c:v>
                </c:pt>
                <c:pt idx="2">
                  <c:v>10488625</c:v>
                </c:pt>
              </c:numCache>
            </c:numRef>
          </c:val>
        </c:ser>
        <c:ser>
          <c:idx val="1"/>
          <c:order val="1"/>
          <c:tx>
            <c:strRef>
              <c:f>Martin!$D$3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Martin!$D$4:$D$6</c:f>
              <c:numCache>
                <c:formatCode>#,##0</c:formatCode>
                <c:ptCount val="3"/>
                <c:pt idx="0">
                  <c:v>88900</c:v>
                </c:pt>
                <c:pt idx="1">
                  <c:v>141400</c:v>
                </c:pt>
                <c:pt idx="2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Martin!$E$3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Martin!$E$4:$E$6</c:f>
              <c:numCache>
                <c:formatCode>#,##0</c:formatCode>
                <c:ptCount val="3"/>
                <c:pt idx="0">
                  <c:v>8940488</c:v>
                </c:pt>
                <c:pt idx="1">
                  <c:v>14473638</c:v>
                </c:pt>
                <c:pt idx="2">
                  <c:v>10488625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993792"/>
        <c:axId val="112995328"/>
      </c:barChart>
      <c:dateAx>
        <c:axId val="11299379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2995328"/>
        <c:crosses val="autoZero"/>
        <c:auto val="1"/>
        <c:lblOffset val="100"/>
        <c:baseTimeUnit val="months"/>
      </c:dateAx>
      <c:valAx>
        <c:axId val="1129953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2993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Martin!$L$3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Martin!$L$4:$L$6</c:f>
              <c:numCache>
                <c:formatCode>#,##0</c:formatCode>
                <c:ptCount val="3"/>
                <c:pt idx="0">
                  <c:v>37063163</c:v>
                </c:pt>
                <c:pt idx="1">
                  <c:v>30029388</c:v>
                </c:pt>
                <c:pt idx="2">
                  <c:v>21627988</c:v>
                </c:pt>
              </c:numCache>
            </c:numRef>
          </c:val>
        </c:ser>
        <c:ser>
          <c:idx val="1"/>
          <c:order val="1"/>
          <c:tx>
            <c:strRef>
              <c:f>Martin!$M$3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Martin!$M$4:$M$6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Martin!$N$3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Martin!$N$4:$N$6</c:f>
              <c:numCache>
                <c:formatCode>#,##0</c:formatCode>
                <c:ptCount val="3"/>
                <c:pt idx="0">
                  <c:v>37063163</c:v>
                </c:pt>
                <c:pt idx="1">
                  <c:v>30029388</c:v>
                </c:pt>
                <c:pt idx="2">
                  <c:v>21627988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301184"/>
        <c:axId val="114315264"/>
      </c:barChart>
      <c:dateAx>
        <c:axId val="11430118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315264"/>
        <c:crosses val="autoZero"/>
        <c:auto val="1"/>
        <c:lblOffset val="100"/>
        <c:baseTimeUnit val="months"/>
      </c:dateAx>
      <c:valAx>
        <c:axId val="1143152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430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Martin!$F$3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Martin!$F$4:$F$6</c:f>
              <c:numCache>
                <c:formatCode>General</c:formatCode>
                <c:ptCount val="3"/>
                <c:pt idx="0">
                  <c:v>95</c:v>
                </c:pt>
                <c:pt idx="1">
                  <c:v>159</c:v>
                </c:pt>
                <c:pt idx="2">
                  <c:v>114</c:v>
                </c:pt>
              </c:numCache>
            </c:numRef>
          </c:val>
        </c:ser>
        <c:ser>
          <c:idx val="4"/>
          <c:order val="1"/>
          <c:tx>
            <c:strRef>
              <c:f>Martin!$G$3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Martin!$G$4:$G$6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Martin!$H$3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Martin!$H$4:$H$6</c:f>
              <c:numCache>
                <c:formatCode>General</c:formatCode>
                <c:ptCount val="3"/>
                <c:pt idx="0">
                  <c:v>94</c:v>
                </c:pt>
                <c:pt idx="1">
                  <c:v>158</c:v>
                </c:pt>
                <c:pt idx="2">
                  <c:v>114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347008"/>
        <c:axId val="115417856"/>
      </c:barChart>
      <c:dateAx>
        <c:axId val="11434700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5417856"/>
        <c:crosses val="autoZero"/>
        <c:auto val="1"/>
        <c:lblOffset val="100"/>
        <c:baseTimeUnit val="months"/>
      </c:dateAx>
      <c:valAx>
        <c:axId val="115417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347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Martin!$O$3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Martin!$O$4:$O$6</c:f>
              <c:numCache>
                <c:formatCode>General</c:formatCode>
                <c:ptCount val="3"/>
                <c:pt idx="0">
                  <c:v>306</c:v>
                </c:pt>
                <c:pt idx="1">
                  <c:v>242</c:v>
                </c:pt>
                <c:pt idx="2">
                  <c:v>172</c:v>
                </c:pt>
              </c:numCache>
            </c:numRef>
          </c:val>
        </c:ser>
        <c:ser>
          <c:idx val="4"/>
          <c:order val="1"/>
          <c:tx>
            <c:strRef>
              <c:f>Martin!$P$3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Martin!$P$4:$P$6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Martin!$Q$3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Martin!$Q$4:$Q$6</c:f>
              <c:numCache>
                <c:formatCode>General</c:formatCode>
                <c:ptCount val="3"/>
                <c:pt idx="0">
                  <c:v>306</c:v>
                </c:pt>
                <c:pt idx="1">
                  <c:v>242</c:v>
                </c:pt>
                <c:pt idx="2">
                  <c:v>172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5453952"/>
        <c:axId val="115455488"/>
      </c:barChart>
      <c:dateAx>
        <c:axId val="1154539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5455488"/>
        <c:crosses val="autoZero"/>
        <c:auto val="1"/>
        <c:lblOffset val="100"/>
        <c:baseTimeUnit val="months"/>
      </c:dateAx>
      <c:valAx>
        <c:axId val="115455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453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Misbah!$C$3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Misbah!$C$4:$C$6</c:f>
              <c:numCache>
                <c:formatCode>#,##0</c:formatCode>
                <c:ptCount val="3"/>
                <c:pt idx="0">
                  <c:v>11957138</c:v>
                </c:pt>
                <c:pt idx="1">
                  <c:v>14770175</c:v>
                </c:pt>
                <c:pt idx="2">
                  <c:v>24850088</c:v>
                </c:pt>
              </c:numCache>
            </c:numRef>
          </c:val>
        </c:ser>
        <c:ser>
          <c:idx val="1"/>
          <c:order val="1"/>
          <c:tx>
            <c:strRef>
              <c:f>Misbah!$D$3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Misbah!$D$4:$D$6</c:f>
              <c:numCache>
                <c:formatCode>#,##0</c:formatCode>
                <c:ptCount val="3"/>
                <c:pt idx="0">
                  <c:v>3700375</c:v>
                </c:pt>
                <c:pt idx="1">
                  <c:v>4032438</c:v>
                </c:pt>
                <c:pt idx="2">
                  <c:v>3883275</c:v>
                </c:pt>
              </c:numCache>
            </c:numRef>
          </c:val>
        </c:ser>
        <c:ser>
          <c:idx val="2"/>
          <c:order val="2"/>
          <c:tx>
            <c:strRef>
              <c:f>Misbah!$E$3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Misbah!$E$4:$E$6</c:f>
              <c:numCache>
                <c:formatCode>#,##0</c:formatCode>
                <c:ptCount val="3"/>
                <c:pt idx="0">
                  <c:v>8256763</c:v>
                </c:pt>
                <c:pt idx="1">
                  <c:v>10737738</c:v>
                </c:pt>
                <c:pt idx="2">
                  <c:v>20966813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606848"/>
        <c:axId val="116608384"/>
      </c:barChart>
      <c:dateAx>
        <c:axId val="11660684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6608384"/>
        <c:crosses val="autoZero"/>
        <c:auto val="1"/>
        <c:lblOffset val="100"/>
        <c:baseTimeUnit val="months"/>
      </c:dateAx>
      <c:valAx>
        <c:axId val="11660838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6606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Bandros!$L$3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Bandros!$L$4:$L$6</c:f>
              <c:numCache>
                <c:formatCode>#,##0</c:formatCode>
                <c:ptCount val="3"/>
                <c:pt idx="0">
                  <c:v>127254138</c:v>
                </c:pt>
                <c:pt idx="1">
                  <c:v>153689900</c:v>
                </c:pt>
                <c:pt idx="2">
                  <c:v>176340850</c:v>
                </c:pt>
              </c:numCache>
            </c:numRef>
          </c:val>
        </c:ser>
        <c:ser>
          <c:idx val="1"/>
          <c:order val="1"/>
          <c:tx>
            <c:strRef>
              <c:f>Bandros!$M$3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Bandros!$M$4:$M$6</c:f>
              <c:numCache>
                <c:formatCode>#,##0</c:formatCode>
                <c:ptCount val="3"/>
                <c:pt idx="0">
                  <c:v>13312163</c:v>
                </c:pt>
                <c:pt idx="1">
                  <c:v>11111363</c:v>
                </c:pt>
                <c:pt idx="2">
                  <c:v>19028713</c:v>
                </c:pt>
              </c:numCache>
            </c:numRef>
          </c:val>
        </c:ser>
        <c:ser>
          <c:idx val="2"/>
          <c:order val="2"/>
          <c:tx>
            <c:strRef>
              <c:f>Bandros!$N$3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Bandros!$N$4:$N$6</c:f>
              <c:numCache>
                <c:formatCode>#,##0</c:formatCode>
                <c:ptCount val="3"/>
                <c:pt idx="0">
                  <c:v>113941975</c:v>
                </c:pt>
                <c:pt idx="1">
                  <c:v>142578538</c:v>
                </c:pt>
                <c:pt idx="2">
                  <c:v>157312138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462080"/>
        <c:axId val="110463616"/>
      </c:barChart>
      <c:dateAx>
        <c:axId val="11046208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0463616"/>
        <c:crosses val="autoZero"/>
        <c:auto val="1"/>
        <c:lblOffset val="100"/>
        <c:baseTimeUnit val="months"/>
      </c:dateAx>
      <c:valAx>
        <c:axId val="1104636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0462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Misbah!$L$3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Misbah!$L$4:$L$6</c:f>
              <c:numCache>
                <c:formatCode>#,##0</c:formatCode>
                <c:ptCount val="3"/>
                <c:pt idx="0">
                  <c:v>6679400</c:v>
                </c:pt>
                <c:pt idx="1">
                  <c:v>8759738</c:v>
                </c:pt>
                <c:pt idx="2">
                  <c:v>5502075</c:v>
                </c:pt>
              </c:numCache>
            </c:numRef>
          </c:val>
        </c:ser>
        <c:ser>
          <c:idx val="1"/>
          <c:order val="1"/>
          <c:tx>
            <c:strRef>
              <c:f>Misbah!$M$3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Misbah!$M$4:$M$6</c:f>
              <c:numCache>
                <c:formatCode>#,##0</c:formatCode>
                <c:ptCount val="3"/>
                <c:pt idx="0">
                  <c:v>2039900</c:v>
                </c:pt>
                <c:pt idx="1">
                  <c:v>5545200</c:v>
                </c:pt>
                <c:pt idx="2">
                  <c:v>2585902</c:v>
                </c:pt>
              </c:numCache>
            </c:numRef>
          </c:val>
        </c:ser>
        <c:ser>
          <c:idx val="2"/>
          <c:order val="2"/>
          <c:tx>
            <c:strRef>
              <c:f>Misbah!$N$3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Misbah!$N$4:$N$6</c:f>
              <c:numCache>
                <c:formatCode>#,##0</c:formatCode>
                <c:ptCount val="3"/>
                <c:pt idx="0">
                  <c:v>4639500</c:v>
                </c:pt>
                <c:pt idx="1">
                  <c:v>3214538</c:v>
                </c:pt>
                <c:pt idx="2">
                  <c:v>2916173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628096"/>
        <c:axId val="116392320"/>
      </c:barChart>
      <c:dateAx>
        <c:axId val="1166280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6392320"/>
        <c:crosses val="autoZero"/>
        <c:auto val="1"/>
        <c:lblOffset val="100"/>
        <c:baseTimeUnit val="months"/>
      </c:dateAx>
      <c:valAx>
        <c:axId val="11639232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6628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Misbah!$F$3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Misbah!$F$4:$F$6</c:f>
              <c:numCache>
                <c:formatCode>General</c:formatCode>
                <c:ptCount val="3"/>
                <c:pt idx="0">
                  <c:v>117</c:v>
                </c:pt>
                <c:pt idx="1">
                  <c:v>145</c:v>
                </c:pt>
                <c:pt idx="2">
                  <c:v>241</c:v>
                </c:pt>
              </c:numCache>
            </c:numRef>
          </c:val>
        </c:ser>
        <c:ser>
          <c:idx val="4"/>
          <c:order val="1"/>
          <c:tx>
            <c:strRef>
              <c:f>Misbah!$G$3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Misbah!$G$4:$G$6</c:f>
              <c:numCache>
                <c:formatCode>General</c:formatCode>
                <c:ptCount val="3"/>
                <c:pt idx="0">
                  <c:v>34</c:v>
                </c:pt>
                <c:pt idx="1">
                  <c:v>39</c:v>
                </c:pt>
                <c:pt idx="2">
                  <c:v>38</c:v>
                </c:pt>
              </c:numCache>
            </c:numRef>
          </c:val>
        </c:ser>
        <c:ser>
          <c:idx val="5"/>
          <c:order val="2"/>
          <c:tx>
            <c:strRef>
              <c:f>Misbah!$H$3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Misbah!$H$4:$H$6</c:f>
              <c:numCache>
                <c:formatCode>General</c:formatCode>
                <c:ptCount val="3"/>
                <c:pt idx="0">
                  <c:v>83</c:v>
                </c:pt>
                <c:pt idx="1">
                  <c:v>106</c:v>
                </c:pt>
                <c:pt idx="2">
                  <c:v>203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424064"/>
        <c:axId val="116425856"/>
      </c:barChart>
      <c:dateAx>
        <c:axId val="1164240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6425856"/>
        <c:crosses val="autoZero"/>
        <c:auto val="1"/>
        <c:lblOffset val="100"/>
        <c:baseTimeUnit val="months"/>
      </c:dateAx>
      <c:valAx>
        <c:axId val="11642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424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Misbah!$O$3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Misbah!$O$4:$O$6</c:f>
              <c:numCache>
                <c:formatCode>General</c:formatCode>
                <c:ptCount val="3"/>
                <c:pt idx="0">
                  <c:v>58</c:v>
                </c:pt>
                <c:pt idx="1">
                  <c:v>76</c:v>
                </c:pt>
                <c:pt idx="2">
                  <c:v>47</c:v>
                </c:pt>
              </c:numCache>
            </c:numRef>
          </c:val>
        </c:ser>
        <c:ser>
          <c:idx val="4"/>
          <c:order val="1"/>
          <c:tx>
            <c:strRef>
              <c:f>Misbah!$P$3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Misbah!$P$4:$P$6</c:f>
              <c:numCache>
                <c:formatCode>General</c:formatCode>
                <c:ptCount val="3"/>
                <c:pt idx="0">
                  <c:v>17</c:v>
                </c:pt>
                <c:pt idx="1">
                  <c:v>15</c:v>
                </c:pt>
                <c:pt idx="2">
                  <c:v>30</c:v>
                </c:pt>
              </c:numCache>
            </c:numRef>
          </c:val>
        </c:ser>
        <c:ser>
          <c:idx val="5"/>
          <c:order val="2"/>
          <c:tx>
            <c:strRef>
              <c:f>Misbah!$Q$3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Misbah!$Q$4:$Q$6</c:f>
              <c:numCache>
                <c:formatCode>General</c:formatCode>
                <c:ptCount val="3"/>
                <c:pt idx="0">
                  <c:v>41</c:v>
                </c:pt>
                <c:pt idx="1">
                  <c:v>61</c:v>
                </c:pt>
                <c:pt idx="2">
                  <c:v>17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474240"/>
        <c:axId val="116475776"/>
      </c:barChart>
      <c:dateAx>
        <c:axId val="11647424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6475776"/>
        <c:crosses val="autoZero"/>
        <c:auto val="1"/>
        <c:lblOffset val="100"/>
        <c:baseTimeUnit val="months"/>
      </c:dateAx>
      <c:valAx>
        <c:axId val="11647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474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Chandra!$C$3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Chandra!$C$4:$C$6</c:f>
              <c:numCache>
                <c:formatCode>#,##0</c:formatCode>
                <c:ptCount val="3"/>
                <c:pt idx="0">
                  <c:v>8362113</c:v>
                </c:pt>
                <c:pt idx="1">
                  <c:v>10091375</c:v>
                </c:pt>
                <c:pt idx="2">
                  <c:v>11987063</c:v>
                </c:pt>
              </c:numCache>
            </c:numRef>
          </c:val>
        </c:ser>
        <c:ser>
          <c:idx val="1"/>
          <c:order val="1"/>
          <c:tx>
            <c:strRef>
              <c:f>Chandra!$D$3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Chandra!$D$4:$D$6</c:f>
              <c:numCache>
                <c:formatCode>#,##0</c:formatCode>
                <c:ptCount val="3"/>
                <c:pt idx="0">
                  <c:v>255300</c:v>
                </c:pt>
                <c:pt idx="1">
                  <c:v>307650</c:v>
                </c:pt>
                <c:pt idx="2">
                  <c:v>320738</c:v>
                </c:pt>
              </c:numCache>
            </c:numRef>
          </c:val>
        </c:ser>
        <c:ser>
          <c:idx val="2"/>
          <c:order val="2"/>
          <c:tx>
            <c:strRef>
              <c:f>Chandra!$E$3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Chandra!$E$4:$E$6</c:f>
              <c:numCache>
                <c:formatCode>#,##0</c:formatCode>
                <c:ptCount val="3"/>
                <c:pt idx="0">
                  <c:v>8106813</c:v>
                </c:pt>
                <c:pt idx="1">
                  <c:v>9783725</c:v>
                </c:pt>
                <c:pt idx="2">
                  <c:v>11666325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726016"/>
        <c:axId val="116727808"/>
      </c:barChart>
      <c:dateAx>
        <c:axId val="11672601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6727808"/>
        <c:crosses val="autoZero"/>
        <c:auto val="1"/>
        <c:lblOffset val="100"/>
        <c:baseTimeUnit val="months"/>
      </c:dateAx>
      <c:valAx>
        <c:axId val="1167278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6726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Chandra!$L$3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Chandra!$L$4:$L$6</c:f>
              <c:numCache>
                <c:formatCode>#,##0</c:formatCode>
                <c:ptCount val="3"/>
                <c:pt idx="0">
                  <c:v>5080425</c:v>
                </c:pt>
                <c:pt idx="1">
                  <c:v>3715775</c:v>
                </c:pt>
                <c:pt idx="2">
                  <c:v>3539813</c:v>
                </c:pt>
              </c:numCache>
            </c:numRef>
          </c:val>
        </c:ser>
        <c:ser>
          <c:idx val="1"/>
          <c:order val="1"/>
          <c:tx>
            <c:strRef>
              <c:f>Chandra!$M$3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Chandra!$M$4:$M$6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28875</c:v>
                </c:pt>
                <c:pt idx="2">
                  <c:v>110075</c:v>
                </c:pt>
              </c:numCache>
            </c:numRef>
          </c:val>
        </c:ser>
        <c:ser>
          <c:idx val="2"/>
          <c:order val="2"/>
          <c:tx>
            <c:strRef>
              <c:f>Chandra!$N$3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Chandra!$N$4:$N$6</c:f>
              <c:numCache>
                <c:formatCode>#,##0</c:formatCode>
                <c:ptCount val="3"/>
                <c:pt idx="0">
                  <c:v>5080425</c:v>
                </c:pt>
                <c:pt idx="1">
                  <c:v>3686901</c:v>
                </c:pt>
                <c:pt idx="2">
                  <c:v>3429738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759552"/>
        <c:axId val="116777728"/>
      </c:barChart>
      <c:dateAx>
        <c:axId val="1167595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6777728"/>
        <c:crosses val="autoZero"/>
        <c:auto val="1"/>
        <c:lblOffset val="100"/>
        <c:baseTimeUnit val="months"/>
      </c:dateAx>
      <c:valAx>
        <c:axId val="1167777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6759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Chandra!$F$3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Chandra!$F$4:$F$6</c:f>
              <c:numCache>
                <c:formatCode>General</c:formatCode>
                <c:ptCount val="3"/>
                <c:pt idx="0">
                  <c:v>81</c:v>
                </c:pt>
                <c:pt idx="1">
                  <c:v>99</c:v>
                </c:pt>
                <c:pt idx="2">
                  <c:v>114</c:v>
                </c:pt>
              </c:numCache>
            </c:numRef>
          </c:val>
        </c:ser>
        <c:ser>
          <c:idx val="4"/>
          <c:order val="1"/>
          <c:tx>
            <c:strRef>
              <c:f>Chandra!$G$3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Chandra!$G$4:$G$6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5"/>
          <c:order val="2"/>
          <c:tx>
            <c:strRef>
              <c:f>Chandra!$H$3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Chandra!$H$4:$H$6</c:f>
              <c:numCache>
                <c:formatCode>General</c:formatCode>
                <c:ptCount val="3"/>
                <c:pt idx="0">
                  <c:v>81</c:v>
                </c:pt>
                <c:pt idx="1">
                  <c:v>97</c:v>
                </c:pt>
                <c:pt idx="2">
                  <c:v>111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826112"/>
        <c:axId val="116827648"/>
      </c:barChart>
      <c:dateAx>
        <c:axId val="11682611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6827648"/>
        <c:crosses val="autoZero"/>
        <c:auto val="1"/>
        <c:lblOffset val="100"/>
        <c:baseTimeUnit val="months"/>
      </c:dateAx>
      <c:valAx>
        <c:axId val="11682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826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Chandra!$O$3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Chandra!$O$4:$O$6</c:f>
              <c:numCache>
                <c:formatCode>General</c:formatCode>
                <c:ptCount val="3"/>
                <c:pt idx="0">
                  <c:v>50</c:v>
                </c:pt>
                <c:pt idx="1">
                  <c:v>42</c:v>
                </c:pt>
                <c:pt idx="2">
                  <c:v>37</c:v>
                </c:pt>
              </c:numCache>
            </c:numRef>
          </c:val>
        </c:ser>
        <c:ser>
          <c:idx val="4"/>
          <c:order val="1"/>
          <c:tx>
            <c:strRef>
              <c:f>Chandra!$P$3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Chandra!$P$4:$P$6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5"/>
          <c:order val="2"/>
          <c:tx>
            <c:strRef>
              <c:f>Chandra!$Q$3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Chandra!$Q$4:$Q$6</c:f>
              <c:numCache>
                <c:formatCode>General</c:formatCode>
                <c:ptCount val="3"/>
                <c:pt idx="0">
                  <c:v>50</c:v>
                </c:pt>
                <c:pt idx="1">
                  <c:v>41</c:v>
                </c:pt>
                <c:pt idx="2">
                  <c:v>36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867840"/>
        <c:axId val="116869376"/>
      </c:barChart>
      <c:dateAx>
        <c:axId val="11686784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6869376"/>
        <c:crosses val="autoZero"/>
        <c:auto val="1"/>
        <c:lblOffset val="100"/>
        <c:baseTimeUnit val="months"/>
      </c:dateAx>
      <c:valAx>
        <c:axId val="116869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86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'Asep Fahmi'!$C$3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Fahmi'!$C$4:$C$6</c:f>
              <c:numCache>
                <c:formatCode>#,##0</c:formatCode>
                <c:ptCount val="3"/>
                <c:pt idx="0">
                  <c:v>11774350</c:v>
                </c:pt>
                <c:pt idx="1">
                  <c:v>12374513</c:v>
                </c:pt>
                <c:pt idx="2">
                  <c:v>20044588</c:v>
                </c:pt>
              </c:numCache>
            </c:numRef>
          </c:val>
        </c:ser>
        <c:ser>
          <c:idx val="1"/>
          <c:order val="1"/>
          <c:tx>
            <c:strRef>
              <c:f>'Asep Fahmi'!$D$3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Fahmi'!$D$4:$D$6</c:f>
              <c:numCache>
                <c:formatCode>#,##0</c:formatCode>
                <c:ptCount val="3"/>
                <c:pt idx="0">
                  <c:v>3934350</c:v>
                </c:pt>
                <c:pt idx="1">
                  <c:v>3894188</c:v>
                </c:pt>
                <c:pt idx="2">
                  <c:v>4112588</c:v>
                </c:pt>
              </c:numCache>
            </c:numRef>
          </c:val>
        </c:ser>
        <c:ser>
          <c:idx val="2"/>
          <c:order val="2"/>
          <c:tx>
            <c:strRef>
              <c:f>'Asep Fahmi'!$E$3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Fahmi'!$E$4:$E$6</c:f>
              <c:numCache>
                <c:formatCode>#,##0</c:formatCode>
                <c:ptCount val="3"/>
                <c:pt idx="0">
                  <c:v>7840000</c:v>
                </c:pt>
                <c:pt idx="1">
                  <c:v>8480325</c:v>
                </c:pt>
                <c:pt idx="2">
                  <c:v>15932000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095616"/>
        <c:axId val="116113792"/>
      </c:barChart>
      <c:dateAx>
        <c:axId val="11609561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6113792"/>
        <c:crosses val="autoZero"/>
        <c:auto val="1"/>
        <c:lblOffset val="100"/>
        <c:baseTimeUnit val="months"/>
      </c:dateAx>
      <c:valAx>
        <c:axId val="1161137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609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'Asep Fahmi'!$L$3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Fahmi'!$L$4:$L$6</c:f>
              <c:numCache>
                <c:formatCode>#,##0</c:formatCode>
                <c:ptCount val="3"/>
                <c:pt idx="0">
                  <c:v>2321813</c:v>
                </c:pt>
                <c:pt idx="1">
                  <c:v>4984613</c:v>
                </c:pt>
                <c:pt idx="2">
                  <c:v>22105738</c:v>
                </c:pt>
              </c:numCache>
            </c:numRef>
          </c:val>
        </c:ser>
        <c:ser>
          <c:idx val="1"/>
          <c:order val="1"/>
          <c:tx>
            <c:strRef>
              <c:f>'Asep Fahmi'!$M$3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Fahmi'!$M$4:$M$6</c:f>
              <c:numCache>
                <c:formatCode>#,##0</c:formatCode>
                <c:ptCount val="3"/>
                <c:pt idx="0">
                  <c:v>618713</c:v>
                </c:pt>
                <c:pt idx="1">
                  <c:v>651525</c:v>
                </c:pt>
                <c:pt idx="2">
                  <c:v>3430875</c:v>
                </c:pt>
              </c:numCache>
            </c:numRef>
          </c:val>
        </c:ser>
        <c:ser>
          <c:idx val="2"/>
          <c:order val="2"/>
          <c:tx>
            <c:strRef>
              <c:f>'Asep Fahmi'!$N$3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Fahmi'!$N$4:$N$6</c:f>
              <c:numCache>
                <c:formatCode>#,##0</c:formatCode>
                <c:ptCount val="3"/>
                <c:pt idx="0">
                  <c:v>1703100</c:v>
                </c:pt>
                <c:pt idx="1">
                  <c:v>4333088</c:v>
                </c:pt>
                <c:pt idx="2">
                  <c:v>18674863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153728"/>
        <c:axId val="116163712"/>
      </c:barChart>
      <c:dateAx>
        <c:axId val="1161537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6163712"/>
        <c:crosses val="autoZero"/>
        <c:auto val="1"/>
        <c:lblOffset val="100"/>
        <c:baseTimeUnit val="months"/>
      </c:dateAx>
      <c:valAx>
        <c:axId val="11616371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6153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'Asep Fahmi'!$F$3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Fahmi'!$F$4:$F$6</c:f>
              <c:numCache>
                <c:formatCode>General</c:formatCode>
                <c:ptCount val="3"/>
                <c:pt idx="0">
                  <c:v>117</c:v>
                </c:pt>
                <c:pt idx="1">
                  <c:v>117</c:v>
                </c:pt>
                <c:pt idx="2">
                  <c:v>182</c:v>
                </c:pt>
              </c:numCache>
            </c:numRef>
          </c:val>
        </c:ser>
        <c:ser>
          <c:idx val="4"/>
          <c:order val="1"/>
          <c:tx>
            <c:strRef>
              <c:f>'Asep Fahmi'!$G$3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Fahmi'!$G$4:$G$6</c:f>
              <c:numCache>
                <c:formatCode>General</c:formatCode>
                <c:ptCount val="3"/>
                <c:pt idx="0">
                  <c:v>40</c:v>
                </c:pt>
                <c:pt idx="1">
                  <c:v>39</c:v>
                </c:pt>
                <c:pt idx="2">
                  <c:v>35</c:v>
                </c:pt>
              </c:numCache>
            </c:numRef>
          </c:val>
        </c:ser>
        <c:ser>
          <c:idx val="5"/>
          <c:order val="2"/>
          <c:tx>
            <c:strRef>
              <c:f>'Asep Fahmi'!$H$3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Fahmi'!$H$4:$H$6</c:f>
              <c:numCache>
                <c:formatCode>General</c:formatCode>
                <c:ptCount val="3"/>
                <c:pt idx="0">
                  <c:v>77</c:v>
                </c:pt>
                <c:pt idx="1">
                  <c:v>78</c:v>
                </c:pt>
                <c:pt idx="2">
                  <c:v>147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567296"/>
        <c:axId val="118568832"/>
      </c:barChart>
      <c:dateAx>
        <c:axId val="1185672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568832"/>
        <c:crosses val="autoZero"/>
        <c:auto val="1"/>
        <c:lblOffset val="100"/>
        <c:baseTimeUnit val="months"/>
      </c:dateAx>
      <c:valAx>
        <c:axId val="11856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567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Bandros!$F$3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Bandros!$F$4:$F$6</c:f>
              <c:numCache>
                <c:formatCode>#,##0</c:formatCode>
                <c:ptCount val="3"/>
                <c:pt idx="0">
                  <c:v>1193</c:v>
                </c:pt>
                <c:pt idx="1">
                  <c:v>1460</c:v>
                </c:pt>
                <c:pt idx="2">
                  <c:v>1652</c:v>
                </c:pt>
              </c:numCache>
            </c:numRef>
          </c:val>
        </c:ser>
        <c:ser>
          <c:idx val="4"/>
          <c:order val="1"/>
          <c:tx>
            <c:strRef>
              <c:f>Bandros!$G$3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Bandros!$G$4:$G$6</c:f>
              <c:numCache>
                <c:formatCode>General</c:formatCode>
                <c:ptCount val="3"/>
                <c:pt idx="0">
                  <c:v>76</c:v>
                </c:pt>
                <c:pt idx="1">
                  <c:v>108</c:v>
                </c:pt>
                <c:pt idx="2">
                  <c:v>91</c:v>
                </c:pt>
              </c:numCache>
            </c:numRef>
          </c:val>
        </c:ser>
        <c:ser>
          <c:idx val="5"/>
          <c:order val="2"/>
          <c:tx>
            <c:strRef>
              <c:f>Bandros!$H$3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Bandros!$H$4:$H$6</c:f>
              <c:numCache>
                <c:formatCode>#,##0</c:formatCode>
                <c:ptCount val="3"/>
                <c:pt idx="0">
                  <c:v>1117</c:v>
                </c:pt>
                <c:pt idx="1">
                  <c:v>1352</c:v>
                </c:pt>
                <c:pt idx="2">
                  <c:v>1561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495616"/>
        <c:axId val="110497152"/>
      </c:barChart>
      <c:dateAx>
        <c:axId val="11049561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0497152"/>
        <c:crosses val="autoZero"/>
        <c:auto val="1"/>
        <c:lblOffset val="100"/>
        <c:baseTimeUnit val="months"/>
      </c:dateAx>
      <c:valAx>
        <c:axId val="11049715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049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'Asep Fahmi'!$O$3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Fahmi'!$O$4:$O$6</c:f>
              <c:numCache>
                <c:formatCode>General</c:formatCode>
                <c:ptCount val="3"/>
                <c:pt idx="0">
                  <c:v>24</c:v>
                </c:pt>
                <c:pt idx="1">
                  <c:v>47</c:v>
                </c:pt>
                <c:pt idx="2">
                  <c:v>197</c:v>
                </c:pt>
              </c:numCache>
            </c:numRef>
          </c:val>
        </c:ser>
        <c:ser>
          <c:idx val="4"/>
          <c:order val="1"/>
          <c:tx>
            <c:strRef>
              <c:f>'Asep Fahmi'!$P$3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Fahmi'!$P$4:$P$6</c:f>
              <c:numCache>
                <c:formatCode>General</c:formatCode>
                <c:ptCount val="3"/>
                <c:pt idx="0">
                  <c:v>5</c:v>
                </c:pt>
                <c:pt idx="1">
                  <c:v>12</c:v>
                </c:pt>
                <c:pt idx="2">
                  <c:v>23</c:v>
                </c:pt>
              </c:numCache>
            </c:numRef>
          </c:val>
        </c:ser>
        <c:ser>
          <c:idx val="5"/>
          <c:order val="2"/>
          <c:tx>
            <c:strRef>
              <c:f>'Asep Fahmi'!$Q$3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Fahmi'!$Q$4:$Q$6</c:f>
              <c:numCache>
                <c:formatCode>General</c:formatCode>
                <c:ptCount val="3"/>
                <c:pt idx="0">
                  <c:v>19</c:v>
                </c:pt>
                <c:pt idx="1">
                  <c:v>35</c:v>
                </c:pt>
                <c:pt idx="2">
                  <c:v>174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609024"/>
        <c:axId val="118610560"/>
      </c:barChart>
      <c:dateAx>
        <c:axId val="1186090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610560"/>
        <c:crosses val="autoZero"/>
        <c:auto val="1"/>
        <c:lblOffset val="100"/>
        <c:baseTimeUnit val="months"/>
      </c:dateAx>
      <c:valAx>
        <c:axId val="118610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609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Takur!$C$3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Takur!$C$4:$C$6</c:f>
              <c:numCache>
                <c:formatCode>#,##0</c:formatCode>
                <c:ptCount val="3"/>
                <c:pt idx="0">
                  <c:v>8274875</c:v>
                </c:pt>
                <c:pt idx="1">
                  <c:v>6207250</c:v>
                </c:pt>
                <c:pt idx="2">
                  <c:v>25652025</c:v>
                </c:pt>
              </c:numCache>
            </c:numRef>
          </c:val>
        </c:ser>
        <c:ser>
          <c:idx val="1"/>
          <c:order val="1"/>
          <c:tx>
            <c:strRef>
              <c:f>Takur!$D$3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Takur!$D$4:$D$6</c:f>
              <c:numCache>
                <c:formatCode>#,##0</c:formatCode>
                <c:ptCount val="3"/>
                <c:pt idx="0">
                  <c:v>522113</c:v>
                </c:pt>
                <c:pt idx="1">
                  <c:v>286388</c:v>
                </c:pt>
                <c:pt idx="2">
                  <c:v>212013</c:v>
                </c:pt>
              </c:numCache>
            </c:numRef>
          </c:val>
        </c:ser>
        <c:ser>
          <c:idx val="2"/>
          <c:order val="2"/>
          <c:tx>
            <c:strRef>
              <c:f>Takur!$E$3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Takur!$E$4:$E$6</c:f>
              <c:numCache>
                <c:formatCode>#,##0</c:formatCode>
                <c:ptCount val="3"/>
                <c:pt idx="0">
                  <c:v>7752763</c:v>
                </c:pt>
                <c:pt idx="1">
                  <c:v>5920863</c:v>
                </c:pt>
                <c:pt idx="2">
                  <c:v>25440013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410240"/>
        <c:axId val="118420224"/>
      </c:barChart>
      <c:dateAx>
        <c:axId val="11841024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420224"/>
        <c:crosses val="autoZero"/>
        <c:auto val="1"/>
        <c:lblOffset val="100"/>
        <c:baseTimeUnit val="months"/>
      </c:dateAx>
      <c:valAx>
        <c:axId val="1184202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8410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Takur!$L$3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Takur!$L$4:$L$6</c:f>
              <c:numCache>
                <c:formatCode>#,##0</c:formatCode>
                <c:ptCount val="3"/>
                <c:pt idx="0">
                  <c:v>58977188</c:v>
                </c:pt>
                <c:pt idx="1">
                  <c:v>34651225</c:v>
                </c:pt>
                <c:pt idx="2">
                  <c:v>16894588</c:v>
                </c:pt>
              </c:numCache>
            </c:numRef>
          </c:val>
        </c:ser>
        <c:ser>
          <c:idx val="1"/>
          <c:order val="1"/>
          <c:tx>
            <c:strRef>
              <c:f>Takur!$M$3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Takur!$M$4:$M$6</c:f>
              <c:numCache>
                <c:formatCode>#,##0</c:formatCode>
                <c:ptCount val="3"/>
                <c:pt idx="0">
                  <c:v>3908800</c:v>
                </c:pt>
                <c:pt idx="1">
                  <c:v>2313675</c:v>
                </c:pt>
                <c:pt idx="2">
                  <c:v>2111025</c:v>
                </c:pt>
              </c:numCache>
            </c:numRef>
          </c:val>
        </c:ser>
        <c:ser>
          <c:idx val="2"/>
          <c:order val="2"/>
          <c:tx>
            <c:strRef>
              <c:f>Takur!$N$3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Takur!$N$4:$N$6</c:f>
              <c:numCache>
                <c:formatCode>#,##0</c:formatCode>
                <c:ptCount val="3"/>
                <c:pt idx="0">
                  <c:v>55068388</c:v>
                </c:pt>
                <c:pt idx="1">
                  <c:v>32337550</c:v>
                </c:pt>
                <c:pt idx="2">
                  <c:v>14783563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249728"/>
        <c:axId val="114251264"/>
      </c:barChart>
      <c:dateAx>
        <c:axId val="1142497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251264"/>
        <c:crosses val="autoZero"/>
        <c:auto val="1"/>
        <c:lblOffset val="100"/>
        <c:baseTimeUnit val="months"/>
      </c:dateAx>
      <c:valAx>
        <c:axId val="1142512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4249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Takur!$F$3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Takur!$F$4:$F$6</c:f>
              <c:numCache>
                <c:formatCode>General</c:formatCode>
                <c:ptCount val="3"/>
                <c:pt idx="0">
                  <c:v>92</c:v>
                </c:pt>
                <c:pt idx="1">
                  <c:v>67</c:v>
                </c:pt>
                <c:pt idx="2">
                  <c:v>362</c:v>
                </c:pt>
              </c:numCache>
            </c:numRef>
          </c:val>
        </c:ser>
        <c:ser>
          <c:idx val="4"/>
          <c:order val="1"/>
          <c:tx>
            <c:strRef>
              <c:f>Takur!$G$3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Takur!$G$4:$G$6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er>
          <c:idx val="5"/>
          <c:order val="2"/>
          <c:tx>
            <c:strRef>
              <c:f>Takur!$H$3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Takur!$H$4:$H$6</c:f>
              <c:numCache>
                <c:formatCode>General</c:formatCode>
                <c:ptCount val="3"/>
                <c:pt idx="0">
                  <c:v>87</c:v>
                </c:pt>
                <c:pt idx="1">
                  <c:v>63</c:v>
                </c:pt>
                <c:pt idx="2">
                  <c:v>360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5356416"/>
        <c:axId val="115357952"/>
      </c:barChart>
      <c:dateAx>
        <c:axId val="11535641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5357952"/>
        <c:crosses val="autoZero"/>
        <c:auto val="1"/>
        <c:lblOffset val="100"/>
        <c:baseTimeUnit val="months"/>
      </c:dateAx>
      <c:valAx>
        <c:axId val="115357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356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Takur!$O$3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Takur!$O$4:$O$6</c:f>
              <c:numCache>
                <c:formatCode>General</c:formatCode>
                <c:ptCount val="3"/>
                <c:pt idx="0">
                  <c:v>604</c:v>
                </c:pt>
                <c:pt idx="1">
                  <c:v>326</c:v>
                </c:pt>
                <c:pt idx="2">
                  <c:v>163</c:v>
                </c:pt>
              </c:numCache>
            </c:numRef>
          </c:val>
        </c:ser>
        <c:ser>
          <c:idx val="4"/>
          <c:order val="1"/>
          <c:tx>
            <c:strRef>
              <c:f>Takur!$P$3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Takur!$P$4:$P$6</c:f>
              <c:numCache>
                <c:formatCode>General</c:formatCode>
                <c:ptCount val="3"/>
                <c:pt idx="0">
                  <c:v>35</c:v>
                </c:pt>
                <c:pt idx="1">
                  <c:v>21</c:v>
                </c:pt>
                <c:pt idx="2">
                  <c:v>19</c:v>
                </c:pt>
              </c:numCache>
            </c:numRef>
          </c:val>
        </c:ser>
        <c:ser>
          <c:idx val="5"/>
          <c:order val="2"/>
          <c:tx>
            <c:strRef>
              <c:f>Takur!$Q$3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Takur!$Q$4:$Q$6</c:f>
              <c:numCache>
                <c:formatCode>General</c:formatCode>
                <c:ptCount val="3"/>
                <c:pt idx="0">
                  <c:v>569</c:v>
                </c:pt>
                <c:pt idx="1">
                  <c:v>305</c:v>
                </c:pt>
                <c:pt idx="2">
                  <c:v>144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953472"/>
        <c:axId val="118955008"/>
      </c:barChart>
      <c:dateAx>
        <c:axId val="11895347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955008"/>
        <c:crosses val="autoZero"/>
        <c:auto val="1"/>
        <c:lblOffset val="100"/>
        <c:baseTimeUnit val="months"/>
      </c:dateAx>
      <c:valAx>
        <c:axId val="11895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953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Meki!$C$3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Meki!$C$4:$C$6</c:f>
              <c:numCache>
                <c:formatCode>#,##0</c:formatCode>
                <c:ptCount val="3"/>
                <c:pt idx="0">
                  <c:v>10870913</c:v>
                </c:pt>
                <c:pt idx="1">
                  <c:v>15202600</c:v>
                </c:pt>
                <c:pt idx="2">
                  <c:v>21359975</c:v>
                </c:pt>
              </c:numCache>
            </c:numRef>
          </c:val>
        </c:ser>
        <c:ser>
          <c:idx val="1"/>
          <c:order val="1"/>
          <c:tx>
            <c:strRef>
              <c:f>Meki!$D$3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Meki!$D$4:$D$6</c:f>
              <c:numCache>
                <c:formatCode>#,##0</c:formatCode>
                <c:ptCount val="3"/>
                <c:pt idx="0">
                  <c:v>3240738</c:v>
                </c:pt>
                <c:pt idx="1">
                  <c:v>4216374</c:v>
                </c:pt>
                <c:pt idx="2">
                  <c:v>4136475</c:v>
                </c:pt>
              </c:numCache>
            </c:numRef>
          </c:val>
        </c:ser>
        <c:ser>
          <c:idx val="2"/>
          <c:order val="2"/>
          <c:tx>
            <c:strRef>
              <c:f>Meki!$E$3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Meki!$E$4:$E$6</c:f>
              <c:numCache>
                <c:formatCode>#,##0</c:formatCode>
                <c:ptCount val="3"/>
                <c:pt idx="0">
                  <c:v>7630175</c:v>
                </c:pt>
                <c:pt idx="1">
                  <c:v>10986227</c:v>
                </c:pt>
                <c:pt idx="2">
                  <c:v>17223500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762880"/>
        <c:axId val="118768768"/>
      </c:barChart>
      <c:dateAx>
        <c:axId val="11876288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768768"/>
        <c:crosses val="autoZero"/>
        <c:auto val="1"/>
        <c:lblOffset val="100"/>
        <c:baseTimeUnit val="months"/>
      </c:dateAx>
      <c:valAx>
        <c:axId val="11876876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8762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Meki!$L$3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Meki!$L$4:$L$6</c:f>
              <c:numCache>
                <c:formatCode>#,##0</c:formatCode>
                <c:ptCount val="3"/>
                <c:pt idx="0">
                  <c:v>1865938</c:v>
                </c:pt>
                <c:pt idx="1">
                  <c:v>5433050</c:v>
                </c:pt>
                <c:pt idx="2">
                  <c:v>10105288</c:v>
                </c:pt>
              </c:numCache>
            </c:numRef>
          </c:val>
        </c:ser>
        <c:ser>
          <c:idx val="1"/>
          <c:order val="1"/>
          <c:tx>
            <c:strRef>
              <c:f>Meki!$M$3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Meki!$M$4:$M$6</c:f>
              <c:numCache>
                <c:formatCode>#,##0</c:formatCode>
                <c:ptCount val="3"/>
                <c:pt idx="0">
                  <c:v>322438</c:v>
                </c:pt>
                <c:pt idx="1">
                  <c:v>454913</c:v>
                </c:pt>
                <c:pt idx="2">
                  <c:v>2483425</c:v>
                </c:pt>
              </c:numCache>
            </c:numRef>
          </c:val>
        </c:ser>
        <c:ser>
          <c:idx val="2"/>
          <c:order val="2"/>
          <c:tx>
            <c:strRef>
              <c:f>Meki!$N$3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Meki!$N$4:$N$6</c:f>
              <c:numCache>
                <c:formatCode>#,##0</c:formatCode>
                <c:ptCount val="3"/>
                <c:pt idx="0">
                  <c:v>1543500</c:v>
                </c:pt>
                <c:pt idx="1">
                  <c:v>4978138</c:v>
                </c:pt>
                <c:pt idx="2">
                  <c:v>7621863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813056"/>
        <c:axId val="118814592"/>
      </c:barChart>
      <c:dateAx>
        <c:axId val="11881305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814592"/>
        <c:crosses val="autoZero"/>
        <c:auto val="1"/>
        <c:lblOffset val="100"/>
        <c:baseTimeUnit val="months"/>
      </c:dateAx>
      <c:valAx>
        <c:axId val="1188145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881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25065616797898"/>
          <c:y val="0.12205161854768157"/>
          <c:w val="0.16630489938757656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Meki!$F$3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Meki!$F$4:$F$6</c:f>
              <c:numCache>
                <c:formatCode>General</c:formatCode>
                <c:ptCount val="3"/>
                <c:pt idx="0">
                  <c:v>112</c:v>
                </c:pt>
                <c:pt idx="1">
                  <c:v>145</c:v>
                </c:pt>
                <c:pt idx="2">
                  <c:v>214</c:v>
                </c:pt>
              </c:numCache>
            </c:numRef>
          </c:val>
        </c:ser>
        <c:ser>
          <c:idx val="4"/>
          <c:order val="1"/>
          <c:tx>
            <c:strRef>
              <c:f>Meki!$G$3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Meki!$G$4:$G$6</c:f>
              <c:numCache>
                <c:formatCode>General</c:formatCode>
                <c:ptCount val="3"/>
                <c:pt idx="0">
                  <c:v>33</c:v>
                </c:pt>
                <c:pt idx="1">
                  <c:v>19</c:v>
                </c:pt>
                <c:pt idx="2">
                  <c:v>40</c:v>
                </c:pt>
              </c:numCache>
            </c:numRef>
          </c:val>
        </c:ser>
        <c:ser>
          <c:idx val="5"/>
          <c:order val="2"/>
          <c:tx>
            <c:strRef>
              <c:f>Meki!$H$3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Meki!$H$4:$H$6</c:f>
              <c:numCache>
                <c:formatCode>General</c:formatCode>
                <c:ptCount val="3"/>
                <c:pt idx="0">
                  <c:v>79</c:v>
                </c:pt>
                <c:pt idx="1">
                  <c:v>126</c:v>
                </c:pt>
                <c:pt idx="2">
                  <c:v>174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854784"/>
        <c:axId val="118856320"/>
      </c:barChart>
      <c:dateAx>
        <c:axId val="11885478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856320"/>
        <c:crosses val="autoZero"/>
        <c:auto val="1"/>
        <c:lblOffset val="100"/>
        <c:baseTimeUnit val="months"/>
      </c:dateAx>
      <c:valAx>
        <c:axId val="11885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854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Meki!$O$3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Meki!$O$4:$O$6</c:f>
              <c:numCache>
                <c:formatCode>General</c:formatCode>
                <c:ptCount val="3"/>
                <c:pt idx="0">
                  <c:v>18</c:v>
                </c:pt>
                <c:pt idx="1">
                  <c:v>52</c:v>
                </c:pt>
                <c:pt idx="2">
                  <c:v>88</c:v>
                </c:pt>
              </c:numCache>
            </c:numRef>
          </c:val>
        </c:ser>
        <c:ser>
          <c:idx val="4"/>
          <c:order val="1"/>
          <c:tx>
            <c:strRef>
              <c:f>Meki!$P$3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Meki!$P$4:$P$6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21</c:v>
                </c:pt>
              </c:numCache>
            </c:numRef>
          </c:val>
        </c:ser>
        <c:ser>
          <c:idx val="5"/>
          <c:order val="2"/>
          <c:tx>
            <c:strRef>
              <c:f>Meki!$Q$3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Meki!$Q$4:$Q$6</c:f>
              <c:numCache>
                <c:formatCode>General</c:formatCode>
                <c:ptCount val="3"/>
                <c:pt idx="0">
                  <c:v>15</c:v>
                </c:pt>
                <c:pt idx="1">
                  <c:v>48</c:v>
                </c:pt>
                <c:pt idx="2">
                  <c:v>67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896512"/>
        <c:axId val="118898048"/>
      </c:barChart>
      <c:dateAx>
        <c:axId val="11889651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898048"/>
        <c:crosses val="autoZero"/>
        <c:auto val="1"/>
        <c:lblOffset val="100"/>
        <c:baseTimeUnit val="months"/>
      </c:dateAx>
      <c:valAx>
        <c:axId val="118898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896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'Mulana R'!$C$3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R'!$C$4:$C$6</c:f>
              <c:numCache>
                <c:formatCode>#,##0</c:formatCode>
                <c:ptCount val="3"/>
                <c:pt idx="0">
                  <c:v>7665088</c:v>
                </c:pt>
                <c:pt idx="1">
                  <c:v>6741088</c:v>
                </c:pt>
                <c:pt idx="2">
                  <c:v>10182025</c:v>
                </c:pt>
              </c:numCache>
            </c:numRef>
          </c:val>
        </c:ser>
        <c:ser>
          <c:idx val="1"/>
          <c:order val="1"/>
          <c:tx>
            <c:strRef>
              <c:f>'Mulana R'!$D$3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R'!$D$4:$D$6</c:f>
              <c:numCache>
                <c:formatCode>#,##0</c:formatCode>
                <c:ptCount val="3"/>
                <c:pt idx="0">
                  <c:v>303625</c:v>
                </c:pt>
                <c:pt idx="1">
                  <c:v>541188</c:v>
                </c:pt>
                <c:pt idx="2">
                  <c:v>729838</c:v>
                </c:pt>
              </c:numCache>
            </c:numRef>
          </c:val>
        </c:ser>
        <c:ser>
          <c:idx val="2"/>
          <c:order val="2"/>
          <c:tx>
            <c:strRef>
              <c:f>'Mulana R'!$E$3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R'!$E$4:$E$6</c:f>
              <c:numCache>
                <c:formatCode>#,##0</c:formatCode>
                <c:ptCount val="3"/>
                <c:pt idx="0">
                  <c:v>7361463</c:v>
                </c:pt>
                <c:pt idx="1">
                  <c:v>6199900</c:v>
                </c:pt>
                <c:pt idx="2">
                  <c:v>9452188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537664"/>
        <c:axId val="119539200"/>
      </c:barChart>
      <c:dateAx>
        <c:axId val="1195376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9539200"/>
        <c:crosses val="autoZero"/>
        <c:auto val="1"/>
        <c:lblOffset val="100"/>
        <c:baseTimeUnit val="months"/>
      </c:dateAx>
      <c:valAx>
        <c:axId val="1195392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9537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Bandros!$O$3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Bandros!$O$4:$O$6</c:f>
              <c:numCache>
                <c:formatCode>#,##0</c:formatCode>
                <c:ptCount val="3"/>
                <c:pt idx="0">
                  <c:v>1173</c:v>
                </c:pt>
                <c:pt idx="1">
                  <c:v>1409</c:v>
                </c:pt>
                <c:pt idx="2">
                  <c:v>1595</c:v>
                </c:pt>
              </c:numCache>
            </c:numRef>
          </c:val>
        </c:ser>
        <c:ser>
          <c:idx val="4"/>
          <c:order val="1"/>
          <c:tx>
            <c:strRef>
              <c:f>Bandros!$P$3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Bandros!$P$4:$P$6</c:f>
              <c:numCache>
                <c:formatCode>General</c:formatCode>
                <c:ptCount val="3"/>
                <c:pt idx="0">
                  <c:v>114</c:v>
                </c:pt>
                <c:pt idx="1">
                  <c:v>108</c:v>
                </c:pt>
                <c:pt idx="2">
                  <c:v>164</c:v>
                </c:pt>
              </c:numCache>
            </c:numRef>
          </c:val>
        </c:ser>
        <c:ser>
          <c:idx val="5"/>
          <c:order val="2"/>
          <c:tx>
            <c:strRef>
              <c:f>Bandros!$Q$3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Bandros!$Q$4:$Q$6</c:f>
              <c:numCache>
                <c:formatCode>#,##0</c:formatCode>
                <c:ptCount val="3"/>
                <c:pt idx="0">
                  <c:v>1059</c:v>
                </c:pt>
                <c:pt idx="1">
                  <c:v>1301</c:v>
                </c:pt>
                <c:pt idx="2">
                  <c:v>1431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555520"/>
        <c:axId val="110557056"/>
      </c:barChart>
      <c:dateAx>
        <c:axId val="11055552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0557056"/>
        <c:crosses val="autoZero"/>
        <c:auto val="1"/>
        <c:lblOffset val="100"/>
        <c:baseTimeUnit val="months"/>
      </c:dateAx>
      <c:valAx>
        <c:axId val="11055705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0555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'Mulana R'!$L$3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R'!$L$4:$L$6</c:f>
              <c:numCache>
                <c:formatCode>#,##0</c:formatCode>
                <c:ptCount val="3"/>
                <c:pt idx="0">
                  <c:v>8881338</c:v>
                </c:pt>
                <c:pt idx="1">
                  <c:v>17011050</c:v>
                </c:pt>
                <c:pt idx="2">
                  <c:v>18144350</c:v>
                </c:pt>
              </c:numCache>
            </c:numRef>
          </c:val>
        </c:ser>
        <c:ser>
          <c:idx val="1"/>
          <c:order val="1"/>
          <c:tx>
            <c:strRef>
              <c:f>'Mulana R'!$M$3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R'!$M$4:$M$6</c:f>
              <c:numCache>
                <c:formatCode>#,##0</c:formatCode>
                <c:ptCount val="3"/>
                <c:pt idx="0">
                  <c:v>710763</c:v>
                </c:pt>
                <c:pt idx="1">
                  <c:v>1139750</c:v>
                </c:pt>
                <c:pt idx="2">
                  <c:v>1775200</c:v>
                </c:pt>
              </c:numCache>
            </c:numRef>
          </c:val>
        </c:ser>
        <c:ser>
          <c:idx val="2"/>
          <c:order val="2"/>
          <c:tx>
            <c:strRef>
              <c:f>'Mulana R'!$N$3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R'!$N$4:$N$6</c:f>
              <c:numCache>
                <c:formatCode>#,##0</c:formatCode>
                <c:ptCount val="3"/>
                <c:pt idx="0">
                  <c:v>8170575</c:v>
                </c:pt>
                <c:pt idx="1">
                  <c:v>15871300</c:v>
                </c:pt>
                <c:pt idx="2">
                  <c:v>16369150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579392"/>
        <c:axId val="119580928"/>
      </c:barChart>
      <c:dateAx>
        <c:axId val="11957939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9580928"/>
        <c:crosses val="autoZero"/>
        <c:auto val="1"/>
        <c:lblOffset val="100"/>
        <c:baseTimeUnit val="months"/>
      </c:dateAx>
      <c:valAx>
        <c:axId val="1195809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9579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702843394575686"/>
          <c:y val="0.14982939632545933"/>
          <c:w val="0.16630489938757656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'Mulana R'!$F$3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R'!$F$4:$F$6</c:f>
              <c:numCache>
                <c:formatCode>General</c:formatCode>
                <c:ptCount val="3"/>
                <c:pt idx="0">
                  <c:v>82</c:v>
                </c:pt>
                <c:pt idx="1">
                  <c:v>70</c:v>
                </c:pt>
                <c:pt idx="2">
                  <c:v>98</c:v>
                </c:pt>
              </c:numCache>
            </c:numRef>
          </c:val>
        </c:ser>
        <c:ser>
          <c:idx val="4"/>
          <c:order val="1"/>
          <c:tx>
            <c:strRef>
              <c:f>'Mulana R'!$G$3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R'!$G$4:$G$6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</c:ser>
        <c:ser>
          <c:idx val="5"/>
          <c:order val="2"/>
          <c:tx>
            <c:strRef>
              <c:f>'Mulana R'!$H$3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R'!$H$4:$H$6</c:f>
              <c:numCache>
                <c:formatCode>General</c:formatCode>
                <c:ptCount val="3"/>
                <c:pt idx="0">
                  <c:v>79</c:v>
                </c:pt>
                <c:pt idx="1">
                  <c:v>65</c:v>
                </c:pt>
                <c:pt idx="2">
                  <c:v>91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629312"/>
        <c:axId val="119630848"/>
      </c:barChart>
      <c:dateAx>
        <c:axId val="11962931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9630848"/>
        <c:crosses val="autoZero"/>
        <c:auto val="1"/>
        <c:lblOffset val="100"/>
        <c:baseTimeUnit val="months"/>
      </c:dateAx>
      <c:valAx>
        <c:axId val="119630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629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'Mulana R'!$O$3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R'!$O$4:$O$6</c:f>
              <c:numCache>
                <c:formatCode>General</c:formatCode>
                <c:ptCount val="3"/>
                <c:pt idx="0">
                  <c:v>85</c:v>
                </c:pt>
                <c:pt idx="1">
                  <c:v>162</c:v>
                </c:pt>
                <c:pt idx="2">
                  <c:v>172</c:v>
                </c:pt>
              </c:numCache>
            </c:numRef>
          </c:val>
        </c:ser>
        <c:ser>
          <c:idx val="4"/>
          <c:order val="1"/>
          <c:tx>
            <c:strRef>
              <c:f>'Mulana R'!$P$3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R'!$P$4:$P$6</c:f>
              <c:numCache>
                <c:formatCode>General</c:formatCode>
                <c:ptCount val="3"/>
                <c:pt idx="0">
                  <c:v>7</c:v>
                </c:pt>
                <c:pt idx="1">
                  <c:v>10</c:v>
                </c:pt>
                <c:pt idx="2">
                  <c:v>16</c:v>
                </c:pt>
              </c:numCache>
            </c:numRef>
          </c:val>
        </c:ser>
        <c:ser>
          <c:idx val="5"/>
          <c:order val="2"/>
          <c:tx>
            <c:strRef>
              <c:f>'Mulana R'!$Q$3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R'!$Q$4:$Q$6</c:f>
              <c:numCache>
                <c:formatCode>General</c:formatCode>
                <c:ptCount val="3"/>
                <c:pt idx="0">
                  <c:v>78</c:v>
                </c:pt>
                <c:pt idx="1">
                  <c:v>152</c:v>
                </c:pt>
                <c:pt idx="2">
                  <c:v>156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666944"/>
        <c:axId val="119685120"/>
      </c:barChart>
      <c:dateAx>
        <c:axId val="11966694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9685120"/>
        <c:crosses val="autoZero"/>
        <c:auto val="1"/>
        <c:lblOffset val="100"/>
        <c:baseTimeUnit val="months"/>
      </c:dateAx>
      <c:valAx>
        <c:axId val="11968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666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Nillam!$C$3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Nillam!$C$4:$C$6</c:f>
              <c:numCache>
                <c:formatCode>#,##0</c:formatCode>
                <c:ptCount val="3"/>
                <c:pt idx="0">
                  <c:v>8763213</c:v>
                </c:pt>
                <c:pt idx="1">
                  <c:v>24105638</c:v>
                </c:pt>
                <c:pt idx="2">
                  <c:v>58634975</c:v>
                </c:pt>
              </c:numCache>
            </c:numRef>
          </c:val>
        </c:ser>
        <c:ser>
          <c:idx val="1"/>
          <c:order val="1"/>
          <c:tx>
            <c:strRef>
              <c:f>Nillam!$D$3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Nillam!$D$4:$D$6</c:f>
              <c:numCache>
                <c:formatCode>#,##0</c:formatCode>
                <c:ptCount val="3"/>
                <c:pt idx="0">
                  <c:v>1996925</c:v>
                </c:pt>
                <c:pt idx="1">
                  <c:v>5990682</c:v>
                </c:pt>
                <c:pt idx="2">
                  <c:v>10250100</c:v>
                </c:pt>
              </c:numCache>
            </c:numRef>
          </c:val>
        </c:ser>
        <c:ser>
          <c:idx val="2"/>
          <c:order val="2"/>
          <c:tx>
            <c:strRef>
              <c:f>Nillam!$E$3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Nillam!$E$4:$E$6</c:f>
              <c:numCache>
                <c:formatCode>#,##0</c:formatCode>
                <c:ptCount val="3"/>
                <c:pt idx="0">
                  <c:v>6766288</c:v>
                </c:pt>
                <c:pt idx="1">
                  <c:v>18114956</c:v>
                </c:pt>
                <c:pt idx="2">
                  <c:v>48384875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086912"/>
        <c:axId val="120088448"/>
      </c:barChart>
      <c:dateAx>
        <c:axId val="12008691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088448"/>
        <c:crosses val="autoZero"/>
        <c:auto val="1"/>
        <c:lblOffset val="100"/>
        <c:baseTimeUnit val="months"/>
      </c:dateAx>
      <c:valAx>
        <c:axId val="1200884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0086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Nillam!$L$3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Nillam!$L$4:$L$6</c:f>
              <c:numCache>
                <c:formatCode>#,##0</c:formatCode>
                <c:ptCount val="3"/>
                <c:pt idx="0">
                  <c:v>4231325</c:v>
                </c:pt>
                <c:pt idx="1">
                  <c:v>18168063</c:v>
                </c:pt>
                <c:pt idx="2">
                  <c:v>67412888</c:v>
                </c:pt>
              </c:numCache>
            </c:numRef>
          </c:val>
        </c:ser>
        <c:ser>
          <c:idx val="1"/>
          <c:order val="1"/>
          <c:tx>
            <c:strRef>
              <c:f>Nillam!$M$3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Nillam!$M$4:$M$6</c:f>
              <c:numCache>
                <c:formatCode>#,##0</c:formatCode>
                <c:ptCount val="3"/>
                <c:pt idx="0">
                  <c:v>1063563</c:v>
                </c:pt>
                <c:pt idx="1">
                  <c:v>676638</c:v>
                </c:pt>
                <c:pt idx="2">
                  <c:v>12475400</c:v>
                </c:pt>
              </c:numCache>
            </c:numRef>
          </c:val>
        </c:ser>
        <c:ser>
          <c:idx val="2"/>
          <c:order val="2"/>
          <c:tx>
            <c:strRef>
              <c:f>Nillam!$N$3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Nillam!$N$4:$N$6</c:f>
              <c:numCache>
                <c:formatCode>#,##0</c:formatCode>
                <c:ptCount val="3"/>
                <c:pt idx="0">
                  <c:v>3167763</c:v>
                </c:pt>
                <c:pt idx="1">
                  <c:v>17491425</c:v>
                </c:pt>
                <c:pt idx="2">
                  <c:v>54937488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116352"/>
        <c:axId val="120117888"/>
      </c:barChart>
      <c:dateAx>
        <c:axId val="1201163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117888"/>
        <c:crosses val="autoZero"/>
        <c:auto val="1"/>
        <c:lblOffset val="100"/>
        <c:baseTimeUnit val="months"/>
      </c:dateAx>
      <c:valAx>
        <c:axId val="1201178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0116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Nillam!$F$3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Nillam!$F$4:$F$6</c:f>
              <c:numCache>
                <c:formatCode>General</c:formatCode>
                <c:ptCount val="3"/>
                <c:pt idx="0">
                  <c:v>89</c:v>
                </c:pt>
                <c:pt idx="1">
                  <c:v>217</c:v>
                </c:pt>
                <c:pt idx="2">
                  <c:v>534</c:v>
                </c:pt>
              </c:numCache>
            </c:numRef>
          </c:val>
        </c:ser>
        <c:ser>
          <c:idx val="4"/>
          <c:order val="1"/>
          <c:tx>
            <c:strRef>
              <c:f>Nillam!$G$3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Nillam!$G$4:$G$6</c:f>
              <c:numCache>
                <c:formatCode>General</c:formatCode>
                <c:ptCount val="3"/>
                <c:pt idx="0">
                  <c:v>24</c:v>
                </c:pt>
                <c:pt idx="1">
                  <c:v>40</c:v>
                </c:pt>
                <c:pt idx="2">
                  <c:v>92</c:v>
                </c:pt>
              </c:numCache>
            </c:numRef>
          </c:val>
        </c:ser>
        <c:ser>
          <c:idx val="5"/>
          <c:order val="2"/>
          <c:tx>
            <c:strRef>
              <c:f>Nillam!$H$3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Nillam!$H$4:$H$6</c:f>
              <c:numCache>
                <c:formatCode>General</c:formatCode>
                <c:ptCount val="3"/>
                <c:pt idx="0">
                  <c:v>65</c:v>
                </c:pt>
                <c:pt idx="1">
                  <c:v>177</c:v>
                </c:pt>
                <c:pt idx="2">
                  <c:v>442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912320"/>
        <c:axId val="119913856"/>
      </c:barChart>
      <c:dateAx>
        <c:axId val="11991232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9913856"/>
        <c:crosses val="autoZero"/>
        <c:auto val="1"/>
        <c:lblOffset val="100"/>
        <c:baseTimeUnit val="months"/>
      </c:dateAx>
      <c:valAx>
        <c:axId val="11991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912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Nillam!$O$3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Nillam!$O$4:$O$6</c:f>
              <c:numCache>
                <c:formatCode>General</c:formatCode>
                <c:ptCount val="3"/>
                <c:pt idx="0">
                  <c:v>41</c:v>
                </c:pt>
                <c:pt idx="1">
                  <c:v>166</c:v>
                </c:pt>
                <c:pt idx="2">
                  <c:v>610</c:v>
                </c:pt>
              </c:numCache>
            </c:numRef>
          </c:val>
        </c:ser>
        <c:ser>
          <c:idx val="4"/>
          <c:order val="1"/>
          <c:tx>
            <c:strRef>
              <c:f>Nillam!$P$3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Nillam!$P$4:$P$6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  <c:pt idx="2">
                  <c:v>112</c:v>
                </c:pt>
              </c:numCache>
            </c:numRef>
          </c:val>
        </c:ser>
        <c:ser>
          <c:idx val="5"/>
          <c:order val="2"/>
          <c:tx>
            <c:strRef>
              <c:f>Nillam!$Q$3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Nillam!$Q$4:$Q$6</c:f>
              <c:numCache>
                <c:formatCode>General</c:formatCode>
                <c:ptCount val="3"/>
                <c:pt idx="0">
                  <c:v>35</c:v>
                </c:pt>
                <c:pt idx="1">
                  <c:v>159</c:v>
                </c:pt>
                <c:pt idx="2">
                  <c:v>498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974528"/>
        <c:axId val="119980416"/>
      </c:barChart>
      <c:dateAx>
        <c:axId val="1199745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9980416"/>
        <c:crosses val="autoZero"/>
        <c:auto val="1"/>
        <c:lblOffset val="100"/>
        <c:baseTimeUnit val="months"/>
      </c:dateAx>
      <c:valAx>
        <c:axId val="11998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974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'Agus And'!$C$3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And'!$C$4:$C$6</c:f>
              <c:numCache>
                <c:formatCode>#,##0</c:formatCode>
                <c:ptCount val="3"/>
                <c:pt idx="0">
                  <c:v>7707875</c:v>
                </c:pt>
                <c:pt idx="1">
                  <c:v>18960988</c:v>
                </c:pt>
                <c:pt idx="2">
                  <c:v>44765175</c:v>
                </c:pt>
              </c:numCache>
            </c:numRef>
          </c:val>
        </c:ser>
        <c:ser>
          <c:idx val="1"/>
          <c:order val="1"/>
          <c:tx>
            <c:strRef>
              <c:f>'Agus And'!$D$3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And'!$D$4:$D$6</c:f>
              <c:numCache>
                <c:formatCode>#,##0</c:formatCode>
                <c:ptCount val="3"/>
                <c:pt idx="0">
                  <c:v>1706863</c:v>
                </c:pt>
                <c:pt idx="1">
                  <c:v>3541125</c:v>
                </c:pt>
                <c:pt idx="2">
                  <c:v>7233100</c:v>
                </c:pt>
              </c:numCache>
            </c:numRef>
          </c:val>
        </c:ser>
        <c:ser>
          <c:idx val="2"/>
          <c:order val="2"/>
          <c:tx>
            <c:strRef>
              <c:f>'Agus And'!$E$3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And'!$E$4:$E$6</c:f>
              <c:numCache>
                <c:formatCode>#,##0</c:formatCode>
                <c:ptCount val="3"/>
                <c:pt idx="0">
                  <c:v>6001013</c:v>
                </c:pt>
                <c:pt idx="1">
                  <c:v>15419863</c:v>
                </c:pt>
                <c:pt idx="2">
                  <c:v>37532075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5302784"/>
        <c:axId val="115304320"/>
      </c:barChart>
      <c:dateAx>
        <c:axId val="11530278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5304320"/>
        <c:crosses val="autoZero"/>
        <c:auto val="1"/>
        <c:lblOffset val="100"/>
        <c:baseTimeUnit val="months"/>
      </c:dateAx>
      <c:valAx>
        <c:axId val="11530432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5302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'Agus And'!$L$3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And'!$L$4:$L$6</c:f>
              <c:numCache>
                <c:formatCode>#,##0</c:formatCode>
                <c:ptCount val="3"/>
                <c:pt idx="0">
                  <c:v>3721813</c:v>
                </c:pt>
                <c:pt idx="1">
                  <c:v>3089713</c:v>
                </c:pt>
                <c:pt idx="2">
                  <c:v>14647938</c:v>
                </c:pt>
              </c:numCache>
            </c:numRef>
          </c:val>
        </c:ser>
        <c:ser>
          <c:idx val="1"/>
          <c:order val="1"/>
          <c:tx>
            <c:strRef>
              <c:f>'Agus And'!$M$3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And'!$M$4:$M$6</c:f>
              <c:numCache>
                <c:formatCode>#,##0</c:formatCode>
                <c:ptCount val="3"/>
                <c:pt idx="0">
                  <c:v>1027950</c:v>
                </c:pt>
                <c:pt idx="1">
                  <c:v>579425</c:v>
                </c:pt>
                <c:pt idx="2">
                  <c:v>2265975</c:v>
                </c:pt>
              </c:numCache>
            </c:numRef>
          </c:val>
        </c:ser>
        <c:ser>
          <c:idx val="2"/>
          <c:order val="2"/>
          <c:tx>
            <c:strRef>
              <c:f>'Agus And'!$N$3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And'!$N$4:$N$6</c:f>
              <c:numCache>
                <c:formatCode>#,##0</c:formatCode>
                <c:ptCount val="3"/>
                <c:pt idx="0">
                  <c:v>2693863</c:v>
                </c:pt>
                <c:pt idx="1">
                  <c:v>2510288</c:v>
                </c:pt>
                <c:pt idx="2">
                  <c:v>12381963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420032"/>
        <c:axId val="119421568"/>
      </c:barChart>
      <c:dateAx>
        <c:axId val="1194200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9421568"/>
        <c:crosses val="autoZero"/>
        <c:auto val="1"/>
        <c:lblOffset val="100"/>
        <c:baseTimeUnit val="months"/>
      </c:dateAx>
      <c:valAx>
        <c:axId val="11942156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9420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'Agus And'!$F$3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And'!$F$4:$F$6</c:f>
              <c:numCache>
                <c:formatCode>General</c:formatCode>
                <c:ptCount val="3"/>
                <c:pt idx="0">
                  <c:v>78</c:v>
                </c:pt>
                <c:pt idx="1">
                  <c:v>187</c:v>
                </c:pt>
                <c:pt idx="2">
                  <c:v>425</c:v>
                </c:pt>
              </c:numCache>
            </c:numRef>
          </c:val>
        </c:ser>
        <c:ser>
          <c:idx val="4"/>
          <c:order val="1"/>
          <c:tx>
            <c:strRef>
              <c:f>'Agus And'!$G$3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And'!$G$4:$G$6</c:f>
              <c:numCache>
                <c:formatCode>General</c:formatCode>
                <c:ptCount val="3"/>
                <c:pt idx="0">
                  <c:v>30</c:v>
                </c:pt>
                <c:pt idx="1">
                  <c:v>39</c:v>
                </c:pt>
                <c:pt idx="2">
                  <c:v>87</c:v>
                </c:pt>
              </c:numCache>
            </c:numRef>
          </c:val>
        </c:ser>
        <c:ser>
          <c:idx val="5"/>
          <c:order val="2"/>
          <c:tx>
            <c:strRef>
              <c:f>'Agus And'!$H$3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And'!$H$4:$H$6</c:f>
              <c:numCache>
                <c:formatCode>General</c:formatCode>
                <c:ptCount val="3"/>
                <c:pt idx="0">
                  <c:v>48</c:v>
                </c:pt>
                <c:pt idx="1">
                  <c:v>148</c:v>
                </c:pt>
                <c:pt idx="2">
                  <c:v>338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469952"/>
        <c:axId val="119471488"/>
      </c:barChart>
      <c:dateAx>
        <c:axId val="1194699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9471488"/>
        <c:crosses val="autoZero"/>
        <c:auto val="1"/>
        <c:lblOffset val="100"/>
        <c:baseTimeUnit val="months"/>
      </c:dateAx>
      <c:valAx>
        <c:axId val="119471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69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Taufik!$C$3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Taufik!$B$4:$B$8</c:f>
              <c:numCache>
                <c:formatCode>mmm\-yy</c:formatCode>
                <c:ptCount val="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Taufik!$C$4:$C$8</c:f>
              <c:numCache>
                <c:formatCode>#,##0</c:formatCode>
                <c:ptCount val="5"/>
                <c:pt idx="0">
                  <c:v>46548688</c:v>
                </c:pt>
                <c:pt idx="1">
                  <c:v>67877600</c:v>
                </c:pt>
                <c:pt idx="2">
                  <c:v>98514850</c:v>
                </c:pt>
                <c:pt idx="3">
                  <c:v>212941138</c:v>
                </c:pt>
              </c:numCache>
            </c:numRef>
          </c:val>
        </c:ser>
        <c:ser>
          <c:idx val="1"/>
          <c:order val="1"/>
          <c:tx>
            <c:strRef>
              <c:f>Taufik!$D$3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Taufik!$B$4:$B$8</c:f>
              <c:numCache>
                <c:formatCode>mmm\-yy</c:formatCode>
                <c:ptCount val="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Taufik!$D$4:$D$8</c:f>
              <c:numCache>
                <c:formatCode>#,##0</c:formatCode>
                <c:ptCount val="5"/>
                <c:pt idx="0">
                  <c:v>9329075</c:v>
                </c:pt>
                <c:pt idx="1">
                  <c:v>9286688</c:v>
                </c:pt>
                <c:pt idx="2">
                  <c:v>16662013</c:v>
                </c:pt>
                <c:pt idx="3">
                  <c:v>35277776</c:v>
                </c:pt>
              </c:numCache>
            </c:numRef>
          </c:val>
        </c:ser>
        <c:ser>
          <c:idx val="2"/>
          <c:order val="2"/>
          <c:tx>
            <c:strRef>
              <c:f>Taufik!$E$3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Taufik!$B$4:$B$8</c:f>
              <c:numCache>
                <c:formatCode>mmm\-yy</c:formatCode>
                <c:ptCount val="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Taufik!$E$4:$E$8</c:f>
              <c:numCache>
                <c:formatCode>#,##0</c:formatCode>
                <c:ptCount val="5"/>
                <c:pt idx="0">
                  <c:v>37219613</c:v>
                </c:pt>
                <c:pt idx="1">
                  <c:v>58590913</c:v>
                </c:pt>
                <c:pt idx="2">
                  <c:v>81852838</c:v>
                </c:pt>
                <c:pt idx="3">
                  <c:v>177663364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232896"/>
        <c:axId val="111234432"/>
      </c:barChart>
      <c:dateAx>
        <c:axId val="1112328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1234432"/>
        <c:crosses val="autoZero"/>
        <c:auto val="1"/>
        <c:lblOffset val="100"/>
        <c:baseTimeUnit val="months"/>
      </c:dateAx>
      <c:valAx>
        <c:axId val="1112344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1232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Julmlah</a:t>
            </a:r>
            <a:r>
              <a:rPr lang="en-US" baseline="0"/>
              <a:t> jual 2018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'Agus And'!$O$3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And'!$O$4:$O$6</c:f>
              <c:numCache>
                <c:formatCode>General</c:formatCode>
                <c:ptCount val="3"/>
                <c:pt idx="0">
                  <c:v>39</c:v>
                </c:pt>
                <c:pt idx="1">
                  <c:v>25</c:v>
                </c:pt>
                <c:pt idx="2">
                  <c:v>132</c:v>
                </c:pt>
              </c:numCache>
            </c:numRef>
          </c:val>
        </c:ser>
        <c:ser>
          <c:idx val="4"/>
          <c:order val="1"/>
          <c:tx>
            <c:strRef>
              <c:f>'Agus And'!$P$3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And'!$P$4:$P$6</c:f>
              <c:numCache>
                <c:formatCode>General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21</c:v>
                </c:pt>
              </c:numCache>
            </c:numRef>
          </c:val>
        </c:ser>
        <c:ser>
          <c:idx val="5"/>
          <c:order val="2"/>
          <c:tx>
            <c:strRef>
              <c:f>'Agus And'!$Q$3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And'!$Q$4:$Q$6</c:f>
              <c:numCache>
                <c:formatCode>General</c:formatCode>
                <c:ptCount val="3"/>
                <c:pt idx="0">
                  <c:v>28</c:v>
                </c:pt>
                <c:pt idx="1">
                  <c:v>17</c:v>
                </c:pt>
                <c:pt idx="2">
                  <c:v>111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523968"/>
        <c:axId val="119525760"/>
      </c:barChart>
      <c:dateAx>
        <c:axId val="11952396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9525760"/>
        <c:crosses val="autoZero"/>
        <c:auto val="1"/>
        <c:lblOffset val="100"/>
        <c:baseTimeUnit val="months"/>
      </c:dateAx>
      <c:valAx>
        <c:axId val="11952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523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Nilau</a:t>
            </a:r>
            <a:r>
              <a:rPr lang="en-US" baseline="0"/>
              <a:t> jual 2017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Ligart!$C$3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Ligart!$C$4:$C$6</c:f>
              <c:numCache>
                <c:formatCode>#,##0</c:formatCode>
                <c:ptCount val="3"/>
                <c:pt idx="0">
                  <c:v>7570588</c:v>
                </c:pt>
                <c:pt idx="1">
                  <c:v>19140800</c:v>
                </c:pt>
                <c:pt idx="2">
                  <c:v>28021525</c:v>
                </c:pt>
              </c:numCache>
            </c:numRef>
          </c:val>
        </c:ser>
        <c:ser>
          <c:idx val="1"/>
          <c:order val="1"/>
          <c:tx>
            <c:strRef>
              <c:f>Ligart!$D$3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Ligart!$D$4:$D$6</c:f>
              <c:numCache>
                <c:formatCode>#,##0</c:formatCode>
                <c:ptCount val="3"/>
                <c:pt idx="0">
                  <c:v>1740988</c:v>
                </c:pt>
                <c:pt idx="1">
                  <c:v>3000288</c:v>
                </c:pt>
                <c:pt idx="2">
                  <c:v>7889525</c:v>
                </c:pt>
              </c:numCache>
            </c:numRef>
          </c:val>
        </c:ser>
        <c:ser>
          <c:idx val="2"/>
          <c:order val="2"/>
          <c:tx>
            <c:strRef>
              <c:f>Ligart!$E$3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Ligart!$E$4:$E$6</c:f>
              <c:numCache>
                <c:formatCode>#,##0</c:formatCode>
                <c:ptCount val="3"/>
                <c:pt idx="0">
                  <c:v>5829600</c:v>
                </c:pt>
                <c:pt idx="1">
                  <c:v>16140513</c:v>
                </c:pt>
                <c:pt idx="2">
                  <c:v>20132000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476032"/>
        <c:axId val="120477568"/>
      </c:barChart>
      <c:dateAx>
        <c:axId val="1204760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477568"/>
        <c:crosses val="autoZero"/>
        <c:auto val="1"/>
        <c:lblOffset val="100"/>
        <c:baseTimeUnit val="months"/>
      </c:dateAx>
      <c:valAx>
        <c:axId val="12047756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0476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Ligart!$F$3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Ligart!$F$4:$F$6</c:f>
              <c:numCache>
                <c:formatCode>General</c:formatCode>
                <c:ptCount val="3"/>
                <c:pt idx="0">
                  <c:v>73</c:v>
                </c:pt>
                <c:pt idx="1">
                  <c:v>178</c:v>
                </c:pt>
                <c:pt idx="2">
                  <c:v>271</c:v>
                </c:pt>
              </c:numCache>
            </c:numRef>
          </c:val>
        </c:ser>
        <c:ser>
          <c:idx val="4"/>
          <c:order val="1"/>
          <c:tx>
            <c:strRef>
              <c:f>Ligart!$G$3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Ligart!$G$4:$G$6</c:f>
              <c:numCache>
                <c:formatCode>General</c:formatCode>
                <c:ptCount val="3"/>
                <c:pt idx="0">
                  <c:v>17</c:v>
                </c:pt>
                <c:pt idx="1">
                  <c:v>28</c:v>
                </c:pt>
                <c:pt idx="2">
                  <c:v>76</c:v>
                </c:pt>
              </c:numCache>
            </c:numRef>
          </c:val>
        </c:ser>
        <c:ser>
          <c:idx val="5"/>
          <c:order val="2"/>
          <c:tx>
            <c:strRef>
              <c:f>Ligart!$H$3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Ligart!$H$4:$H$6</c:f>
              <c:numCache>
                <c:formatCode>General</c:formatCode>
                <c:ptCount val="3"/>
                <c:pt idx="0">
                  <c:v>56</c:v>
                </c:pt>
                <c:pt idx="1">
                  <c:v>150</c:v>
                </c:pt>
                <c:pt idx="2">
                  <c:v>195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136832"/>
        <c:axId val="120138368"/>
      </c:barChart>
      <c:dateAx>
        <c:axId val="1201368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138368"/>
        <c:crosses val="autoZero"/>
        <c:auto val="1"/>
        <c:lblOffset val="100"/>
        <c:baseTimeUnit val="months"/>
      </c:dateAx>
      <c:valAx>
        <c:axId val="120138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136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Narnia!$C$3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Narnia!$C$4:$C$6</c:f>
              <c:numCache>
                <c:formatCode>#,##0</c:formatCode>
                <c:ptCount val="3"/>
                <c:pt idx="0">
                  <c:v>5935300</c:v>
                </c:pt>
                <c:pt idx="1">
                  <c:v>11766913</c:v>
                </c:pt>
                <c:pt idx="2">
                  <c:v>11307188</c:v>
                </c:pt>
              </c:numCache>
            </c:numRef>
          </c:val>
        </c:ser>
        <c:ser>
          <c:idx val="1"/>
          <c:order val="1"/>
          <c:tx>
            <c:strRef>
              <c:f>Narnia!$D$3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Narnia!$D$4:$D$6</c:f>
              <c:numCache>
                <c:formatCode>General</c:formatCode>
                <c:ptCount val="3"/>
                <c:pt idx="0" formatCode="#,##0">
                  <c:v>522200</c:v>
                </c:pt>
                <c:pt idx="1">
                  <c:v>0</c:v>
                </c:pt>
                <c:pt idx="2" formatCode="#,##0">
                  <c:v>342300</c:v>
                </c:pt>
              </c:numCache>
            </c:numRef>
          </c:val>
        </c:ser>
        <c:ser>
          <c:idx val="2"/>
          <c:order val="2"/>
          <c:tx>
            <c:strRef>
              <c:f>Narnia!$E$3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Narnia!$E$4:$E$6</c:f>
              <c:numCache>
                <c:formatCode>#,##0</c:formatCode>
                <c:ptCount val="3"/>
                <c:pt idx="0">
                  <c:v>5413100</c:v>
                </c:pt>
                <c:pt idx="1">
                  <c:v>11766913</c:v>
                </c:pt>
                <c:pt idx="2">
                  <c:v>10964888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282112"/>
        <c:axId val="120296192"/>
      </c:barChart>
      <c:dateAx>
        <c:axId val="12028211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296192"/>
        <c:crosses val="autoZero"/>
        <c:auto val="1"/>
        <c:lblOffset val="100"/>
        <c:baseTimeUnit val="months"/>
      </c:dateAx>
      <c:valAx>
        <c:axId val="1202961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0282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Narnia!$L$3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Narnia!$L$4:$L$6</c:f>
              <c:numCache>
                <c:formatCode>#,##0</c:formatCode>
                <c:ptCount val="3"/>
                <c:pt idx="0">
                  <c:v>7072188</c:v>
                </c:pt>
                <c:pt idx="1">
                  <c:v>3878263</c:v>
                </c:pt>
                <c:pt idx="2">
                  <c:v>5470238</c:v>
                </c:pt>
              </c:numCache>
            </c:numRef>
          </c:val>
        </c:ser>
        <c:ser>
          <c:idx val="1"/>
          <c:order val="1"/>
          <c:tx>
            <c:strRef>
              <c:f>Narnia!$M$3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Narnia!$M$4:$M$6</c:f>
              <c:numCache>
                <c:formatCode>#,##0</c:formatCode>
                <c:ptCount val="3"/>
                <c:pt idx="0">
                  <c:v>220063</c:v>
                </c:pt>
                <c:pt idx="1">
                  <c:v>214463</c:v>
                </c:pt>
                <c:pt idx="2">
                  <c:v>322175</c:v>
                </c:pt>
              </c:numCache>
            </c:numRef>
          </c:val>
        </c:ser>
        <c:ser>
          <c:idx val="2"/>
          <c:order val="2"/>
          <c:tx>
            <c:strRef>
              <c:f>Narnia!$N$3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Narnia!$N$4:$N$6</c:f>
              <c:numCache>
                <c:formatCode>#,##0</c:formatCode>
                <c:ptCount val="3"/>
                <c:pt idx="0">
                  <c:v>6852125</c:v>
                </c:pt>
                <c:pt idx="1">
                  <c:v>3663800</c:v>
                </c:pt>
                <c:pt idx="2">
                  <c:v>5148063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332288"/>
        <c:axId val="120333824"/>
      </c:barChart>
      <c:dateAx>
        <c:axId val="12033228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333824"/>
        <c:crosses val="autoZero"/>
        <c:auto val="1"/>
        <c:lblOffset val="100"/>
        <c:baseTimeUnit val="months"/>
      </c:dateAx>
      <c:valAx>
        <c:axId val="1203338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0332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Narnia!$F$3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Narnia!$F$4:$F$6</c:f>
              <c:numCache>
                <c:formatCode>General</c:formatCode>
                <c:ptCount val="3"/>
                <c:pt idx="0">
                  <c:v>65</c:v>
                </c:pt>
                <c:pt idx="1">
                  <c:v>123</c:v>
                </c:pt>
                <c:pt idx="2">
                  <c:v>111</c:v>
                </c:pt>
              </c:numCache>
            </c:numRef>
          </c:val>
        </c:ser>
        <c:ser>
          <c:idx val="4"/>
          <c:order val="1"/>
          <c:tx>
            <c:strRef>
              <c:f>Narnia!$G$3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Narnia!$G$4:$G$6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5"/>
          <c:order val="2"/>
          <c:tx>
            <c:strRef>
              <c:f>Narnia!$H$3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Narnia!$H$4:$H$6</c:f>
              <c:numCache>
                <c:formatCode>General</c:formatCode>
                <c:ptCount val="3"/>
                <c:pt idx="0">
                  <c:v>60</c:v>
                </c:pt>
                <c:pt idx="1">
                  <c:v>123</c:v>
                </c:pt>
                <c:pt idx="2">
                  <c:v>108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386304"/>
        <c:axId val="120387840"/>
      </c:barChart>
      <c:dateAx>
        <c:axId val="12038630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387840"/>
        <c:crosses val="autoZero"/>
        <c:auto val="1"/>
        <c:lblOffset val="100"/>
        <c:baseTimeUnit val="months"/>
      </c:dateAx>
      <c:valAx>
        <c:axId val="12038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386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Narnia!$O$3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Narnia!$O$4:$O$6</c:f>
              <c:numCache>
                <c:formatCode>General</c:formatCode>
                <c:ptCount val="3"/>
                <c:pt idx="0">
                  <c:v>70</c:v>
                </c:pt>
                <c:pt idx="1">
                  <c:v>39</c:v>
                </c:pt>
                <c:pt idx="2">
                  <c:v>50</c:v>
                </c:pt>
              </c:numCache>
            </c:numRef>
          </c:val>
        </c:ser>
        <c:ser>
          <c:idx val="4"/>
          <c:order val="1"/>
          <c:tx>
            <c:strRef>
              <c:f>Narnia!$P$3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Narnia!$P$4:$P$6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5"/>
          <c:order val="2"/>
          <c:tx>
            <c:strRef>
              <c:f>Narnia!$Q$3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Narnia!$Q$4:$Q$6</c:f>
              <c:numCache>
                <c:formatCode>General</c:formatCode>
                <c:ptCount val="3"/>
                <c:pt idx="0">
                  <c:v>68</c:v>
                </c:pt>
                <c:pt idx="1">
                  <c:v>37</c:v>
                </c:pt>
                <c:pt idx="2">
                  <c:v>47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887552"/>
        <c:axId val="120893440"/>
      </c:barChart>
      <c:dateAx>
        <c:axId val="1208875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893440"/>
        <c:crosses val="autoZero"/>
        <c:auto val="1"/>
        <c:lblOffset val="100"/>
        <c:baseTimeUnit val="months"/>
      </c:dateAx>
      <c:valAx>
        <c:axId val="12089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887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Irmayanti!$C$3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Irmayanti!$C$4:$C$6</c:f>
              <c:numCache>
                <c:formatCode>#,##0</c:formatCode>
                <c:ptCount val="3"/>
                <c:pt idx="0">
                  <c:v>5343188</c:v>
                </c:pt>
                <c:pt idx="1">
                  <c:v>6728313</c:v>
                </c:pt>
                <c:pt idx="2">
                  <c:v>6343313</c:v>
                </c:pt>
              </c:numCache>
            </c:numRef>
          </c:val>
        </c:ser>
        <c:ser>
          <c:idx val="1"/>
          <c:order val="1"/>
          <c:tx>
            <c:strRef>
              <c:f>Irmayanti!$D$3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Irmayanti!$D$4:$D$6</c:f>
              <c:numCache>
                <c:formatCode>#,##0</c:formatCode>
                <c:ptCount val="3"/>
                <c:pt idx="0">
                  <c:v>18000</c:v>
                </c:pt>
                <c:pt idx="1">
                  <c:v>524300</c:v>
                </c:pt>
                <c:pt idx="2">
                  <c:v>1271613</c:v>
                </c:pt>
              </c:numCache>
            </c:numRef>
          </c:val>
        </c:ser>
        <c:ser>
          <c:idx val="2"/>
          <c:order val="2"/>
          <c:tx>
            <c:strRef>
              <c:f>Irmayanti!$E$3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Irmayanti!$E$4:$E$6</c:f>
              <c:numCache>
                <c:formatCode>#,##0</c:formatCode>
                <c:ptCount val="3"/>
                <c:pt idx="0">
                  <c:v>5325188</c:v>
                </c:pt>
                <c:pt idx="1">
                  <c:v>6204013</c:v>
                </c:pt>
                <c:pt idx="2">
                  <c:v>5071700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676736"/>
        <c:axId val="120678272"/>
      </c:barChart>
      <c:dateAx>
        <c:axId val="12067673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678272"/>
        <c:crosses val="autoZero"/>
        <c:auto val="1"/>
        <c:lblOffset val="100"/>
        <c:baseTimeUnit val="months"/>
      </c:dateAx>
      <c:valAx>
        <c:axId val="12067827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0676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Irmayanti!$L$3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Irmayanti!$L$4:$L$6</c:f>
              <c:numCache>
                <c:formatCode>#,##0</c:formatCode>
                <c:ptCount val="3"/>
                <c:pt idx="0">
                  <c:v>10666338</c:v>
                </c:pt>
                <c:pt idx="1">
                  <c:v>8857363</c:v>
                </c:pt>
                <c:pt idx="2">
                  <c:v>10441025</c:v>
                </c:pt>
              </c:numCache>
            </c:numRef>
          </c:val>
        </c:ser>
        <c:ser>
          <c:idx val="1"/>
          <c:order val="1"/>
          <c:tx>
            <c:strRef>
              <c:f>Irmayanti!$M$3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Irmayanti!$M$4:$M$6</c:f>
              <c:numCache>
                <c:formatCode>#,##0</c:formatCode>
                <c:ptCount val="3"/>
                <c:pt idx="0">
                  <c:v>1865713</c:v>
                </c:pt>
                <c:pt idx="1">
                  <c:v>-2000</c:v>
                </c:pt>
                <c:pt idx="2">
                  <c:v>398825</c:v>
                </c:pt>
              </c:numCache>
            </c:numRef>
          </c:val>
        </c:ser>
        <c:ser>
          <c:idx val="2"/>
          <c:order val="2"/>
          <c:tx>
            <c:strRef>
              <c:f>Irmayanti!$N$3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Irmayanti!$N$4:$N$6</c:f>
              <c:numCache>
                <c:formatCode>#,##0</c:formatCode>
                <c:ptCount val="3"/>
                <c:pt idx="0">
                  <c:v>8800625</c:v>
                </c:pt>
                <c:pt idx="1">
                  <c:v>8859363</c:v>
                </c:pt>
                <c:pt idx="2">
                  <c:v>10042200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730752"/>
        <c:axId val="120732288"/>
      </c:barChart>
      <c:dateAx>
        <c:axId val="1207307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732288"/>
        <c:crosses val="autoZero"/>
        <c:auto val="1"/>
        <c:lblOffset val="100"/>
        <c:baseTimeUnit val="months"/>
      </c:dateAx>
      <c:valAx>
        <c:axId val="1207322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0730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Irmayanti!$F$3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Irmayanti!$F$4:$F$6</c:f>
              <c:numCache>
                <c:formatCode>General</c:formatCode>
                <c:ptCount val="3"/>
                <c:pt idx="0">
                  <c:v>55</c:v>
                </c:pt>
                <c:pt idx="1">
                  <c:v>66</c:v>
                </c:pt>
                <c:pt idx="2">
                  <c:v>58</c:v>
                </c:pt>
              </c:numCache>
            </c:numRef>
          </c:val>
        </c:ser>
        <c:ser>
          <c:idx val="4"/>
          <c:order val="1"/>
          <c:tx>
            <c:strRef>
              <c:f>Irmayanti!$G$3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Irmayanti!$G$4:$G$6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</c:ser>
        <c:ser>
          <c:idx val="5"/>
          <c:order val="2"/>
          <c:tx>
            <c:strRef>
              <c:f>Irmayanti!$H$3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Irmayanti!$H$4:$H$6</c:f>
              <c:numCache>
                <c:formatCode>General</c:formatCode>
                <c:ptCount val="3"/>
                <c:pt idx="0">
                  <c:v>55</c:v>
                </c:pt>
                <c:pt idx="1">
                  <c:v>61</c:v>
                </c:pt>
                <c:pt idx="2">
                  <c:v>48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764288"/>
        <c:axId val="120765824"/>
      </c:barChart>
      <c:dateAx>
        <c:axId val="12076428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765824"/>
        <c:crosses val="autoZero"/>
        <c:auto val="1"/>
        <c:lblOffset val="100"/>
        <c:baseTimeUnit val="months"/>
      </c:dateAx>
      <c:valAx>
        <c:axId val="12076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764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4" Type="http://schemas.openxmlformats.org/officeDocument/2006/relationships/chart" Target="../charts/chart5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4" Type="http://schemas.openxmlformats.org/officeDocument/2006/relationships/chart" Target="../charts/chart7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4" Type="http://schemas.openxmlformats.org/officeDocument/2006/relationships/chart" Target="../charts/chart7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4" Type="http://schemas.openxmlformats.org/officeDocument/2006/relationships/chart" Target="../charts/chart8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5.xml"/><Relationship Id="rId2" Type="http://schemas.openxmlformats.org/officeDocument/2006/relationships/chart" Target="../charts/chart84.xml"/><Relationship Id="rId1" Type="http://schemas.openxmlformats.org/officeDocument/2006/relationships/chart" Target="../charts/chart83.xml"/><Relationship Id="rId4" Type="http://schemas.openxmlformats.org/officeDocument/2006/relationships/chart" Target="../charts/chart8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9.xml"/><Relationship Id="rId2" Type="http://schemas.openxmlformats.org/officeDocument/2006/relationships/chart" Target="../charts/chart88.xml"/><Relationship Id="rId1" Type="http://schemas.openxmlformats.org/officeDocument/2006/relationships/chart" Target="../charts/chart87.xml"/><Relationship Id="rId4" Type="http://schemas.openxmlformats.org/officeDocument/2006/relationships/chart" Target="../charts/chart90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5.xml"/><Relationship Id="rId2" Type="http://schemas.openxmlformats.org/officeDocument/2006/relationships/chart" Target="../charts/chart94.xml"/><Relationship Id="rId1" Type="http://schemas.openxmlformats.org/officeDocument/2006/relationships/chart" Target="../charts/chart93.xml"/><Relationship Id="rId4" Type="http://schemas.openxmlformats.org/officeDocument/2006/relationships/chart" Target="../charts/chart9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4" Type="http://schemas.openxmlformats.org/officeDocument/2006/relationships/chart" Target="../charts/chart100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3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Relationship Id="rId4" Type="http://schemas.openxmlformats.org/officeDocument/2006/relationships/chart" Target="../charts/chart10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7.xml"/><Relationship Id="rId2" Type="http://schemas.openxmlformats.org/officeDocument/2006/relationships/chart" Target="../charts/chart106.xml"/><Relationship Id="rId1" Type="http://schemas.openxmlformats.org/officeDocument/2006/relationships/chart" Target="../charts/chart105.xml"/><Relationship Id="rId4" Type="http://schemas.openxmlformats.org/officeDocument/2006/relationships/chart" Target="../charts/chart10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1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4" Type="http://schemas.openxmlformats.org/officeDocument/2006/relationships/chart" Target="../charts/chart112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5.xml"/><Relationship Id="rId2" Type="http://schemas.openxmlformats.org/officeDocument/2006/relationships/chart" Target="../charts/chart114.xml"/><Relationship Id="rId1" Type="http://schemas.openxmlformats.org/officeDocument/2006/relationships/chart" Target="../charts/chart113.xml"/><Relationship Id="rId4" Type="http://schemas.openxmlformats.org/officeDocument/2006/relationships/chart" Target="../charts/chart11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9.xml"/><Relationship Id="rId2" Type="http://schemas.openxmlformats.org/officeDocument/2006/relationships/chart" Target="../charts/chart118.xml"/><Relationship Id="rId1" Type="http://schemas.openxmlformats.org/officeDocument/2006/relationships/chart" Target="../charts/chart117.xml"/><Relationship Id="rId4" Type="http://schemas.openxmlformats.org/officeDocument/2006/relationships/chart" Target="../charts/chart120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3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4" Type="http://schemas.openxmlformats.org/officeDocument/2006/relationships/chart" Target="../charts/chart124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7.xml"/><Relationship Id="rId2" Type="http://schemas.openxmlformats.org/officeDocument/2006/relationships/chart" Target="../charts/chart126.xml"/><Relationship Id="rId1" Type="http://schemas.openxmlformats.org/officeDocument/2006/relationships/chart" Target="../charts/chart125.xml"/><Relationship Id="rId4" Type="http://schemas.openxmlformats.org/officeDocument/2006/relationships/chart" Target="../charts/chart12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19050</xdr:rowOff>
    </xdr:from>
    <xdr:to>
      <xdr:col>6</xdr:col>
      <xdr:colOff>695325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8</xdr:row>
      <xdr:rowOff>19050</xdr:rowOff>
    </xdr:from>
    <xdr:to>
      <xdr:col>15</xdr:col>
      <xdr:colOff>742950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28575</xdr:rowOff>
    </xdr:from>
    <xdr:to>
      <xdr:col>6</xdr:col>
      <xdr:colOff>704850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24</xdr:row>
      <xdr:rowOff>57150</xdr:rowOff>
    </xdr:from>
    <xdr:to>
      <xdr:col>15</xdr:col>
      <xdr:colOff>762000</xdr:colOff>
      <xdr:row>38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7</xdr:row>
      <xdr:rowOff>9525</xdr:rowOff>
    </xdr:from>
    <xdr:to>
      <xdr:col>7</xdr:col>
      <xdr:colOff>238125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23</xdr:row>
      <xdr:rowOff>28575</xdr:rowOff>
    </xdr:from>
    <xdr:to>
      <xdr:col>6</xdr:col>
      <xdr:colOff>885825</xdr:colOff>
      <xdr:row>37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28575</xdr:rowOff>
    </xdr:from>
    <xdr:to>
      <xdr:col>6</xdr:col>
      <xdr:colOff>781050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19050</xdr:rowOff>
    </xdr:from>
    <xdr:to>
      <xdr:col>15</xdr:col>
      <xdr:colOff>762000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9525</xdr:rowOff>
    </xdr:from>
    <xdr:to>
      <xdr:col>6</xdr:col>
      <xdr:colOff>762000</xdr:colOff>
      <xdr:row>38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19050</xdr:rowOff>
    </xdr:from>
    <xdr:to>
      <xdr:col>15</xdr:col>
      <xdr:colOff>781050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8</xdr:row>
      <xdr:rowOff>0</xdr:rowOff>
    </xdr:from>
    <xdr:to>
      <xdr:col>6</xdr:col>
      <xdr:colOff>742950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19050</xdr:rowOff>
    </xdr:from>
    <xdr:to>
      <xdr:col>15</xdr:col>
      <xdr:colOff>762000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24</xdr:row>
      <xdr:rowOff>38100</xdr:rowOff>
    </xdr:from>
    <xdr:to>
      <xdr:col>6</xdr:col>
      <xdr:colOff>771525</xdr:colOff>
      <xdr:row>38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24</xdr:row>
      <xdr:rowOff>28575</xdr:rowOff>
    </xdr:from>
    <xdr:to>
      <xdr:col>15</xdr:col>
      <xdr:colOff>771525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9525</xdr:rowOff>
    </xdr:from>
    <xdr:to>
      <xdr:col>7</xdr:col>
      <xdr:colOff>152400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28575</xdr:rowOff>
    </xdr:from>
    <xdr:to>
      <xdr:col>15</xdr:col>
      <xdr:colOff>762000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23</xdr:row>
      <xdr:rowOff>180975</xdr:rowOff>
    </xdr:from>
    <xdr:to>
      <xdr:col>7</xdr:col>
      <xdr:colOff>476250</xdr:colOff>
      <xdr:row>38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0</xdr:rowOff>
    </xdr:from>
    <xdr:to>
      <xdr:col>15</xdr:col>
      <xdr:colOff>781050</xdr:colOff>
      <xdr:row>38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28575</xdr:rowOff>
    </xdr:from>
    <xdr:to>
      <xdr:col>6</xdr:col>
      <xdr:colOff>790575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19050</xdr:rowOff>
    </xdr:from>
    <xdr:to>
      <xdr:col>15</xdr:col>
      <xdr:colOff>762000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0</xdr:rowOff>
    </xdr:from>
    <xdr:to>
      <xdr:col>6</xdr:col>
      <xdr:colOff>790575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8</xdr:row>
      <xdr:rowOff>28575</xdr:rowOff>
    </xdr:from>
    <xdr:to>
      <xdr:col>15</xdr:col>
      <xdr:colOff>742950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24</xdr:row>
      <xdr:rowOff>28575</xdr:rowOff>
    </xdr:from>
    <xdr:to>
      <xdr:col>6</xdr:col>
      <xdr:colOff>809625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24</xdr:row>
      <xdr:rowOff>28575</xdr:rowOff>
    </xdr:from>
    <xdr:to>
      <xdr:col>15</xdr:col>
      <xdr:colOff>771525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19050</xdr:rowOff>
    </xdr:from>
    <xdr:to>
      <xdr:col>6</xdr:col>
      <xdr:colOff>771525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8</xdr:row>
      <xdr:rowOff>0</xdr:rowOff>
    </xdr:from>
    <xdr:to>
      <xdr:col>15</xdr:col>
      <xdr:colOff>771525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24</xdr:row>
      <xdr:rowOff>0</xdr:rowOff>
    </xdr:from>
    <xdr:to>
      <xdr:col>6</xdr:col>
      <xdr:colOff>781050</xdr:colOff>
      <xdr:row>38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28575</xdr:colOff>
      <xdr:row>24</xdr:row>
      <xdr:rowOff>9525</xdr:rowOff>
    </xdr:from>
    <xdr:to>
      <xdr:col>15</xdr:col>
      <xdr:colOff>790575</xdr:colOff>
      <xdr:row>38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8</xdr:row>
      <xdr:rowOff>9525</xdr:rowOff>
    </xdr:from>
    <xdr:to>
      <xdr:col>6</xdr:col>
      <xdr:colOff>795337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</xdr:colOff>
      <xdr:row>8</xdr:row>
      <xdr:rowOff>38100</xdr:rowOff>
    </xdr:from>
    <xdr:to>
      <xdr:col>15</xdr:col>
      <xdr:colOff>766762</xdr:colOff>
      <xdr:row>22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</xdr:colOff>
      <xdr:row>24</xdr:row>
      <xdr:rowOff>28575</xdr:rowOff>
    </xdr:from>
    <xdr:to>
      <xdr:col>6</xdr:col>
      <xdr:colOff>795337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</xdr:colOff>
      <xdr:row>24</xdr:row>
      <xdr:rowOff>38100</xdr:rowOff>
    </xdr:from>
    <xdr:to>
      <xdr:col>15</xdr:col>
      <xdr:colOff>785812</xdr:colOff>
      <xdr:row>38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6</xdr:col>
      <xdr:colOff>781050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8</xdr:row>
      <xdr:rowOff>38100</xdr:rowOff>
    </xdr:from>
    <xdr:to>
      <xdr:col>15</xdr:col>
      <xdr:colOff>781050</xdr:colOff>
      <xdr:row>22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24</xdr:row>
      <xdr:rowOff>28575</xdr:rowOff>
    </xdr:from>
    <xdr:to>
      <xdr:col>6</xdr:col>
      <xdr:colOff>781050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19050</xdr:rowOff>
    </xdr:from>
    <xdr:to>
      <xdr:col>15</xdr:col>
      <xdr:colOff>781050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8</xdr:row>
      <xdr:rowOff>28575</xdr:rowOff>
    </xdr:from>
    <xdr:to>
      <xdr:col>6</xdr:col>
      <xdr:colOff>804862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595312</xdr:colOff>
      <xdr:row>8</xdr:row>
      <xdr:rowOff>19050</xdr:rowOff>
    </xdr:from>
    <xdr:to>
      <xdr:col>15</xdr:col>
      <xdr:colOff>747712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42862</xdr:colOff>
      <xdr:row>24</xdr:row>
      <xdr:rowOff>19050</xdr:rowOff>
    </xdr:from>
    <xdr:to>
      <xdr:col>6</xdr:col>
      <xdr:colOff>804862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</xdr:colOff>
      <xdr:row>24</xdr:row>
      <xdr:rowOff>19050</xdr:rowOff>
    </xdr:from>
    <xdr:to>
      <xdr:col>15</xdr:col>
      <xdr:colOff>785812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28575</xdr:rowOff>
    </xdr:from>
    <xdr:to>
      <xdr:col>6</xdr:col>
      <xdr:colOff>733425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0</xdr:rowOff>
    </xdr:from>
    <xdr:to>
      <xdr:col>15</xdr:col>
      <xdr:colOff>704850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24</xdr:row>
      <xdr:rowOff>38100</xdr:rowOff>
    </xdr:from>
    <xdr:to>
      <xdr:col>6</xdr:col>
      <xdr:colOff>742950</xdr:colOff>
      <xdr:row>38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28575</xdr:rowOff>
    </xdr:from>
    <xdr:to>
      <xdr:col>15</xdr:col>
      <xdr:colOff>723900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8</xdr:row>
      <xdr:rowOff>28575</xdr:rowOff>
    </xdr:from>
    <xdr:to>
      <xdr:col>6</xdr:col>
      <xdr:colOff>766762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14287</xdr:colOff>
      <xdr:row>8</xdr:row>
      <xdr:rowOff>28575</xdr:rowOff>
    </xdr:from>
    <xdr:to>
      <xdr:col>15</xdr:col>
      <xdr:colOff>776287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23812</xdr:colOff>
      <xdr:row>24</xdr:row>
      <xdr:rowOff>9525</xdr:rowOff>
    </xdr:from>
    <xdr:to>
      <xdr:col>6</xdr:col>
      <xdr:colOff>785812</xdr:colOff>
      <xdr:row>38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604837</xdr:colOff>
      <xdr:row>24</xdr:row>
      <xdr:rowOff>19050</xdr:rowOff>
    </xdr:from>
    <xdr:to>
      <xdr:col>15</xdr:col>
      <xdr:colOff>757237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38100</xdr:rowOff>
    </xdr:from>
    <xdr:to>
      <xdr:col>6</xdr:col>
      <xdr:colOff>771525</xdr:colOff>
      <xdr:row>22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8</xdr:row>
      <xdr:rowOff>28575</xdr:rowOff>
    </xdr:from>
    <xdr:to>
      <xdr:col>15</xdr:col>
      <xdr:colOff>771525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28575</xdr:rowOff>
    </xdr:from>
    <xdr:to>
      <xdr:col>6</xdr:col>
      <xdr:colOff>762000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28575</xdr:rowOff>
    </xdr:from>
    <xdr:to>
      <xdr:col>15</xdr:col>
      <xdr:colOff>781050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28575</xdr:rowOff>
    </xdr:from>
    <xdr:to>
      <xdr:col>6</xdr:col>
      <xdr:colOff>790575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8</xdr:row>
      <xdr:rowOff>28575</xdr:rowOff>
    </xdr:from>
    <xdr:to>
      <xdr:col>15</xdr:col>
      <xdr:colOff>752475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24</xdr:row>
      <xdr:rowOff>38100</xdr:rowOff>
    </xdr:from>
    <xdr:to>
      <xdr:col>6</xdr:col>
      <xdr:colOff>790575</xdr:colOff>
      <xdr:row>38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9525</xdr:rowOff>
    </xdr:from>
    <xdr:to>
      <xdr:col>15</xdr:col>
      <xdr:colOff>781050</xdr:colOff>
      <xdr:row>38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6</xdr:col>
      <xdr:colOff>781050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8</xdr:row>
      <xdr:rowOff>0</xdr:rowOff>
    </xdr:from>
    <xdr:to>
      <xdr:col>15</xdr:col>
      <xdr:colOff>771525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24</xdr:row>
      <xdr:rowOff>28575</xdr:rowOff>
    </xdr:from>
    <xdr:to>
      <xdr:col>6</xdr:col>
      <xdr:colOff>771525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24</xdr:row>
      <xdr:rowOff>9525</xdr:rowOff>
    </xdr:from>
    <xdr:to>
      <xdr:col>15</xdr:col>
      <xdr:colOff>771525</xdr:colOff>
      <xdr:row>38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8</xdr:row>
      <xdr:rowOff>0</xdr:rowOff>
    </xdr:from>
    <xdr:to>
      <xdr:col>6</xdr:col>
      <xdr:colOff>776287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</xdr:colOff>
      <xdr:row>8</xdr:row>
      <xdr:rowOff>19050</xdr:rowOff>
    </xdr:from>
    <xdr:to>
      <xdr:col>15</xdr:col>
      <xdr:colOff>766762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</xdr:colOff>
      <xdr:row>24</xdr:row>
      <xdr:rowOff>19050</xdr:rowOff>
    </xdr:from>
    <xdr:to>
      <xdr:col>6</xdr:col>
      <xdr:colOff>766762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14287</xdr:colOff>
      <xdr:row>24</xdr:row>
      <xdr:rowOff>47625</xdr:rowOff>
    </xdr:from>
    <xdr:to>
      <xdr:col>15</xdr:col>
      <xdr:colOff>776287</xdr:colOff>
      <xdr:row>38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9525</xdr:rowOff>
    </xdr:from>
    <xdr:to>
      <xdr:col>6</xdr:col>
      <xdr:colOff>771525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23</xdr:row>
      <xdr:rowOff>0</xdr:rowOff>
    </xdr:from>
    <xdr:to>
      <xdr:col>6</xdr:col>
      <xdr:colOff>771525</xdr:colOff>
      <xdr:row>37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0</xdr:rowOff>
    </xdr:from>
    <xdr:to>
      <xdr:col>6</xdr:col>
      <xdr:colOff>752475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8</xdr:row>
      <xdr:rowOff>38100</xdr:rowOff>
    </xdr:from>
    <xdr:to>
      <xdr:col>15</xdr:col>
      <xdr:colOff>781050</xdr:colOff>
      <xdr:row>22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24</xdr:row>
      <xdr:rowOff>28575</xdr:rowOff>
    </xdr:from>
    <xdr:to>
      <xdr:col>6</xdr:col>
      <xdr:colOff>771525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28575</xdr:rowOff>
    </xdr:from>
    <xdr:to>
      <xdr:col>15</xdr:col>
      <xdr:colOff>781050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0.55</cdr:x>
      <cdr:y>0.08681</cdr:y>
    </cdr:from>
    <cdr:to>
      <cdr:x>0.75</cdr:x>
      <cdr:y>0.42014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14600" y="238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9525</xdr:rowOff>
    </xdr:from>
    <xdr:to>
      <xdr:col>6</xdr:col>
      <xdr:colOff>762000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8</xdr:row>
      <xdr:rowOff>19050</xdr:rowOff>
    </xdr:from>
    <xdr:to>
      <xdr:col>15</xdr:col>
      <xdr:colOff>752475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24</xdr:row>
      <xdr:rowOff>28575</xdr:rowOff>
    </xdr:from>
    <xdr:to>
      <xdr:col>6</xdr:col>
      <xdr:colOff>771525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24</xdr:row>
      <xdr:rowOff>19050</xdr:rowOff>
    </xdr:from>
    <xdr:to>
      <xdr:col>15</xdr:col>
      <xdr:colOff>762000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19050</xdr:rowOff>
    </xdr:from>
    <xdr:to>
      <xdr:col>6</xdr:col>
      <xdr:colOff>771525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28575</xdr:rowOff>
    </xdr:from>
    <xdr:to>
      <xdr:col>15</xdr:col>
      <xdr:colOff>762000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23</xdr:row>
      <xdr:rowOff>180975</xdr:rowOff>
    </xdr:from>
    <xdr:to>
      <xdr:col>6</xdr:col>
      <xdr:colOff>771525</xdr:colOff>
      <xdr:row>38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23</xdr:row>
      <xdr:rowOff>171450</xdr:rowOff>
    </xdr:from>
    <xdr:to>
      <xdr:col>15</xdr:col>
      <xdr:colOff>781050</xdr:colOff>
      <xdr:row>38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247651</xdr:colOff>
      <xdr:row>9</xdr:row>
      <xdr:rowOff>19050</xdr:rowOff>
    </xdr:from>
    <xdr:to>
      <xdr:col>6</xdr:col>
      <xdr:colOff>981076</xdr:colOff>
      <xdr:row>25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9</xdr:row>
      <xdr:rowOff>19050</xdr:rowOff>
    </xdr:from>
    <xdr:to>
      <xdr:col>15</xdr:col>
      <xdr:colOff>118099</xdr:colOff>
      <xdr:row>24</xdr:row>
      <xdr:rowOff>171450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28574</xdr:colOff>
      <xdr:row>25</xdr:row>
      <xdr:rowOff>0</xdr:rowOff>
    </xdr:from>
    <xdr:to>
      <xdr:col>6</xdr:col>
      <xdr:colOff>739140</xdr:colOff>
      <xdr:row>39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600075</xdr:colOff>
      <xdr:row>25</xdr:row>
      <xdr:rowOff>85725</xdr:rowOff>
    </xdr:from>
    <xdr:to>
      <xdr:col>15</xdr:col>
      <xdr:colOff>28576</xdr:colOff>
      <xdr:row>39</xdr:row>
      <xdr:rowOff>161925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171450</xdr:rowOff>
    </xdr:from>
    <xdr:to>
      <xdr:col>15</xdr:col>
      <xdr:colOff>752475</xdr:colOff>
      <xdr:row>22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</xdr:row>
      <xdr:rowOff>38100</xdr:rowOff>
    </xdr:from>
    <xdr:to>
      <xdr:col>6</xdr:col>
      <xdr:colOff>762000</xdr:colOff>
      <xdr:row>22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24</xdr:row>
      <xdr:rowOff>28575</xdr:rowOff>
    </xdr:from>
    <xdr:to>
      <xdr:col>6</xdr:col>
      <xdr:colOff>781050</xdr:colOff>
      <xdr:row>38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24</xdr:row>
      <xdr:rowOff>19050</xdr:rowOff>
    </xdr:from>
    <xdr:to>
      <xdr:col>15</xdr:col>
      <xdr:colOff>771525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</xdr:colOff>
      <xdr:row>8</xdr:row>
      <xdr:rowOff>38100</xdr:rowOff>
    </xdr:from>
    <xdr:to>
      <xdr:col>6</xdr:col>
      <xdr:colOff>823912</xdr:colOff>
      <xdr:row>22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</xdr:colOff>
      <xdr:row>8</xdr:row>
      <xdr:rowOff>19050</xdr:rowOff>
    </xdr:from>
    <xdr:to>
      <xdr:col>15</xdr:col>
      <xdr:colOff>785812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52387</xdr:colOff>
      <xdr:row>24</xdr:row>
      <xdr:rowOff>19050</xdr:rowOff>
    </xdr:from>
    <xdr:to>
      <xdr:col>6</xdr:col>
      <xdr:colOff>814387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</xdr:colOff>
      <xdr:row>23</xdr:row>
      <xdr:rowOff>171450</xdr:rowOff>
    </xdr:from>
    <xdr:to>
      <xdr:col>15</xdr:col>
      <xdr:colOff>785812</xdr:colOff>
      <xdr:row>38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0</xdr:rowOff>
    </xdr:from>
    <xdr:to>
      <xdr:col>6</xdr:col>
      <xdr:colOff>771525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8</xdr:row>
      <xdr:rowOff>0</xdr:rowOff>
    </xdr:from>
    <xdr:to>
      <xdr:col>15</xdr:col>
      <xdr:colOff>781050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24</xdr:row>
      <xdr:rowOff>19050</xdr:rowOff>
    </xdr:from>
    <xdr:to>
      <xdr:col>6</xdr:col>
      <xdr:colOff>790575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24</xdr:row>
      <xdr:rowOff>28575</xdr:rowOff>
    </xdr:from>
    <xdr:to>
      <xdr:col>15</xdr:col>
      <xdr:colOff>771525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19050</xdr:rowOff>
    </xdr:from>
    <xdr:to>
      <xdr:col>6</xdr:col>
      <xdr:colOff>781050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19050</xdr:rowOff>
    </xdr:from>
    <xdr:to>
      <xdr:col>15</xdr:col>
      <xdr:colOff>762000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695325</xdr:colOff>
      <xdr:row>23</xdr:row>
      <xdr:rowOff>180975</xdr:rowOff>
    </xdr:from>
    <xdr:to>
      <xdr:col>6</xdr:col>
      <xdr:colOff>752475</xdr:colOff>
      <xdr:row>38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24</xdr:row>
      <xdr:rowOff>19050</xdr:rowOff>
    </xdr:from>
    <xdr:to>
      <xdr:col>15</xdr:col>
      <xdr:colOff>762000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8</xdr:row>
      <xdr:rowOff>19050</xdr:rowOff>
    </xdr:from>
    <xdr:to>
      <xdr:col>6</xdr:col>
      <xdr:colOff>795337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</xdr:colOff>
      <xdr:row>8</xdr:row>
      <xdr:rowOff>0</xdr:rowOff>
    </xdr:from>
    <xdr:to>
      <xdr:col>15</xdr:col>
      <xdr:colOff>785812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23812</xdr:colOff>
      <xdr:row>24</xdr:row>
      <xdr:rowOff>28575</xdr:rowOff>
    </xdr:from>
    <xdr:to>
      <xdr:col>6</xdr:col>
      <xdr:colOff>785812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14287</xdr:colOff>
      <xdr:row>24</xdr:row>
      <xdr:rowOff>9525</xdr:rowOff>
    </xdr:from>
    <xdr:to>
      <xdr:col>15</xdr:col>
      <xdr:colOff>776287</xdr:colOff>
      <xdr:row>38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66675</xdr:rowOff>
    </xdr:from>
    <xdr:to>
      <xdr:col>6</xdr:col>
      <xdr:colOff>790575</xdr:colOff>
      <xdr:row>21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7</xdr:row>
      <xdr:rowOff>28575</xdr:rowOff>
    </xdr:from>
    <xdr:to>
      <xdr:col>15</xdr:col>
      <xdr:colOff>752475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38100</xdr:rowOff>
    </xdr:from>
    <xdr:to>
      <xdr:col>6</xdr:col>
      <xdr:colOff>762000</xdr:colOff>
      <xdr:row>37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23</xdr:row>
      <xdr:rowOff>28575</xdr:rowOff>
    </xdr:from>
    <xdr:to>
      <xdr:col>15</xdr:col>
      <xdr:colOff>781050</xdr:colOff>
      <xdr:row>37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1981200</xdr:colOff>
      <xdr:row>8</xdr:row>
      <xdr:rowOff>66675</xdr:rowOff>
    </xdr:from>
    <xdr:to>
      <xdr:col>7</xdr:col>
      <xdr:colOff>419100</xdr:colOff>
      <xdr:row>22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9525</xdr:rowOff>
    </xdr:from>
    <xdr:to>
      <xdr:col>7</xdr:col>
      <xdr:colOff>438150</xdr:colOff>
      <xdr:row>38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38099</xdr:colOff>
      <xdr:row>8</xdr:row>
      <xdr:rowOff>19050</xdr:rowOff>
    </xdr:from>
    <xdr:to>
      <xdr:col>17</xdr:col>
      <xdr:colOff>0</xdr:colOff>
      <xdr:row>22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47624</xdr:colOff>
      <xdr:row>24</xdr:row>
      <xdr:rowOff>38100</xdr:rowOff>
    </xdr:from>
    <xdr:to>
      <xdr:col>17</xdr:col>
      <xdr:colOff>9525</xdr:colOff>
      <xdr:row>38</xdr:row>
      <xdr:rowOff>114300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8</xdr:row>
      <xdr:rowOff>28575</xdr:rowOff>
    </xdr:from>
    <xdr:to>
      <xdr:col>5</xdr:col>
      <xdr:colOff>990600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8</xdr:row>
      <xdr:rowOff>0</xdr:rowOff>
    </xdr:from>
    <xdr:to>
      <xdr:col>14</xdr:col>
      <xdr:colOff>1019175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24</xdr:row>
      <xdr:rowOff>38100</xdr:rowOff>
    </xdr:from>
    <xdr:to>
      <xdr:col>5</xdr:col>
      <xdr:colOff>1009650</xdr:colOff>
      <xdr:row>38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28575</xdr:colOff>
      <xdr:row>24</xdr:row>
      <xdr:rowOff>9525</xdr:rowOff>
    </xdr:from>
    <xdr:to>
      <xdr:col>14</xdr:col>
      <xdr:colOff>1028700</xdr:colOff>
      <xdr:row>38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8</xdr:row>
      <xdr:rowOff>28575</xdr:rowOff>
    </xdr:from>
    <xdr:to>
      <xdr:col>6</xdr:col>
      <xdr:colOff>180975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0</xdr:rowOff>
    </xdr:from>
    <xdr:to>
      <xdr:col>14</xdr:col>
      <xdr:colOff>1000125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95250</xdr:colOff>
      <xdr:row>24</xdr:row>
      <xdr:rowOff>38100</xdr:rowOff>
    </xdr:from>
    <xdr:to>
      <xdr:col>6</xdr:col>
      <xdr:colOff>47625</xdr:colOff>
      <xdr:row>38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28575</xdr:colOff>
      <xdr:row>24</xdr:row>
      <xdr:rowOff>66675</xdr:rowOff>
    </xdr:from>
    <xdr:to>
      <xdr:col>14</xdr:col>
      <xdr:colOff>1028700</xdr:colOff>
      <xdr:row>38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19049</xdr:rowOff>
    </xdr:from>
    <xdr:to>
      <xdr:col>6</xdr:col>
      <xdr:colOff>971550</xdr:colOff>
      <xdr:row>22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19049</xdr:colOff>
      <xdr:row>8</xdr:row>
      <xdr:rowOff>28575</xdr:rowOff>
    </xdr:from>
    <xdr:to>
      <xdr:col>15</xdr:col>
      <xdr:colOff>981074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24</xdr:row>
      <xdr:rowOff>19050</xdr:rowOff>
    </xdr:from>
    <xdr:to>
      <xdr:col>6</xdr:col>
      <xdr:colOff>962025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19049</xdr:colOff>
      <xdr:row>24</xdr:row>
      <xdr:rowOff>19050</xdr:rowOff>
    </xdr:from>
    <xdr:to>
      <xdr:col>15</xdr:col>
      <xdr:colOff>981074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38100</xdr:rowOff>
    </xdr:from>
    <xdr:to>
      <xdr:col>6</xdr:col>
      <xdr:colOff>762000</xdr:colOff>
      <xdr:row>21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23</xdr:row>
      <xdr:rowOff>0</xdr:rowOff>
    </xdr:from>
    <xdr:to>
      <xdr:col>8</xdr:col>
      <xdr:colOff>114300</xdr:colOff>
      <xdr:row>37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28575</xdr:rowOff>
    </xdr:from>
    <xdr:to>
      <xdr:col>7</xdr:col>
      <xdr:colOff>123825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8</xdr:row>
      <xdr:rowOff>28575</xdr:rowOff>
    </xdr:from>
    <xdr:to>
      <xdr:col>15</xdr:col>
      <xdr:colOff>781050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19050</xdr:rowOff>
    </xdr:from>
    <xdr:to>
      <xdr:col>6</xdr:col>
      <xdr:colOff>762000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24</xdr:row>
      <xdr:rowOff>38100</xdr:rowOff>
    </xdr:from>
    <xdr:to>
      <xdr:col>15</xdr:col>
      <xdr:colOff>762000</xdr:colOff>
      <xdr:row>38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2" name="Table62" displayName="Table62" ref="B3:H7" totalsRowCount="1" headerRowDxfId="990" dataDxfId="989">
  <autoFilter ref="B3:H6"/>
  <tableColumns count="7">
    <tableColumn id="1" name="Tanggal" dataDxfId="988" totalsRowDxfId="987"/>
    <tableColumn id="2" name="Nilai Jual" totalsRowFunction="custom" dataDxfId="986" totalsRowDxfId="985">
      <totalsRowFormula>SUM(Table62[Nilai Jual])</totalsRowFormula>
    </tableColumn>
    <tableColumn id="3" name="Nilai Retur" totalsRowFunction="custom" dataDxfId="984" totalsRowDxfId="983">
      <totalsRowFormula>SUM(Table62[Nilai Retur])</totalsRowFormula>
    </tableColumn>
    <tableColumn id="4" name="Jual Net" totalsRowFunction="custom" dataDxfId="982" totalsRowDxfId="981">
      <totalsRowFormula>SUM(Table62[Jual Net])</totalsRowFormula>
    </tableColumn>
    <tableColumn id="5" name="Jumlah Jual" totalsRowFunction="custom" dataDxfId="980" totalsRowDxfId="979">
      <totalsRowFormula>SUM(Table62[Jumlah Jual])</totalsRowFormula>
    </tableColumn>
    <tableColumn id="6" name="Jumlah Retur" totalsRowFunction="custom" dataDxfId="978" totalsRowDxfId="977">
      <totalsRowFormula>SUM(Table62[Jumlah Retur])</totalsRowFormula>
    </tableColumn>
    <tableColumn id="7" name="Jual Net2" totalsRowFunction="custom" dataDxfId="976" totalsRowDxfId="975">
      <totalsRowFormula>SUM(Table62[Jual Net2])</totalsRow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6" name="Table6" displayName="Table6" ref="K3:Q7" totalsRowCount="1" headerRowDxfId="852" dataDxfId="851">
  <autoFilter ref="K3:Q6"/>
  <tableColumns count="7">
    <tableColumn id="1" name="Tanggal" dataDxfId="850" totalsRowDxfId="849"/>
    <tableColumn id="2" name="Nilai Jual" totalsRowFunction="sum" dataDxfId="848" totalsRowDxfId="847"/>
    <tableColumn id="3" name="Nilai Retur" totalsRowFunction="sum" totalsRowDxfId="846"/>
    <tableColumn id="4" name="Jual Net" totalsRowFunction="sum" dataDxfId="845" totalsRowDxfId="844"/>
    <tableColumn id="5" name="Jumlah Jual" totalsRowFunction="sum" dataDxfId="843" totalsRowDxfId="842"/>
    <tableColumn id="6" name="Jumlah Retur" totalsRowFunction="sum" dataDxfId="841" totalsRowDxfId="840"/>
    <tableColumn id="7" name="Jual Net2" totalsRowFunction="sum" dataDxfId="839" totalsRowDxfId="838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7" name="Table7" displayName="Table7" ref="B3:H7" totalsRowCount="1" headerRowDxfId="837" dataDxfId="836">
  <autoFilter ref="B3:H6"/>
  <tableColumns count="7">
    <tableColumn id="1" name="Tanggal" dataDxfId="835" totalsRowDxfId="834"/>
    <tableColumn id="2" name="Nilai Jual" totalsRowFunction="sum" dataDxfId="833" totalsRowDxfId="832"/>
    <tableColumn id="3" name="Nilai Retur" totalsRowFunction="sum" dataDxfId="831" totalsRowDxfId="830"/>
    <tableColumn id="4" name="Jual Net" totalsRowFunction="sum" dataDxfId="829" totalsRowDxfId="828"/>
    <tableColumn id="5" name="Jumlah Jual" totalsRowFunction="sum" dataDxfId="827" totalsRowDxfId="826"/>
    <tableColumn id="6" name="Jumlah Retur" totalsRowFunction="sum" dataDxfId="825" totalsRowDxfId="824"/>
    <tableColumn id="7" name="Jual Net2" totalsRowFunction="sum" dataDxfId="823" totalsRowDxfId="822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8" name="Table8" displayName="Table8" ref="K3:Q7" totalsRowCount="1" headerRowDxfId="821" dataDxfId="820">
  <autoFilter ref="K3:Q6"/>
  <tableColumns count="7">
    <tableColumn id="1" name="Tanggal" dataDxfId="819" totalsRowDxfId="818"/>
    <tableColumn id="2" name="Nilai Jual" totalsRowFunction="sum" dataDxfId="817" totalsRowDxfId="816"/>
    <tableColumn id="3" name="Nilai Retur" totalsRowFunction="sum" dataDxfId="815" totalsRowDxfId="814"/>
    <tableColumn id="4" name="Jual Net" totalsRowFunction="sum" dataDxfId="813" totalsRowDxfId="812"/>
    <tableColumn id="5" name="Jumlah Jual" totalsRowFunction="sum" dataDxfId="811" totalsRowDxfId="810"/>
    <tableColumn id="6" name="Jumlah Retur" totalsRowFunction="sum" dataDxfId="809" totalsRowDxfId="808"/>
    <tableColumn id="7" name="Jual Net2" totalsRowFunction="sum" dataDxfId="807" totalsRowDxfId="806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9" name="Table9" displayName="Table9" ref="B3:H7" totalsRowCount="1" headerRowDxfId="805" dataDxfId="804">
  <autoFilter ref="B3:H6"/>
  <tableColumns count="7">
    <tableColumn id="1" name="Tanggal" dataDxfId="803" totalsRowDxfId="802"/>
    <tableColumn id="2" name="Nilai Jual" totalsRowFunction="sum" dataDxfId="801" totalsRowDxfId="800"/>
    <tableColumn id="3" name="Nilai Retur" totalsRowFunction="sum" dataDxfId="799" totalsRowDxfId="798"/>
    <tableColumn id="4" name="Jual Net" totalsRowFunction="sum" dataDxfId="797" totalsRowDxfId="796"/>
    <tableColumn id="5" name="Jumlah Jual" totalsRowFunction="sum" dataDxfId="795" totalsRowDxfId="794"/>
    <tableColumn id="6" name="Jumlah Retur" totalsRowFunction="sum" dataDxfId="793" totalsRowDxfId="792"/>
    <tableColumn id="7" name="Jual Net2" totalsRowFunction="sum" dataDxfId="791" totalsRowDxfId="790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0" name="Table10" displayName="Table10" ref="K3:Q7" totalsRowCount="1" headerRowDxfId="789" dataDxfId="788">
  <autoFilter ref="K3:Q6"/>
  <tableColumns count="7">
    <tableColumn id="1" name="Tanggal" dataDxfId="787" totalsRowDxfId="786"/>
    <tableColumn id="2" name="Nilai Jual" totalsRowFunction="sum" dataDxfId="785" totalsRowDxfId="784"/>
    <tableColumn id="3" name="Nilai Retur" totalsRowFunction="sum" dataDxfId="783" totalsRowDxfId="782"/>
    <tableColumn id="4" name="Jual Net" totalsRowFunction="sum" dataDxfId="781" totalsRowDxfId="780"/>
    <tableColumn id="5" name="Jumlah Jual" totalsRowFunction="sum" dataDxfId="779" totalsRowDxfId="778"/>
    <tableColumn id="6" name="Jumlah Retur" totalsRowFunction="sum" dataDxfId="777" totalsRowDxfId="776"/>
    <tableColumn id="7" name="Jual Net2" totalsRowFunction="sum" dataDxfId="775" totalsRowDxfId="774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1" name="Table11" displayName="Table11" ref="B3:H6" totalsRowShown="0" headerRowDxfId="773" dataDxfId="772">
  <autoFilter ref="B3:H6"/>
  <tableColumns count="7">
    <tableColumn id="1" name="Tanggal" dataDxfId="771"/>
    <tableColumn id="2" name="Nilai Jual" dataDxfId="770"/>
    <tableColumn id="3" name="Nilai Retur" dataDxfId="769"/>
    <tableColumn id="4" name="Jual Net" dataDxfId="768"/>
    <tableColumn id="5" name="Jumlah Jual" dataDxfId="767"/>
    <tableColumn id="6" name="Jumlah Retur" dataDxfId="766"/>
    <tableColumn id="7" name="Jual Net2" dataDxfId="765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2" name="Table12" displayName="Table12" ref="B3:H7" totalsRowCount="1" headerRowDxfId="764" dataDxfId="763">
  <autoFilter ref="B3:H6"/>
  <tableColumns count="7">
    <tableColumn id="1" name="Tanggal" dataDxfId="762" totalsRowDxfId="761"/>
    <tableColumn id="2" name="Nilai Jual" totalsRowFunction="sum" dataDxfId="760" totalsRowDxfId="759"/>
    <tableColumn id="3" name="Nilai Retur" totalsRowFunction="sum" dataDxfId="758" totalsRowDxfId="757"/>
    <tableColumn id="4" name="Jual Net" totalsRowFunction="sum" dataDxfId="756" totalsRowDxfId="755"/>
    <tableColumn id="5" name="Jumlah Jual" totalsRowFunction="sum" dataDxfId="754" totalsRowDxfId="753"/>
    <tableColumn id="6" name="Jumlah Retur" totalsRowFunction="sum" dataDxfId="752" totalsRowDxfId="751"/>
    <tableColumn id="7" name="Jual Net2" totalsRowFunction="sum" dataDxfId="750" totalsRowDxfId="749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3" name="Table13" displayName="Table13" ref="K3:Q7" totalsRowCount="1" headerRowDxfId="748" dataDxfId="747">
  <autoFilter ref="K3:Q6"/>
  <tableColumns count="7">
    <tableColumn id="1" name="Tanggal" dataDxfId="746" totalsRowDxfId="745"/>
    <tableColumn id="2" name="Nilai Jual" totalsRowFunction="sum" dataDxfId="744" totalsRowDxfId="743"/>
    <tableColumn id="3" name="Nilai Retur" totalsRowFunction="sum" totalsRowDxfId="742"/>
    <tableColumn id="4" name="Jual Net" totalsRowFunction="sum" dataDxfId="741" totalsRowDxfId="740"/>
    <tableColumn id="5" name="Jumlah Jual" totalsRowFunction="sum" dataDxfId="739" totalsRowDxfId="738"/>
    <tableColumn id="6" name="Jumlah Retur" totalsRowFunction="sum" dataDxfId="737" totalsRowDxfId="736"/>
    <tableColumn id="7" name="Jual Net2" totalsRowFunction="sum" dataDxfId="735" totalsRowDxfId="734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4" name="Table14" displayName="Table14" ref="B3:H6" totalsRowShown="0" headerRowDxfId="733" dataDxfId="732">
  <autoFilter ref="B3:H6"/>
  <tableColumns count="7">
    <tableColumn id="1" name="Tanggal" dataDxfId="731"/>
    <tableColumn id="2" name="Nilai Jual" dataDxfId="730"/>
    <tableColumn id="3" name="Nilai Retur" dataDxfId="729"/>
    <tableColumn id="4" name="Jual Net" dataDxfId="728"/>
    <tableColumn id="5" name="Jumlah Jual" dataDxfId="727"/>
    <tableColumn id="6" name="Jumlah Retur" dataDxfId="726"/>
    <tableColumn id="7" name="Jual Net2" dataDxfId="725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5" name="Table15" displayName="Table15" ref="B3:H7" totalsRowCount="1" headerRowDxfId="724" dataDxfId="723">
  <autoFilter ref="B3:H6"/>
  <tableColumns count="7">
    <tableColumn id="1" name="Tanggal" dataDxfId="722" totalsRowDxfId="721"/>
    <tableColumn id="2" name="Nilai Jual" totalsRowFunction="sum" dataDxfId="720" totalsRowDxfId="719"/>
    <tableColumn id="3" name="Nilai Retur" totalsRowFunction="sum" dataDxfId="718" totalsRowDxfId="717"/>
    <tableColumn id="4" name="Jual Net" totalsRowFunction="sum" dataDxfId="716" totalsRowDxfId="715"/>
    <tableColumn id="5" name="Jumlah Jual" totalsRowFunction="sum" dataDxfId="714" totalsRowDxfId="713"/>
    <tableColumn id="6" name="Jumlah Retur" totalsRowFunction="sum" dataDxfId="712" totalsRowDxfId="711"/>
    <tableColumn id="7" name="Jual Net2" totalsRowFunction="sum" dataDxfId="710" totalsRowDxfId="70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3" name="Table63" displayName="Table63" ref="K3:Q7" totalsRowCount="1" headerRowDxfId="974" dataDxfId="973">
  <autoFilter ref="K3:Q6"/>
  <tableColumns count="7">
    <tableColumn id="1" name="Tanggal" dataDxfId="972" totalsRowDxfId="971"/>
    <tableColumn id="2" name="Nilai Jual" totalsRowFunction="custom" dataDxfId="970" totalsRowDxfId="969">
      <totalsRowFormula>SUM(L4:L6)</totalsRowFormula>
    </tableColumn>
    <tableColumn id="3" name="Nilai Retur" totalsRowFunction="custom" dataDxfId="968" totalsRowDxfId="967">
      <totalsRowFormula>SUM(M4:M6)</totalsRowFormula>
    </tableColumn>
    <tableColumn id="4" name="Jual Net" totalsRowFunction="custom" dataDxfId="966" totalsRowDxfId="965">
      <totalsRowFormula>SUM(N4:N6)</totalsRowFormula>
    </tableColumn>
    <tableColumn id="5" name="Jumlah Jual" totalsRowFunction="custom" dataDxfId="964" totalsRowDxfId="963">
      <totalsRowFormula>SUM(O4:O6)</totalsRowFormula>
    </tableColumn>
    <tableColumn id="6" name="Jumlah Retur" totalsRowFunction="custom" dataDxfId="962" totalsRowDxfId="961">
      <totalsRowFormula>SUM(P4:P6)</totalsRowFormula>
    </tableColumn>
    <tableColumn id="7" name="Jual Net2" totalsRowFunction="custom" dataDxfId="960" totalsRowDxfId="959">
      <totalsRowFormula>SUM(Q4:Q6)</totalsRowFormula>
    </tableColumn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17" name="Table17" displayName="Table17" ref="K3:Q7" totalsRowCount="1" headerRowDxfId="708" dataDxfId="707">
  <autoFilter ref="K3:Q6"/>
  <tableColumns count="7">
    <tableColumn id="1" name="Tanggal" dataDxfId="706" totalsRowDxfId="705"/>
    <tableColumn id="2" name="Nilai Jual" totalsRowFunction="sum" dataDxfId="704" totalsRowDxfId="703"/>
    <tableColumn id="3" name="Nilai Retur" totalsRowFunction="sum" totalsRowDxfId="702"/>
    <tableColumn id="4" name="Jual Net" totalsRowFunction="sum" dataDxfId="701" totalsRowDxfId="700"/>
    <tableColumn id="5" name="Jumlah Jual" totalsRowFunction="sum" dataDxfId="699" totalsRowDxfId="698"/>
    <tableColumn id="6" name="Jumlah Retur" totalsRowFunction="sum" dataDxfId="697" totalsRowDxfId="696"/>
    <tableColumn id="7" name="Jual Net2" totalsRowFunction="sum" dataDxfId="695" totalsRowDxfId="694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18" name="Table18" displayName="Table18" ref="B3:H7" totalsRowCount="1" headerRowDxfId="693" dataDxfId="692">
  <autoFilter ref="B3:H6"/>
  <tableColumns count="7">
    <tableColumn id="1" name="Tanggal" dataDxfId="691" totalsRowDxfId="690"/>
    <tableColumn id="2" name="Nilai Jual" totalsRowFunction="sum" dataDxfId="689" totalsRowDxfId="688"/>
    <tableColumn id="3" name="Nilai Retur" totalsRowFunction="sum" dataDxfId="687" totalsRowDxfId="686"/>
    <tableColumn id="4" name="Jual Net" totalsRowFunction="sum" dataDxfId="685" totalsRowDxfId="684"/>
    <tableColumn id="5" name="Jumlah Jual" totalsRowFunction="sum" dataDxfId="683" totalsRowDxfId="682"/>
    <tableColumn id="6" name="Jumlah Retur" totalsRowFunction="sum" dataDxfId="681" totalsRowDxfId="680"/>
    <tableColumn id="7" name="Jual Net2" totalsRowFunction="sum" dataDxfId="679" totalsRowDxfId="678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19" name="Table19" displayName="Table19" ref="K3:Q7" totalsRowCount="1" headerRowDxfId="677" dataDxfId="676">
  <autoFilter ref="K3:Q6"/>
  <tableColumns count="7">
    <tableColumn id="1" name="Tanggal" dataDxfId="675" totalsRowDxfId="674"/>
    <tableColumn id="2" name="Nilai Jual" totalsRowFunction="sum" dataDxfId="673" totalsRowDxfId="672"/>
    <tableColumn id="3" name="Nilai Retur" totalsRowFunction="sum" totalsRowDxfId="671"/>
    <tableColumn id="4" name="Jual Net" totalsRowFunction="sum" dataDxfId="670" totalsRowDxfId="669"/>
    <tableColumn id="5" name="Jumlah Jual" totalsRowFunction="sum" dataDxfId="668" totalsRowDxfId="667"/>
    <tableColumn id="6" name="Jumlah Retur" totalsRowFunction="sum" dataDxfId="666" totalsRowDxfId="665"/>
    <tableColumn id="7" name="Jual Net2" totalsRowFunction="sum" dataDxfId="664" totalsRowDxfId="663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0" name="Table20" displayName="Table20" ref="B3:H7" totalsRowCount="1" headerRowDxfId="662" dataDxfId="661">
  <autoFilter ref="B3:H6"/>
  <tableColumns count="7">
    <tableColumn id="1" name="Tanggal" dataDxfId="660" totalsRowDxfId="659"/>
    <tableColumn id="2" name="Nilai Jual" totalsRowFunction="sum" dataDxfId="658" totalsRowDxfId="657"/>
    <tableColumn id="3" name="Nilai Retur" totalsRowFunction="sum" dataDxfId="656" totalsRowDxfId="655"/>
    <tableColumn id="4" name="Jual Net" totalsRowFunction="sum" dataDxfId="654" totalsRowDxfId="653"/>
    <tableColumn id="5" name="Jumlah Jual" totalsRowFunction="sum" dataDxfId="652" totalsRowDxfId="651"/>
    <tableColumn id="6" name="Jumlah Retur" totalsRowFunction="sum" dataDxfId="650" totalsRowDxfId="649"/>
    <tableColumn id="7" name="Jual Net2" totalsRowFunction="sum" dataDxfId="648" totalsRowDxfId="647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1" name="Table21" displayName="Table21" ref="K3:Q7" totalsRowCount="1" headerRowDxfId="646" dataDxfId="645">
  <autoFilter ref="K3:Q6"/>
  <tableColumns count="7">
    <tableColumn id="1" name="Tanggal" dataDxfId="644" totalsRowDxfId="643"/>
    <tableColumn id="2" name="Nilai Jual" totalsRowFunction="sum" dataDxfId="642" totalsRowDxfId="641"/>
    <tableColumn id="3" name="Nilai Retur" totalsRowFunction="sum" dataDxfId="640" totalsRowDxfId="639"/>
    <tableColumn id="4" name="Jual Net" totalsRowFunction="sum" dataDxfId="638" totalsRowDxfId="637"/>
    <tableColumn id="5" name="Jumlah Jual" totalsRowFunction="sum" dataDxfId="636" totalsRowDxfId="635"/>
    <tableColumn id="6" name="Jumlah Retur" totalsRowFunction="sum" dataDxfId="634" totalsRowDxfId="633"/>
    <tableColumn id="7" name="Jual Net2" totalsRowFunction="sum" dataDxfId="632" totalsRowDxfId="631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2" name="Table22" displayName="Table22" ref="B3:H7" totalsRowCount="1" headerRowDxfId="630" dataDxfId="629">
  <autoFilter ref="B3:H6"/>
  <tableColumns count="7">
    <tableColumn id="1" name="Tanggal" dataDxfId="628" totalsRowDxfId="627"/>
    <tableColumn id="2" name="Nilai Jual" totalsRowFunction="sum" dataDxfId="626" totalsRowDxfId="625"/>
    <tableColumn id="3" name="Nilai Retur" totalsRowFunction="sum" dataDxfId="624" totalsRowDxfId="623"/>
    <tableColumn id="4" name="Jual Net" totalsRowFunction="sum" dataDxfId="622" totalsRowDxfId="621"/>
    <tableColumn id="5" name="Jumlah Jual" totalsRowFunction="sum" dataDxfId="620" totalsRowDxfId="619"/>
    <tableColumn id="6" name="Jumlah Retur" totalsRowFunction="sum" dataDxfId="618" totalsRowDxfId="617"/>
    <tableColumn id="7" name="Jual Net2" totalsRowFunction="sum" dataDxfId="616" totalsRowDxfId="615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3" name="Table23" displayName="Table23" ref="K3:Q7" totalsRowCount="1" headerRowDxfId="614" dataDxfId="613">
  <autoFilter ref="K3:Q6"/>
  <tableColumns count="7">
    <tableColumn id="1" name="Tanggal" dataDxfId="612" totalsRowDxfId="611"/>
    <tableColumn id="2" name="Nilai Jual" totalsRowFunction="sum" dataDxfId="610" totalsRowDxfId="609"/>
    <tableColumn id="3" name="Nilai Retur" totalsRowFunction="sum" dataDxfId="608" totalsRowDxfId="607"/>
    <tableColumn id="4" name="Jual Net" totalsRowFunction="sum" dataDxfId="606" totalsRowDxfId="605"/>
    <tableColumn id="5" name="Jumlah Jual" totalsRowFunction="sum" dataDxfId="604" totalsRowDxfId="603"/>
    <tableColumn id="6" name="Jumlah Retur" totalsRowFunction="sum" dataDxfId="602" totalsRowDxfId="601"/>
    <tableColumn id="7" name="Jual Net2" totalsRowFunction="sum" dataDxfId="600" totalsRowDxfId="599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4" name="Table24" displayName="Table24" ref="B3:H7" totalsRowCount="1" headerRowDxfId="598" dataDxfId="597">
  <autoFilter ref="B3:H6"/>
  <tableColumns count="7">
    <tableColumn id="1" name="Tanggal" dataDxfId="596" totalsRowDxfId="595"/>
    <tableColumn id="2" name="Nilai Jual" totalsRowFunction="sum" dataDxfId="594" totalsRowDxfId="593"/>
    <tableColumn id="3" name="Nilai Retur" totalsRowFunction="sum" dataDxfId="592" totalsRowDxfId="591"/>
    <tableColumn id="4" name="Jual Net" totalsRowFunction="sum" dataDxfId="590" totalsRowDxfId="589"/>
    <tableColumn id="5" name="Jumlah Jual" totalsRowFunction="sum" dataDxfId="588" totalsRowDxfId="587"/>
    <tableColumn id="6" name="Jumlah Retur" totalsRowFunction="sum" dataDxfId="586" totalsRowDxfId="585"/>
    <tableColumn id="7" name="Jual Net2" totalsRowFunction="sum" dataDxfId="584" totalsRowDxfId="583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5" name="Table25" displayName="Table25" ref="K3:Q7" totalsRowCount="1" headerRowDxfId="582" dataDxfId="581">
  <autoFilter ref="K3:Q6"/>
  <tableColumns count="7">
    <tableColumn id="1" name="Tanggal" dataDxfId="580" totalsRowDxfId="579"/>
    <tableColumn id="2" name="Nilai Jual" totalsRowFunction="sum" dataDxfId="578" totalsRowDxfId="577"/>
    <tableColumn id="3" name="Nilai Retur" totalsRowFunction="sum" dataDxfId="576" totalsRowDxfId="575"/>
    <tableColumn id="4" name="Jual Net" totalsRowFunction="sum" dataDxfId="574" totalsRowDxfId="573"/>
    <tableColumn id="5" name="Jumlah Jual" totalsRowFunction="sum" dataDxfId="572" totalsRowDxfId="571"/>
    <tableColumn id="6" name="Jumlah Retur" totalsRowFunction="sum" dataDxfId="570" totalsRowDxfId="569"/>
    <tableColumn id="7" name="Jual Net2" totalsRowFunction="sum" dataDxfId="568" totalsRowDxfId="567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6" name="Table26" displayName="Table26" ref="B3:H7" totalsRowCount="1" headerRowDxfId="566" dataDxfId="565">
  <autoFilter ref="B3:H6"/>
  <tableColumns count="7">
    <tableColumn id="1" name="Tanggal" dataDxfId="564" totalsRowDxfId="563"/>
    <tableColumn id="2" name="Nilai Jual" totalsRowFunction="sum" dataDxfId="562" totalsRowDxfId="561"/>
    <tableColumn id="3" name="Nilai Retur" totalsRowFunction="sum" totalsRowDxfId="560"/>
    <tableColumn id="4" name="Jual Net" totalsRowFunction="sum" dataDxfId="559" totalsRowDxfId="558"/>
    <tableColumn id="5" name="Jumlah Jual" totalsRowFunction="sum" dataDxfId="557" totalsRowDxfId="556"/>
    <tableColumn id="6" name="Jumlah Retur" totalsRowFunction="sum" dataDxfId="555" totalsRowDxfId="554"/>
    <tableColumn id="7" name="Jual Net2" totalsRowFunction="sum" dataDxfId="553" totalsRowDxfId="55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64" name="Table64" displayName="Table64" ref="B3:H7" totalsRowCount="1" headerRowDxfId="958" dataDxfId="957">
  <autoFilter ref="B3:H6"/>
  <tableColumns count="7">
    <tableColumn id="1" name="Tanggal" dataDxfId="956" totalsRowDxfId="955"/>
    <tableColumn id="2" name="Nilai Jual" totalsRowFunction="custom" dataDxfId="954" totalsRowDxfId="953">
      <totalsRowFormula>SUM(C4:C6)</totalsRowFormula>
    </tableColumn>
    <tableColumn id="3" name="Nilai Retur" totalsRowFunction="custom" dataDxfId="952" totalsRowDxfId="951">
      <totalsRowFormula>SUM(D4:D6)</totalsRowFormula>
    </tableColumn>
    <tableColumn id="4" name="Jual Net" totalsRowFunction="custom" dataDxfId="950" totalsRowDxfId="949">
      <totalsRowFormula>SUM(E4:E6)</totalsRowFormula>
    </tableColumn>
    <tableColumn id="5" name="Jumlah Jual" totalsRowFunction="custom" dataDxfId="948" totalsRowDxfId="947">
      <totalsRowFormula>SUM(F4:F6)</totalsRowFormula>
    </tableColumn>
    <tableColumn id="6" name="Jumlah Retur" totalsRowFunction="custom" dataDxfId="946" totalsRowDxfId="945">
      <totalsRowFormula>SUM(G4:G6)</totalsRowFormula>
    </tableColumn>
    <tableColumn id="7" name="Jual Net2" totalsRowFunction="custom" dataDxfId="944" totalsRowDxfId="943">
      <totalsRowFormula>SUM(H4:H6)</totalsRowFormula>
    </tableColumn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27" name="Table27" displayName="Table27" ref="K3:Q7" totalsRowCount="1" headerRowDxfId="551" dataDxfId="550">
  <autoFilter ref="K3:Q6"/>
  <tableColumns count="7">
    <tableColumn id="1" name="Tanggal" dataDxfId="549" totalsRowDxfId="548"/>
    <tableColumn id="2" name="Nilai Jual" totalsRowFunction="sum" dataDxfId="547" totalsRowDxfId="546"/>
    <tableColumn id="3" name="Nilai Retur" totalsRowFunction="sum" dataDxfId="545" totalsRowDxfId="544"/>
    <tableColumn id="4" name="Jual Net" totalsRowFunction="sum" dataDxfId="543" totalsRowDxfId="542"/>
    <tableColumn id="5" name="Jumlah Jual" totalsRowFunction="sum" dataDxfId="541" totalsRowDxfId="540"/>
    <tableColumn id="6" name="Jumlah Retur" totalsRowFunction="sum" dataDxfId="539" totalsRowDxfId="538"/>
    <tableColumn id="7" name="Jual Net2" totalsRowFunction="sum" dataDxfId="537" totalsRowDxfId="536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28" name="Table28" displayName="Table28" ref="B3:H7" totalsRowCount="1" headerRowDxfId="535" dataDxfId="534">
  <autoFilter ref="B3:H6"/>
  <tableColumns count="7">
    <tableColumn id="1" name="Tanggal" dataDxfId="533" totalsRowDxfId="532"/>
    <tableColumn id="2" name="Nilai Jual" totalsRowFunction="sum" dataDxfId="531" totalsRowDxfId="530"/>
    <tableColumn id="3" name="Nilai Retur" totalsRowFunction="sum" dataDxfId="529" totalsRowDxfId="528"/>
    <tableColumn id="4" name="Jual Net" totalsRowFunction="sum" dataDxfId="527" totalsRowDxfId="526"/>
    <tableColumn id="5" name="Jumlah Jual" totalsRowFunction="sum" dataDxfId="525" totalsRowDxfId="524"/>
    <tableColumn id="6" name="Jumlah Retur" totalsRowFunction="sum" dataDxfId="523" totalsRowDxfId="522"/>
    <tableColumn id="7" name="Jual Net2" totalsRowFunction="sum" dataDxfId="521" totalsRowDxfId="520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29" name="Table29" displayName="Table29" ref="K3:Q7" totalsRowCount="1" headerRowDxfId="519" dataDxfId="518">
  <autoFilter ref="K3:Q6"/>
  <tableColumns count="7">
    <tableColumn id="1" name="Tanggal" dataDxfId="517" totalsRowDxfId="516"/>
    <tableColumn id="2" name="Nilai Jual" totalsRowFunction="sum" dataDxfId="515" totalsRowDxfId="514"/>
    <tableColumn id="3" name="Nilai Retur" totalsRowFunction="sum" dataDxfId="513" totalsRowDxfId="512"/>
    <tableColumn id="4" name="Jual Net" totalsRowFunction="sum" dataDxfId="511" totalsRowDxfId="510"/>
    <tableColumn id="5" name="Jumlah Jual" totalsRowFunction="sum" dataDxfId="509" totalsRowDxfId="508"/>
    <tableColumn id="6" name="Jumlah Retur" totalsRowFunction="sum" dataDxfId="507" totalsRowDxfId="506"/>
    <tableColumn id="7" name="Jual Net2" totalsRowFunction="sum" dataDxfId="505" totalsRowDxfId="504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0" name="Table30" displayName="Table30" ref="B3:H7" totalsRowCount="1" headerRowDxfId="503" dataDxfId="502">
  <autoFilter ref="B3:H6"/>
  <tableColumns count="7">
    <tableColumn id="1" name="Tanggal" dataDxfId="501" totalsRowDxfId="500"/>
    <tableColumn id="2" name="Nilai Jual" totalsRowFunction="sum" dataDxfId="499" totalsRowDxfId="498"/>
    <tableColumn id="3" name="Nilai Retur" totalsRowFunction="sum" dataDxfId="497" totalsRowDxfId="496"/>
    <tableColumn id="4" name="Jual Net" totalsRowFunction="sum" dataDxfId="495" totalsRowDxfId="494"/>
    <tableColumn id="5" name="Jumlah Jual" totalsRowFunction="sum" dataDxfId="493" totalsRowDxfId="492"/>
    <tableColumn id="6" name="Jumlah Retur" totalsRowFunction="sum" dataDxfId="491" totalsRowDxfId="490"/>
    <tableColumn id="7" name="Jual Net2" totalsRowFunction="sum" dataDxfId="489" totalsRowDxfId="488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1" name="Table31" displayName="Table31" ref="K3:Q7" totalsRowCount="1" headerRowDxfId="487" dataDxfId="486">
  <autoFilter ref="K3:Q6"/>
  <tableColumns count="7">
    <tableColumn id="1" name="Tanggal" dataDxfId="485" totalsRowDxfId="484"/>
    <tableColumn id="2" name="Nilai Jual" totalsRowFunction="sum" dataDxfId="483" totalsRowDxfId="482"/>
    <tableColumn id="3" name="Nilai Retur" totalsRowFunction="sum" totalsRowDxfId="481"/>
    <tableColumn id="4" name="Jual Net" totalsRowFunction="sum" dataDxfId="480" totalsRowDxfId="479"/>
    <tableColumn id="5" name="Jumlah Jual" totalsRowFunction="sum" dataDxfId="478" totalsRowDxfId="477"/>
    <tableColumn id="6" name="Jumlah Retur" totalsRowFunction="sum" dataDxfId="476" totalsRowDxfId="475"/>
    <tableColumn id="7" name="Jual Net2" totalsRowFunction="sum" dataDxfId="474" totalsRowDxfId="473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2" name="Table32" displayName="Table32" ref="B3:H7" totalsRowCount="1" headerRowDxfId="472" dataDxfId="471">
  <autoFilter ref="B3:H6"/>
  <tableColumns count="7">
    <tableColumn id="1" name="Tanggal" dataDxfId="470" totalsRowDxfId="469"/>
    <tableColumn id="2" name="Nilai Jual" totalsRowFunction="sum" dataDxfId="468" totalsRowDxfId="467"/>
    <tableColumn id="3" name="Nilai Retur" totalsRowFunction="sum" dataDxfId="466" totalsRowDxfId="465"/>
    <tableColumn id="4" name="Jual Net" totalsRowFunction="sum" dataDxfId="464" totalsRowDxfId="463"/>
    <tableColumn id="5" name="Jumlah Jual" totalsRowFunction="sum" dataDxfId="462" totalsRowDxfId="461"/>
    <tableColumn id="6" name="Jumlah Retur" totalsRowFunction="sum" dataDxfId="460" totalsRowDxfId="459"/>
    <tableColumn id="7" name="Jual Net2" totalsRowFunction="sum" dataDxfId="458" totalsRowDxfId="457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3" name="Table33" displayName="Table33" ref="K3:Q7" totalsRowCount="1" headerRowDxfId="456" dataDxfId="455">
  <autoFilter ref="K3:Q6"/>
  <tableColumns count="7">
    <tableColumn id="1" name="Tanggal" dataDxfId="454" totalsRowDxfId="453"/>
    <tableColumn id="2" name="Nilai Jual" totalsRowFunction="sum" dataDxfId="452" totalsRowDxfId="451"/>
    <tableColumn id="3" name="Nilai Retur" totalsRowFunction="sum" dataDxfId="450" totalsRowDxfId="449"/>
    <tableColumn id="4" name="Jual Net" totalsRowFunction="sum" dataDxfId="448" totalsRowDxfId="447"/>
    <tableColumn id="5" name="Jumlah Jual" totalsRowFunction="sum" dataDxfId="446" totalsRowDxfId="445"/>
    <tableColumn id="6" name="Jumlah Retur" totalsRowFunction="sum" dataDxfId="444" totalsRowDxfId="443"/>
    <tableColumn id="7" name="Jual Net2" totalsRowFunction="sum" dataDxfId="442" totalsRowDxfId="441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4" name="Table34" displayName="Table34" ref="B3:H7" totalsRowCount="1" headerRowDxfId="440" dataDxfId="439">
  <autoFilter ref="B3:H6"/>
  <tableColumns count="7">
    <tableColumn id="1" name="Tanggal" dataDxfId="438" totalsRowDxfId="437"/>
    <tableColumn id="2" name="Nilai Jual" totalsRowFunction="sum" dataDxfId="436" totalsRowDxfId="435"/>
    <tableColumn id="3" name="Nilai Retur" totalsRowFunction="sum" dataDxfId="434" totalsRowDxfId="433"/>
    <tableColumn id="4" name="Jual Net" totalsRowFunction="sum" dataDxfId="432" totalsRowDxfId="431"/>
    <tableColumn id="5" name="Jumlah Jual" totalsRowFunction="sum" dataDxfId="430" totalsRowDxfId="429"/>
    <tableColumn id="6" name="Jumlah Retur" totalsRowFunction="sum" dataDxfId="428" totalsRowDxfId="427"/>
    <tableColumn id="7" name="Jual Net2" totalsRowFunction="sum" dataDxfId="426" totalsRowDxfId="425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5" name="Table35" displayName="Table35" ref="K3:Q7" totalsRowCount="1" headerRowDxfId="424" dataDxfId="423">
  <autoFilter ref="K3:Q6"/>
  <tableColumns count="7">
    <tableColumn id="1" name="Tanggal" dataDxfId="422" totalsRowDxfId="421"/>
    <tableColumn id="2" name="Nilai Jual" totalsRowFunction="sum" dataDxfId="420" totalsRowDxfId="419"/>
    <tableColumn id="3" name="Nilai Retur" totalsRowFunction="sum" dataDxfId="418" totalsRowDxfId="417"/>
    <tableColumn id="4" name="Jual Net" totalsRowFunction="sum" dataDxfId="416" totalsRowDxfId="415"/>
    <tableColumn id="5" name="Jumlah Jual" totalsRowFunction="sum" dataDxfId="414" totalsRowDxfId="413"/>
    <tableColumn id="6" name="Jumlah Retur" totalsRowFunction="sum" dataDxfId="412" totalsRowDxfId="411"/>
    <tableColumn id="7" name="Jual Net2" totalsRowFunction="sum" dataDxfId="410" totalsRowDxfId="409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6" name="Table36" displayName="Table36" ref="B3:H7" totalsRowCount="1" headerRowDxfId="408" dataDxfId="407">
  <autoFilter ref="B3:H6"/>
  <tableColumns count="7">
    <tableColumn id="1" name="Tanggal" dataDxfId="406" totalsRowDxfId="405"/>
    <tableColumn id="2" name="Nilai Jual" totalsRowFunction="sum" dataDxfId="404" totalsRowDxfId="403"/>
    <tableColumn id="3" name="Nilai Retur" totalsRowFunction="sum" dataDxfId="402" totalsRowDxfId="401"/>
    <tableColumn id="4" name="Jual Net" totalsRowFunction="sum" dataDxfId="400" totalsRowDxfId="399"/>
    <tableColumn id="5" name="Jumlah Jual" totalsRowFunction="sum" dataDxfId="398" totalsRowDxfId="397"/>
    <tableColumn id="6" name="Jumlah Retur" totalsRowFunction="sum" dataDxfId="396" totalsRowDxfId="395"/>
    <tableColumn id="7" name="Jual Net2" totalsRowFunction="sum" dataDxfId="394" totalsRowDxfId="39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5" name="Table65" displayName="Table65" ref="K3:Q7" totalsRowCount="1" headerRowDxfId="942">
  <autoFilter ref="K3:Q6"/>
  <tableColumns count="7">
    <tableColumn id="1" name="Tanggal" dataDxfId="941" totalsRowDxfId="940"/>
    <tableColumn id="2" name="Nilai Jual" totalsRowFunction="sum" dataDxfId="939" totalsRowDxfId="938"/>
    <tableColumn id="3" name="Nilai Retur" totalsRowFunction="sum" dataDxfId="937" totalsRowDxfId="936"/>
    <tableColumn id="4" name="Jual Net" totalsRowFunction="sum" dataDxfId="935" totalsRowDxfId="934"/>
    <tableColumn id="5" name="Jumlah Jual" totalsRowFunction="sum" totalsRowDxfId="933"/>
    <tableColumn id="6" name="Jumlah Retur" totalsRowFunction="sum" dataDxfId="932" totalsRowDxfId="931"/>
    <tableColumn id="7" name="Jual Net2" totalsRowFunction="sum" totalsRowDxfId="930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id="37" name="Table37" displayName="Table37" ref="K3:Q7" totalsRowCount="1" headerRowDxfId="392" dataDxfId="391">
  <autoFilter ref="K3:Q6"/>
  <tableColumns count="7">
    <tableColumn id="1" name="Tanggal" dataDxfId="390" totalsRowDxfId="389"/>
    <tableColumn id="2" name="Nilai Jual" totalsRowFunction="sum" dataDxfId="388" totalsRowDxfId="387"/>
    <tableColumn id="3" name="Nilai Retur" totalsRowFunction="sum" dataDxfId="386" totalsRowDxfId="385"/>
    <tableColumn id="4" name="Jual Net" totalsRowFunction="sum" dataDxfId="384" totalsRowDxfId="383"/>
    <tableColumn id="5" name="Jumlah Jual" totalsRowFunction="sum" dataDxfId="382" totalsRowDxfId="381"/>
    <tableColumn id="6" name="Jumlah Retur" totalsRowFunction="sum" dataDxfId="380" totalsRowDxfId="379"/>
    <tableColumn id="7" name="Jual Net2" totalsRowFunction="sum" dataDxfId="378" totalsRowDxfId="377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39" name="Table39" displayName="Table39" ref="B3:H7" totalsRowCount="1" headerRowDxfId="376" dataDxfId="375">
  <autoFilter ref="B3:H6"/>
  <tableColumns count="7">
    <tableColumn id="1" name="Tanggal" dataDxfId="374" totalsRowDxfId="373"/>
    <tableColumn id="2" name="Nilai Jual" totalsRowFunction="sum" dataDxfId="372" totalsRowDxfId="371"/>
    <tableColumn id="3" name="Nilai Retur" totalsRowFunction="sum" dataDxfId="370" totalsRowDxfId="369"/>
    <tableColumn id="4" name="Jual Net" totalsRowFunction="sum" dataDxfId="368" totalsRowDxfId="367"/>
    <tableColumn id="5" name="Jumlah Jual" totalsRowFunction="sum" dataDxfId="366" totalsRowDxfId="365"/>
    <tableColumn id="6" name="Jumlah Retur" totalsRowFunction="sum" dataDxfId="364" totalsRowDxfId="363"/>
    <tableColumn id="7" name="Jual Net2" totalsRowFunction="sum" dataDxfId="362" totalsRowDxfId="361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40" name="Table40" displayName="Table40" ref="K3:Q7" totalsRowCount="1" headerRowDxfId="360" dataDxfId="359">
  <autoFilter ref="K3:Q6"/>
  <tableColumns count="7">
    <tableColumn id="1" name="Tanggal" dataDxfId="358" totalsRowDxfId="357"/>
    <tableColumn id="2" name="Nilai Jual" totalsRowFunction="sum" dataDxfId="356" totalsRowDxfId="355"/>
    <tableColumn id="3" name="Nilai Retur" totalsRowFunction="sum" dataDxfId="354" totalsRowDxfId="353"/>
    <tableColumn id="4" name="Jual Net" totalsRowFunction="sum" dataDxfId="352" totalsRowDxfId="351"/>
    <tableColumn id="5" name="Jumlah Jual" totalsRowFunction="sum" dataDxfId="350" totalsRowDxfId="349"/>
    <tableColumn id="6" name="Jumlah Retur" totalsRowFunction="sum" dataDxfId="348" totalsRowDxfId="347"/>
    <tableColumn id="7" name="Jual Net2" totalsRowFunction="sum" dataDxfId="346" totalsRowDxfId="345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id="41" name="Table41" displayName="Table41" ref="B3:H7" totalsRowCount="1" headerRowDxfId="344" dataDxfId="343">
  <autoFilter ref="B3:H6"/>
  <tableColumns count="7">
    <tableColumn id="1" name="Tanggal" dataDxfId="342" totalsRowDxfId="341"/>
    <tableColumn id="2" name="Nilai Jual" totalsRowFunction="sum" dataDxfId="340" totalsRowDxfId="339"/>
    <tableColumn id="3" name="Nilai Retur" totalsRowFunction="sum" dataDxfId="338" totalsRowDxfId="337"/>
    <tableColumn id="4" name="Jual Net" totalsRowFunction="sum" dataDxfId="336" totalsRowDxfId="335"/>
    <tableColumn id="5" name="Jumlah Jual" totalsRowFunction="sum" dataDxfId="334" totalsRowDxfId="333"/>
    <tableColumn id="6" name="Jumlah Retur" totalsRowFunction="sum" dataDxfId="332" totalsRowDxfId="331"/>
    <tableColumn id="7" name="Jual Net2" totalsRowFunction="sum" dataDxfId="330" totalsRowDxfId="329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id="43" name="Table43" displayName="Table43" ref="K3:Q7" totalsRowCount="1" headerRowDxfId="328" dataDxfId="327">
  <autoFilter ref="K3:Q6"/>
  <tableColumns count="7">
    <tableColumn id="1" name="Tanggal" dataDxfId="326" totalsRowDxfId="325"/>
    <tableColumn id="2" name="Nilai Jual" totalsRowFunction="sum" dataDxfId="324" totalsRowDxfId="323"/>
    <tableColumn id="3" name="Nilai Retur" totalsRowFunction="sum" dataDxfId="322" totalsRowDxfId="321"/>
    <tableColumn id="4" name="Jual Net" totalsRowFunction="sum" dataDxfId="320" totalsRowDxfId="319"/>
    <tableColumn id="5" name="Jumlah Jual" totalsRowFunction="sum" dataDxfId="318" totalsRowDxfId="317"/>
    <tableColumn id="6" name="Jumlah Retur" totalsRowFunction="sum" dataDxfId="316" totalsRowDxfId="315"/>
    <tableColumn id="7" name="Jual Net2" totalsRowFunction="sum" dataDxfId="314" totalsRowDxfId="313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id="44" name="Table44" displayName="Table44" ref="B3:H7" totalsRowCount="1" headerRowDxfId="312" dataDxfId="311">
  <autoFilter ref="B3:H6"/>
  <tableColumns count="7">
    <tableColumn id="1" name="Tanggal" dataDxfId="310" totalsRowDxfId="309"/>
    <tableColumn id="2" name="Nilai Jual" totalsRowFunction="sum" dataDxfId="308" totalsRowDxfId="307"/>
    <tableColumn id="3" name="Nilai Retur" totalsRowFunction="sum" dataDxfId="306" totalsRowDxfId="305"/>
    <tableColumn id="4" name="Jual Net" totalsRowFunction="sum" dataDxfId="304" totalsRowDxfId="303"/>
    <tableColumn id="5" name="Jumlah Jual" totalsRowFunction="sum" dataDxfId="302" totalsRowDxfId="301"/>
    <tableColumn id="6" name="Jumlah Retur" totalsRowFunction="sum" dataDxfId="300" totalsRowDxfId="299"/>
    <tableColumn id="7" name="Jual Net2" totalsRowFunction="sum" dataDxfId="298" totalsRowDxfId="297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id="45" name="Table45" displayName="Table45" ref="K3:Q7" totalsRowCount="1" headerRowDxfId="296" dataDxfId="295">
  <autoFilter ref="K3:Q6"/>
  <tableColumns count="7">
    <tableColumn id="1" name="Tanggal" dataDxfId="294" totalsRowDxfId="293"/>
    <tableColumn id="2" name="Nilai Jual" totalsRowFunction="sum" dataDxfId="292" totalsRowDxfId="291"/>
    <tableColumn id="3" name="Nilai Retur" totalsRowFunction="sum" dataDxfId="290" totalsRowDxfId="289"/>
    <tableColumn id="4" name="Jual Net" totalsRowFunction="sum" dataDxfId="288" totalsRowDxfId="287"/>
    <tableColumn id="5" name="Jumlah Jual" totalsRowFunction="sum" dataDxfId="286" totalsRowDxfId="285"/>
    <tableColumn id="6" name="Jumlah Retur" totalsRowFunction="sum" dataDxfId="284" totalsRowDxfId="283"/>
    <tableColumn id="7" name="Jual Net2" totalsRowFunction="sum" dataDxfId="282" totalsRowDxfId="281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id="46" name="Table46" displayName="Table46" ref="B3:H6" totalsRowShown="0" headerRowDxfId="280" dataDxfId="279">
  <autoFilter ref="B3:H6"/>
  <tableColumns count="7">
    <tableColumn id="1" name="Tanggal" dataDxfId="278"/>
    <tableColumn id="2" name="Nilai Jual" dataDxfId="277"/>
    <tableColumn id="3" name="Nilai Retur" dataDxfId="276"/>
    <tableColumn id="4" name="Jual Net" dataDxfId="275"/>
    <tableColumn id="5" name="Jumlah Jual" dataDxfId="274"/>
    <tableColumn id="6" name="Jumlah Retur" dataDxfId="273"/>
    <tableColumn id="7" name="Jual Net2" dataDxfId="272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id="47" name="Table47" displayName="Table47" ref="B3:H7" totalsRowCount="1" headerRowDxfId="271" dataDxfId="270">
  <autoFilter ref="B3:H6"/>
  <tableColumns count="7">
    <tableColumn id="1" name="Tanggal" dataDxfId="269" totalsRowDxfId="268"/>
    <tableColumn id="2" name="Nilai Jual" totalsRowFunction="sum" dataDxfId="267" totalsRowDxfId="266"/>
    <tableColumn id="3" name="Nilai Retur" totalsRowFunction="sum" totalsRowDxfId="265"/>
    <tableColumn id="4" name="Jual Net" totalsRowFunction="sum" dataDxfId="264" totalsRowDxfId="263"/>
    <tableColumn id="5" name="Jumlah Jual" totalsRowFunction="sum" dataDxfId="262" totalsRowDxfId="261"/>
    <tableColumn id="6" name="Jumlah Retur" totalsRowFunction="sum" dataDxfId="260" totalsRowDxfId="259"/>
    <tableColumn id="7" name="Jual Net2" totalsRowFunction="sum" dataDxfId="258" totalsRowDxfId="257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id="48" name="Table48" displayName="Table48" ref="K3:Q7" totalsRowCount="1" headerRowDxfId="256" dataDxfId="255">
  <autoFilter ref="K3:Q6"/>
  <tableColumns count="7">
    <tableColumn id="1" name="Tanggal" dataDxfId="254" totalsRowDxfId="253"/>
    <tableColumn id="2" name="Nilai Jual" totalsRowFunction="sum" dataDxfId="252" totalsRowDxfId="251"/>
    <tableColumn id="3" name="Nilai Retur" totalsRowFunction="sum" dataDxfId="250" totalsRowDxfId="249"/>
    <tableColumn id="4" name="Jual Net" totalsRowFunction="sum" dataDxfId="248" totalsRowDxfId="247"/>
    <tableColumn id="5" name="Jumlah Jual" totalsRowFunction="sum" dataDxfId="246" totalsRowDxfId="245"/>
    <tableColumn id="6" name="Jumlah Retur" totalsRowFunction="sum" dataDxfId="244" totalsRowDxfId="243"/>
    <tableColumn id="7" name="Jual Net2" totalsRowFunction="sum" dataDxfId="242" totalsRowDxfId="24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B3:H7" totalsRowCount="1" headerRowDxfId="929" headerRowBorderDxfId="928" tableBorderDxfId="927" totalsRowBorderDxfId="926">
  <autoFilter ref="B3:H6"/>
  <tableColumns count="7">
    <tableColumn id="1" name="Periode" dataDxfId="925" totalsRowDxfId="924"/>
    <tableColumn id="2" name="Nilai Jual" totalsRowFunction="sum" dataDxfId="923" totalsRowDxfId="922"/>
    <tableColumn id="3" name="Nilai Retur" totalsRowFunction="sum" dataDxfId="921" totalsRowDxfId="920"/>
    <tableColumn id="4" name="Jual Net" totalsRowFunction="sum" dataDxfId="919" totalsRowDxfId="918"/>
    <tableColumn id="5" name="Jumlah Jual" totalsRowFunction="sum" dataDxfId="917" totalsRowDxfId="916"/>
    <tableColumn id="6" name="Jumlah Retur" totalsRowFunction="sum" dataDxfId="915" totalsRowDxfId="914"/>
    <tableColumn id="7" name="Jual Net2" totalsRowFunction="sum" dataDxfId="913" totalsRowDxfId="912"/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id="49" name="Table49" displayName="Table49" ref="B3:H7" totalsRowCount="1" headerRowDxfId="240" dataDxfId="239">
  <autoFilter ref="B3:H6"/>
  <tableColumns count="7">
    <tableColumn id="1" name="Tanggal" dataDxfId="238" totalsRowDxfId="237"/>
    <tableColumn id="2" name="Nilai Jual" totalsRowFunction="sum" dataDxfId="236" totalsRowDxfId="235"/>
    <tableColumn id="3" name="Nilai Retur" totalsRowFunction="sum" dataDxfId="234" totalsRowDxfId="233"/>
    <tableColumn id="4" name="Jual Net" totalsRowFunction="sum" dataDxfId="232" totalsRowDxfId="231"/>
    <tableColumn id="5" name="Jumlah Jual" totalsRowFunction="sum" dataDxfId="230" totalsRowDxfId="229"/>
    <tableColumn id="6" name="Jumlah Retur" totalsRowFunction="sum" dataDxfId="228" totalsRowDxfId="227"/>
    <tableColumn id="7" name="Jual Net2" totalsRowFunction="sum" dataDxfId="226" totalsRowDxfId="225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id="50" name="Table50" displayName="Table50" ref="K3:Q7" totalsRowCount="1" headerRowDxfId="224" dataDxfId="223">
  <autoFilter ref="K3:Q6"/>
  <tableColumns count="7">
    <tableColumn id="1" name="Tanggal" dataDxfId="222" totalsRowDxfId="221"/>
    <tableColumn id="2" name="Nilai Jual" totalsRowFunction="sum" dataDxfId="220" totalsRowDxfId="219"/>
    <tableColumn id="3" name="Nilai Retur" totalsRowFunction="sum" dataDxfId="218" totalsRowDxfId="217"/>
    <tableColumn id="4" name="Jual Net" totalsRowFunction="sum" dataDxfId="216" totalsRowDxfId="215"/>
    <tableColumn id="5" name="Jumlah Jual" totalsRowFunction="sum" dataDxfId="214" totalsRowDxfId="213"/>
    <tableColumn id="6" name="Jumlah Retur" totalsRowFunction="sum" dataDxfId="212" totalsRowDxfId="211"/>
    <tableColumn id="7" name="Jual Net2" totalsRowFunction="sum" dataDxfId="210" totalsRowDxfId="209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id="51" name="Table51" displayName="Table51" ref="B3:H7" totalsRowCount="1" headerRowDxfId="208" dataDxfId="207">
  <autoFilter ref="B3:H6"/>
  <tableColumns count="7">
    <tableColumn id="1" name="Tanggal" dataDxfId="206" totalsRowDxfId="205"/>
    <tableColumn id="2" name="Nilai Jual" totalsRowFunction="sum" dataDxfId="204" totalsRowDxfId="203"/>
    <tableColumn id="3" name="Nilai Retur" totalsRowFunction="sum" dataDxfId="202" totalsRowDxfId="201"/>
    <tableColumn id="4" name="Jual Net" totalsRowFunction="sum" dataDxfId="200" totalsRowDxfId="199"/>
    <tableColumn id="5" name="Jumlah Jual" totalsRowFunction="sum" dataDxfId="198" totalsRowDxfId="197"/>
    <tableColumn id="6" name="Jumlah Retur" totalsRowFunction="sum" dataDxfId="196" totalsRowDxfId="195"/>
    <tableColumn id="7" name="Jual Net2" totalsRowFunction="sum" dataDxfId="194" totalsRowDxfId="193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id="52" name="Table52" displayName="Table52" ref="K3:Q7" totalsRowCount="1" headerRowDxfId="192" dataDxfId="191">
  <autoFilter ref="K3:Q6"/>
  <tableColumns count="7">
    <tableColumn id="1" name="Tanggal" dataDxfId="190" totalsRowDxfId="189"/>
    <tableColumn id="2" name="Nilai Jual" totalsRowFunction="sum" dataDxfId="188" totalsRowDxfId="187"/>
    <tableColumn id="3" name="Nilai Retur" totalsRowFunction="sum" dataDxfId="186" totalsRowDxfId="185"/>
    <tableColumn id="4" name="Jual Net" totalsRowFunction="sum" dataDxfId="184" totalsRowDxfId="183"/>
    <tableColumn id="5" name="Jumlah Jual" totalsRowFunction="sum" dataDxfId="182" totalsRowDxfId="181"/>
    <tableColumn id="6" name="Jumlah Retur" totalsRowFunction="sum" dataDxfId="180" totalsRowDxfId="179"/>
    <tableColumn id="7" name="Jual Net2" totalsRowFunction="sum" dataDxfId="178" totalsRowDxfId="177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id="53" name="Table53" displayName="Table53" ref="B3:H7" totalsRowCount="1" headerRowDxfId="176" dataDxfId="175">
  <autoFilter ref="B3:H6"/>
  <tableColumns count="7">
    <tableColumn id="1" name="Tanggal" dataDxfId="174" totalsRowDxfId="173"/>
    <tableColumn id="2" name="Nilai Jual" totalsRowFunction="sum" dataDxfId="172" totalsRowDxfId="171"/>
    <tableColumn id="3" name="Nilai Retur" totalsRowFunction="sum" dataDxfId="170" totalsRowDxfId="169"/>
    <tableColumn id="4" name="Jual Net" totalsRowFunction="sum" dataDxfId="168" totalsRowDxfId="167"/>
    <tableColumn id="5" name="Jumlah Jual" totalsRowFunction="sum" dataDxfId="166" totalsRowDxfId="165"/>
    <tableColumn id="6" name="Jumlah Retur" totalsRowFunction="sum" dataDxfId="164" totalsRowDxfId="163"/>
    <tableColumn id="7" name="Jual Net2" totalsRowFunction="sum" dataDxfId="162" totalsRowDxfId="161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id="54" name="Table54" displayName="Table54" ref="K3:Q7" totalsRowCount="1" headerRowDxfId="160" dataDxfId="159">
  <autoFilter ref="K3:Q6"/>
  <tableColumns count="7">
    <tableColumn id="1" name="Tanggal" dataDxfId="158" totalsRowDxfId="157"/>
    <tableColumn id="2" name="Nilai Jual" totalsRowFunction="sum" dataDxfId="156" totalsRowDxfId="155"/>
    <tableColumn id="3" name="Nilai Retur" totalsRowFunction="sum" dataDxfId="154" totalsRowDxfId="153"/>
    <tableColumn id="4" name="Jual Net" totalsRowFunction="sum" dataDxfId="152" totalsRowDxfId="151"/>
    <tableColumn id="5" name="Jumlah Jual" totalsRowFunction="sum" dataDxfId="150" totalsRowDxfId="149"/>
    <tableColumn id="6" name="Jumlah Retur" totalsRowFunction="sum" dataDxfId="148" totalsRowDxfId="147"/>
    <tableColumn id="7" name="Jual Net2" totalsRowFunction="sum" dataDxfId="146" totalsRowDxfId="145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id="16" name="Table16" displayName="Table16" ref="B3:H7" totalsRowCount="1" headerRowDxfId="144" dataDxfId="143">
  <autoFilter ref="B3:H6"/>
  <tableColumns count="7">
    <tableColumn id="1" name="Tanggal" dataDxfId="142" totalsRowDxfId="141"/>
    <tableColumn id="2" name="Nilai Jual" totalsRowFunction="sum" dataDxfId="140" totalsRowDxfId="139"/>
    <tableColumn id="3" name="Nilai Retur" totalsRowFunction="sum" dataDxfId="138" totalsRowDxfId="137"/>
    <tableColumn id="4" name="Jual Net" totalsRowFunction="sum" dataDxfId="136" totalsRowDxfId="135"/>
    <tableColumn id="5" name="Jumlah Jual" totalsRowFunction="sum" dataDxfId="134" totalsRowDxfId="133"/>
    <tableColumn id="6" name="Jumlah Retur" totalsRowFunction="sum" dataDxfId="132" totalsRowDxfId="131"/>
    <tableColumn id="7" name="Jual Net2" totalsRowFunction="sum" dataDxfId="130" totalsRowDxfId="129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id="38" name="Table38" displayName="Table38" ref="K3:Q7" totalsRowCount="1" headerRowDxfId="128" dataDxfId="127">
  <autoFilter ref="K3:Q6"/>
  <tableColumns count="7">
    <tableColumn id="1" name="Tanggal" dataDxfId="126" totalsRowDxfId="125"/>
    <tableColumn id="2" name="Nilai Jual" totalsRowFunction="sum" dataDxfId="124" totalsRowDxfId="123"/>
    <tableColumn id="3" name="Nilai Retur" totalsRowFunction="sum" dataDxfId="122" totalsRowDxfId="121"/>
    <tableColumn id="4" name="Jual Net" totalsRowFunction="sum" dataDxfId="120" totalsRowDxfId="119"/>
    <tableColumn id="5" name="Jumlah Jual" totalsRowFunction="sum" dataDxfId="118" totalsRowDxfId="117"/>
    <tableColumn id="6" name="Jumlah Retur" totalsRowFunction="sum" dataDxfId="116" totalsRowDxfId="115"/>
    <tableColumn id="7" name="Jual Net2" totalsRowFunction="sum" dataDxfId="114" totalsRowDxfId="113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id="42" name="Table42" displayName="Table42" ref="B3:H7" totalsRowCount="1" headerRowDxfId="112" dataDxfId="111">
  <autoFilter ref="B3:H6"/>
  <tableColumns count="7">
    <tableColumn id="1" name="Tanggal" dataDxfId="110" totalsRowDxfId="109"/>
    <tableColumn id="2" name="Nilai Jual" totalsRowFunction="sum" dataDxfId="108" totalsRowDxfId="107"/>
    <tableColumn id="3" name="Nilai Retur" totalsRowFunction="sum" dataDxfId="106" totalsRowDxfId="105"/>
    <tableColumn id="4" name="Jual Net" totalsRowFunction="sum" dataDxfId="104" totalsRowDxfId="103"/>
    <tableColumn id="5" name="Jumlah Jual" totalsRowFunction="sum" dataDxfId="102" totalsRowDxfId="101"/>
    <tableColumn id="6" name="Jumlah Retur" totalsRowFunction="sum" dataDxfId="100" totalsRowDxfId="99"/>
    <tableColumn id="7" name="Jual Net2" totalsRowFunction="sum" dataDxfId="98" totalsRowDxfId="97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id="55" name="Table55" displayName="Table55" ref="K3:Q7" totalsRowCount="1" headerRowDxfId="96" dataDxfId="95">
  <autoFilter ref="K3:Q6"/>
  <tableColumns count="7">
    <tableColumn id="1" name="Tanggal" dataDxfId="94" totalsRowDxfId="93"/>
    <tableColumn id="2" name="Nilai Jual" totalsRowFunction="sum" dataDxfId="92" totalsRowDxfId="91"/>
    <tableColumn id="3" name="Nilai Retur" totalsRowFunction="sum" dataDxfId="90" totalsRowDxfId="89"/>
    <tableColumn id="4" name="Jual Net" totalsRowFunction="sum" dataDxfId="88" totalsRowDxfId="87"/>
    <tableColumn id="5" name="Jumlah Jual" totalsRowFunction="sum" dataDxfId="86" totalsRowDxfId="85"/>
    <tableColumn id="6" name="Jumlah Retur" totalsRowFunction="sum" dataDxfId="84" totalsRowDxfId="83"/>
    <tableColumn id="7" name="Jual Net2" totalsRowFunction="sum" dataDxfId="82" totalsRowDxfId="81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K3:Q7" totalsRowCount="1" headerRowDxfId="911" headerRowBorderDxfId="910" tableBorderDxfId="909" totalsRowBorderDxfId="908">
  <autoFilter ref="K3:Q6"/>
  <tableColumns count="7">
    <tableColumn id="1" name="Periode" dataDxfId="907" totalsRowDxfId="906"/>
    <tableColumn id="2" name="Nilai Jual" totalsRowFunction="sum" dataDxfId="905" totalsRowDxfId="904"/>
    <tableColumn id="3" name="Nilai Retur" totalsRowFunction="sum" dataDxfId="903" totalsRowDxfId="902"/>
    <tableColumn id="4" name="Jual Net" totalsRowFunction="sum" dataDxfId="901" totalsRowDxfId="900"/>
    <tableColumn id="5" name="Jumlah Jual" totalsRowFunction="sum" dataDxfId="899" totalsRowDxfId="898"/>
    <tableColumn id="6" name="Jumlah Retur" totalsRowFunction="sum" dataDxfId="897" totalsRowDxfId="896"/>
    <tableColumn id="7" name="Jual Net2" totalsRowFunction="sum" dataDxfId="895" totalsRowDxfId="894"/>
  </tableColumns>
  <tableStyleInfo name="TableStyleLight9" showFirstColumn="0" showLastColumn="0" showRowStripes="1" showColumnStripes="0"/>
</table>
</file>

<file path=xl/tables/table60.xml><?xml version="1.0" encoding="utf-8"?>
<table xmlns="http://schemas.openxmlformats.org/spreadsheetml/2006/main" id="56" name="Table56" displayName="Table56" ref="B3:H7" totalsRowCount="1" headerRowDxfId="80" dataDxfId="79">
  <autoFilter ref="B3:H6"/>
  <tableColumns count="7">
    <tableColumn id="1" name="Tanggal" dataDxfId="78" totalsRowDxfId="77"/>
    <tableColumn id="2" name="Nilai Jual" totalsRowFunction="sum" dataDxfId="76" totalsRowDxfId="75"/>
    <tableColumn id="3" name="Nilai Retur" totalsRowFunction="sum" dataDxfId="74" totalsRowDxfId="73"/>
    <tableColumn id="4" name="Jual Net" totalsRowFunction="sum" dataDxfId="72" totalsRowDxfId="71"/>
    <tableColumn id="5" name="Jumlah Jual" totalsRowFunction="sum" dataDxfId="70" totalsRowDxfId="69"/>
    <tableColumn id="6" name="Jumlah Retur" totalsRowFunction="sum" dataDxfId="68" totalsRowDxfId="67"/>
    <tableColumn id="7" name="Jual Net2" totalsRowFunction="sum" dataDxfId="66" totalsRowDxfId="65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id="57" name="Table57" displayName="Table57" ref="K3:Q7" totalsRowCount="1" headerRowDxfId="64" dataDxfId="63">
  <autoFilter ref="K3:Q6"/>
  <tableColumns count="7">
    <tableColumn id="1" name="Tanggal" dataDxfId="62" totalsRowDxfId="6"/>
    <tableColumn id="2" name="Nilai Jual" totalsRowFunction="sum" dataDxfId="61" totalsRowDxfId="5"/>
    <tableColumn id="3" name="Nilai Retur" totalsRowFunction="sum" dataDxfId="60" totalsRowDxfId="4"/>
    <tableColumn id="4" name="Jual Net" totalsRowFunction="sum" dataDxfId="59" totalsRowDxfId="3"/>
    <tableColumn id="5" name="Jumlah Jual" totalsRowFunction="sum" dataDxfId="58" totalsRowDxfId="2"/>
    <tableColumn id="6" name="Jumlah Retur" totalsRowFunction="sum" dataDxfId="57" totalsRowDxfId="1"/>
    <tableColumn id="7" name="Jual Net2" totalsRowFunction="sum" dataDxfId="56" totalsRowDxfId="0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id="58" name="Table58" displayName="Table58" ref="B3:H7" totalsRowCount="1" headerRowDxfId="55" dataDxfId="54">
  <autoFilter ref="B3:H6"/>
  <tableColumns count="7">
    <tableColumn id="1" name="Tanggal" dataDxfId="53" totalsRowDxfId="52"/>
    <tableColumn id="2" name="Nilai Jual" totalsRowFunction="sum" dataDxfId="51" totalsRowDxfId="50"/>
    <tableColumn id="3" name="Nilai Retur" totalsRowFunction="sum" dataDxfId="49" totalsRowDxfId="48"/>
    <tableColumn id="4" name="Jual Net" totalsRowFunction="sum" dataDxfId="47" totalsRowDxfId="46"/>
    <tableColumn id="5" name="Jumlah Jual" totalsRowFunction="sum" dataDxfId="45" totalsRowDxfId="44"/>
    <tableColumn id="6" name="Jumlah Retur" totalsRowFunction="sum" dataDxfId="43" totalsRowDxfId="42"/>
    <tableColumn id="7" name="Jual Net2" totalsRowFunction="sum" dataDxfId="41" totalsRowDxfId="40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id="59" name="Table59" displayName="Table59" ref="K3:Q7" totalsRowCount="1" headerRowDxfId="39" dataDxfId="38">
  <autoFilter ref="K3:Q6"/>
  <tableColumns count="7">
    <tableColumn id="1" name="Tanggal" dataDxfId="37" totalsRowDxfId="36"/>
    <tableColumn id="2" name="Nilai Jual" totalsRowFunction="sum" dataDxfId="35" totalsRowDxfId="34"/>
    <tableColumn id="3" name="Nilai Retur" totalsRowFunction="sum" dataDxfId="33" totalsRowDxfId="32"/>
    <tableColumn id="4" name="Jual Net" totalsRowFunction="sum" dataDxfId="31" totalsRowDxfId="30"/>
    <tableColumn id="5" name="Jumlah Jual" totalsRowFunction="sum" dataDxfId="29" totalsRowDxfId="28"/>
    <tableColumn id="6" name="Jumlah Retur" totalsRowFunction="sum" dataDxfId="27" totalsRowDxfId="26"/>
    <tableColumn id="7" name="Jual Net2" totalsRowFunction="sum" dataDxfId="25" totalsRowDxfId="24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id="60" name="Table60" displayName="Table60" ref="B3:H6" totalsRowShown="0" headerRowDxfId="23" dataDxfId="22">
  <autoFilter ref="B3:H6"/>
  <tableColumns count="7">
    <tableColumn id="1" name="Tanggal" dataDxfId="21"/>
    <tableColumn id="2" name="Nilai Jual" dataDxfId="20"/>
    <tableColumn id="3" name="Nilai Retur"/>
    <tableColumn id="4" name="Jual Net" dataDxfId="19"/>
    <tableColumn id="5" name="Jumlah Jual" dataDxfId="18"/>
    <tableColumn id="6" name="Jumlah Retur" dataDxfId="17"/>
    <tableColumn id="7" name="Jual Net2" dataDxfId="16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id="61" name="Table61" displayName="Table61" ref="K3:Q4" totalsRowShown="0" headerRowDxfId="15" dataDxfId="14">
  <autoFilter ref="K3:Q4"/>
  <tableColumns count="7">
    <tableColumn id="1" name="Tanggal" dataDxfId="13"/>
    <tableColumn id="2" name="Nilai Jual" dataDxfId="12"/>
    <tableColumn id="3" name="Nilai Retur" dataDxfId="11"/>
    <tableColumn id="4" name="Jual Net" dataDxfId="10"/>
    <tableColumn id="5" name="Jumlah Jual" dataDxfId="9"/>
    <tableColumn id="6" name="Jumlah Retur" dataDxfId="8"/>
    <tableColumn id="7" name="Jual Net2" dataDxfId="7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3" name="Table3" displayName="Table3" ref="B3:H7" totalsRowCount="1" headerRowDxfId="893" headerRowBorderDxfId="892" tableBorderDxfId="891" totalsRowBorderDxfId="890">
  <autoFilter ref="B3:H6"/>
  <tableColumns count="7">
    <tableColumn id="1" name="Periode" dataDxfId="889" totalsRowDxfId="888"/>
    <tableColumn id="2" name="Nilai Jual" totalsRowFunction="sum" dataDxfId="887" totalsRowDxfId="886"/>
    <tableColumn id="3" name="Nilai Retur" totalsRowFunction="sum" totalsRowDxfId="885"/>
    <tableColumn id="4" name="Jual Net" totalsRowFunction="sum" dataDxfId="884" totalsRowDxfId="883"/>
    <tableColumn id="5" name="Jumlah Jual" totalsRowFunction="sum" dataDxfId="882" totalsRowDxfId="881"/>
    <tableColumn id="6" name="Jumlah Retur" totalsRowFunction="sum" dataDxfId="880" totalsRowDxfId="879"/>
    <tableColumn id="7" name="Jual Net2" totalsRowFunction="sum" dataDxfId="878" totalsRowDxfId="877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4" name="Table4" displayName="Table4" ref="K3:Q5" totalsRowShown="0" headerRowDxfId="876" dataDxfId="875">
  <autoFilter ref="K3:Q5"/>
  <tableColumns count="7">
    <tableColumn id="1" name="Periode" dataDxfId="874"/>
    <tableColumn id="2" name="Nilai Jual" dataDxfId="873"/>
    <tableColumn id="3" name="Nilai Retur"/>
    <tableColumn id="4" name="Jual Net" dataDxfId="872"/>
    <tableColumn id="5" name="Jumlah Jual" dataDxfId="871"/>
    <tableColumn id="6" name="Jumlah Retur" dataDxfId="870"/>
    <tableColumn id="7" name="Jual Net2" dataDxfId="869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5" name="Table5" displayName="Table5" ref="B3:H7" totalsRowCount="1" headerRowDxfId="868" dataDxfId="867">
  <autoFilter ref="B3:H6"/>
  <tableColumns count="7">
    <tableColumn id="1" name="Tanggal" dataDxfId="866" totalsRowDxfId="865"/>
    <tableColumn id="2" name="Nilai Jual" totalsRowFunction="sum" dataDxfId="864" totalsRowDxfId="863"/>
    <tableColumn id="3" name="Nilai Retur" totalsRowFunction="sum" dataDxfId="862" totalsRowDxfId="861"/>
    <tableColumn id="4" name="Jual Net" totalsRowFunction="sum" dataDxfId="860" totalsRowDxfId="859"/>
    <tableColumn id="5" name="Jumlah Jual" totalsRowFunction="sum" dataDxfId="858" totalsRowDxfId="857"/>
    <tableColumn id="6" name="Jumlah Retur" totalsRowFunction="sum" dataDxfId="856" totalsRowDxfId="855"/>
    <tableColumn id="7" name="Jual Net2" totalsRowFunction="sum" dataDxfId="854" totalsRowDxfId="85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2" Type="http://schemas.openxmlformats.org/officeDocument/2006/relationships/table" Target="../tables/table43.xml"/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table" Target="../tables/table45.xml"/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9.xml"/><Relationship Id="rId2" Type="http://schemas.openxmlformats.org/officeDocument/2006/relationships/table" Target="../tables/table48.xml"/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1.xml"/><Relationship Id="rId2" Type="http://schemas.openxmlformats.org/officeDocument/2006/relationships/table" Target="../tables/table50.xml"/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3.xml"/><Relationship Id="rId2" Type="http://schemas.openxmlformats.org/officeDocument/2006/relationships/table" Target="../tables/table52.xml"/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5.xml"/><Relationship Id="rId2" Type="http://schemas.openxmlformats.org/officeDocument/2006/relationships/table" Target="../tables/table54.xml"/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7.xml"/><Relationship Id="rId2" Type="http://schemas.openxmlformats.org/officeDocument/2006/relationships/table" Target="../tables/table56.xml"/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9.xml"/><Relationship Id="rId2" Type="http://schemas.openxmlformats.org/officeDocument/2006/relationships/table" Target="../tables/table58.xml"/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1.xml"/><Relationship Id="rId2" Type="http://schemas.openxmlformats.org/officeDocument/2006/relationships/table" Target="../tables/table60.xml"/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3.xml"/><Relationship Id="rId2" Type="http://schemas.openxmlformats.org/officeDocument/2006/relationships/table" Target="../tables/table62.xml"/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5.xml"/><Relationship Id="rId2" Type="http://schemas.openxmlformats.org/officeDocument/2006/relationships/table" Target="../tables/table64.xml"/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Q11" sqref="Q11"/>
    </sheetView>
  </sheetViews>
  <sheetFormatPr defaultRowHeight="15" x14ac:dyDescent="0.25"/>
  <cols>
    <col min="2" max="2" width="9.85546875" customWidth="1"/>
    <col min="3" max="3" width="11.140625" bestFit="1" customWidth="1"/>
    <col min="4" max="4" width="12.5703125" customWidth="1"/>
    <col min="5" max="5" width="11.140625" bestFit="1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2.7109375" bestFit="1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t="s">
        <v>42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143851488</v>
      </c>
      <c r="D4" s="4">
        <v>17109838</v>
      </c>
      <c r="E4" s="4">
        <v>126741650</v>
      </c>
      <c r="F4" s="4">
        <v>1538</v>
      </c>
      <c r="G4" s="3">
        <v>170</v>
      </c>
      <c r="H4" s="4">
        <v>1368</v>
      </c>
      <c r="K4" s="2">
        <v>43101</v>
      </c>
      <c r="L4" s="4">
        <v>53093863</v>
      </c>
      <c r="M4" s="4">
        <v>9849613</v>
      </c>
      <c r="N4" s="4">
        <v>43244250</v>
      </c>
      <c r="O4" s="3">
        <v>577</v>
      </c>
      <c r="P4" s="3">
        <v>110</v>
      </c>
      <c r="Q4" s="3">
        <v>467</v>
      </c>
    </row>
    <row r="5" spans="1:17" ht="15" customHeight="1" x14ac:dyDescent="0.25">
      <c r="A5" s="1"/>
      <c r="B5" s="2">
        <v>42767</v>
      </c>
      <c r="C5" s="4">
        <v>169420913</v>
      </c>
      <c r="D5" s="4">
        <v>29690325</v>
      </c>
      <c r="E5" s="4">
        <v>139730588</v>
      </c>
      <c r="F5" s="4">
        <v>1699</v>
      </c>
      <c r="G5" s="3">
        <v>315</v>
      </c>
      <c r="H5" s="4">
        <v>1384</v>
      </c>
      <c r="K5" s="2">
        <v>43132</v>
      </c>
      <c r="L5" s="4">
        <v>69718863</v>
      </c>
      <c r="M5" s="4">
        <v>14087675</v>
      </c>
      <c r="N5" s="4">
        <v>55631188</v>
      </c>
      <c r="O5" s="3">
        <v>733</v>
      </c>
      <c r="P5" s="3">
        <v>133</v>
      </c>
      <c r="Q5" s="3">
        <v>600</v>
      </c>
    </row>
    <row r="6" spans="1:17" ht="15" customHeight="1" x14ac:dyDescent="0.25">
      <c r="B6" s="2">
        <v>42795</v>
      </c>
      <c r="C6" s="4">
        <v>273012425</v>
      </c>
      <c r="D6" s="4">
        <v>58608638</v>
      </c>
      <c r="E6" s="4">
        <v>214403788</v>
      </c>
      <c r="F6" s="4">
        <v>2684</v>
      </c>
      <c r="G6" s="3">
        <v>582</v>
      </c>
      <c r="H6" s="4">
        <v>2102</v>
      </c>
      <c r="K6" s="2">
        <v>43160</v>
      </c>
      <c r="L6" s="4">
        <v>88331163</v>
      </c>
      <c r="M6" s="4">
        <v>19821200</v>
      </c>
      <c r="N6" s="4">
        <v>68509963</v>
      </c>
      <c r="O6" s="3">
        <v>915</v>
      </c>
      <c r="P6" s="3">
        <v>196</v>
      </c>
      <c r="Q6" s="3">
        <v>719</v>
      </c>
    </row>
    <row r="7" spans="1:17" ht="15" customHeight="1" x14ac:dyDescent="0.25">
      <c r="B7" s="30"/>
      <c r="C7" s="4">
        <f>SUM(Table62[Nilai Jual])</f>
        <v>586284826</v>
      </c>
      <c r="D7" s="4">
        <f>SUM(Table62[Nilai Retur])</f>
        <v>105408801</v>
      </c>
      <c r="E7" s="4">
        <f>SUM(Table62[Jual Net])</f>
        <v>480876026</v>
      </c>
      <c r="F7" s="4">
        <f>SUM(Table62[Jumlah Jual])</f>
        <v>5921</v>
      </c>
      <c r="G7" s="4">
        <f>SUM(Table62[Jumlah Retur])</f>
        <v>1067</v>
      </c>
      <c r="H7" s="4">
        <f>SUM(Table62[Jual Net2])</f>
        <v>4854</v>
      </c>
      <c r="K7" s="30"/>
      <c r="L7" s="4">
        <f>SUM(L4:L6)</f>
        <v>211143889</v>
      </c>
      <c r="M7" s="4">
        <f>SUM(M4:M6)</f>
        <v>43758488</v>
      </c>
      <c r="N7" s="4">
        <f>SUM(N4:N6)</f>
        <v>167385401</v>
      </c>
      <c r="O7" s="4">
        <f t="shared" ref="O7:Q7" si="0">SUM(O4:O6)</f>
        <v>2225</v>
      </c>
      <c r="P7" s="4">
        <f t="shared" si="0"/>
        <v>439</v>
      </c>
      <c r="Q7" s="4">
        <f t="shared" si="0"/>
        <v>1786</v>
      </c>
    </row>
    <row r="8" spans="1:17" x14ac:dyDescent="0.25">
      <c r="B8" s="2"/>
      <c r="C8" s="4"/>
      <c r="D8" s="4"/>
      <c r="E8" s="4"/>
      <c r="F8" s="4"/>
      <c r="G8" s="3"/>
      <c r="H8" s="4"/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3" sqref="J13"/>
    </sheetView>
  </sheetViews>
  <sheetFormatPr defaultRowHeight="15" x14ac:dyDescent="0.25"/>
  <cols>
    <col min="1" max="1" width="19.425781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</cols>
  <sheetData>
    <row r="1" spans="1:11" ht="30" x14ac:dyDescent="0.25">
      <c r="A1" s="28" t="s">
        <v>16</v>
      </c>
      <c r="B1" s="52">
        <v>2017</v>
      </c>
      <c r="C1" s="52"/>
      <c r="D1" s="52"/>
      <c r="E1" s="52"/>
      <c r="F1" s="52"/>
      <c r="G1" s="52"/>
      <c r="H1" s="52"/>
    </row>
    <row r="3" spans="1:11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</row>
    <row r="4" spans="1:11" ht="15" customHeight="1" x14ac:dyDescent="0.25">
      <c r="B4" s="2">
        <v>42736</v>
      </c>
      <c r="C4" s="4">
        <v>18896238</v>
      </c>
      <c r="D4" s="4">
        <v>6587875</v>
      </c>
      <c r="E4" s="4">
        <v>12308363</v>
      </c>
      <c r="F4" s="3">
        <v>188</v>
      </c>
      <c r="G4" s="3">
        <v>67</v>
      </c>
      <c r="H4" s="3">
        <v>121</v>
      </c>
      <c r="K4" t="s">
        <v>1</v>
      </c>
    </row>
    <row r="5" spans="1:11" ht="15" customHeight="1" x14ac:dyDescent="0.25">
      <c r="B5" s="2">
        <v>42767</v>
      </c>
      <c r="C5" s="4">
        <v>26993663</v>
      </c>
      <c r="D5" s="4">
        <v>8755250</v>
      </c>
      <c r="E5" s="4">
        <v>18238413</v>
      </c>
      <c r="F5" s="3">
        <v>263</v>
      </c>
      <c r="G5" s="3">
        <v>93</v>
      </c>
      <c r="H5" s="3">
        <v>170</v>
      </c>
      <c r="K5" t="s">
        <v>1</v>
      </c>
    </row>
    <row r="6" spans="1:11" ht="15" customHeight="1" x14ac:dyDescent="0.25">
      <c r="B6" s="2">
        <v>42795</v>
      </c>
      <c r="C6" s="4">
        <v>65075063</v>
      </c>
      <c r="D6" s="4">
        <v>15188425</v>
      </c>
      <c r="E6" s="4">
        <v>49886638</v>
      </c>
      <c r="F6" s="3">
        <v>642</v>
      </c>
      <c r="G6" s="3">
        <v>132</v>
      </c>
      <c r="H6" s="3">
        <v>510</v>
      </c>
      <c r="K6" t="s">
        <v>1</v>
      </c>
    </row>
  </sheetData>
  <mergeCells count="1">
    <mergeCell ref="B1:H1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6.285156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17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12686450</v>
      </c>
      <c r="D4" s="4">
        <v>742613</v>
      </c>
      <c r="E4" s="4">
        <v>11943838</v>
      </c>
      <c r="F4" s="3">
        <v>109</v>
      </c>
      <c r="G4" s="3">
        <v>7</v>
      </c>
      <c r="H4" s="3">
        <v>102</v>
      </c>
      <c r="K4" s="2">
        <v>43101</v>
      </c>
      <c r="L4" s="4">
        <v>10443038</v>
      </c>
      <c r="M4" s="3">
        <v>0</v>
      </c>
      <c r="N4" s="4">
        <v>10443038</v>
      </c>
      <c r="O4" s="3">
        <v>84</v>
      </c>
      <c r="P4" s="3">
        <v>0</v>
      </c>
      <c r="Q4" s="3">
        <v>84</v>
      </c>
    </row>
    <row r="5" spans="1:17" x14ac:dyDescent="0.25">
      <c r="B5" s="2">
        <v>42767</v>
      </c>
      <c r="C5" s="4">
        <v>17144663</v>
      </c>
      <c r="D5" s="4">
        <v>211488</v>
      </c>
      <c r="E5" s="4">
        <v>16933175</v>
      </c>
      <c r="F5" s="3">
        <v>145</v>
      </c>
      <c r="G5" s="3">
        <v>2</v>
      </c>
      <c r="H5" s="3">
        <v>143</v>
      </c>
      <c r="K5" s="2">
        <v>43132</v>
      </c>
      <c r="L5" s="4">
        <v>15020688</v>
      </c>
      <c r="M5" s="4">
        <v>503388</v>
      </c>
      <c r="N5" s="4">
        <v>14517300</v>
      </c>
      <c r="O5" s="3">
        <v>142</v>
      </c>
      <c r="P5" s="3">
        <v>5</v>
      </c>
      <c r="Q5" s="3">
        <v>137</v>
      </c>
    </row>
    <row r="6" spans="1:17" ht="15" customHeight="1" x14ac:dyDescent="0.25">
      <c r="B6" s="2">
        <v>42795</v>
      </c>
      <c r="C6" s="4">
        <v>17946688</v>
      </c>
      <c r="D6" s="4">
        <v>610838</v>
      </c>
      <c r="E6" s="4">
        <v>17335850</v>
      </c>
      <c r="F6" s="3">
        <v>146</v>
      </c>
      <c r="G6" s="3">
        <v>5</v>
      </c>
      <c r="H6" s="3">
        <v>141</v>
      </c>
      <c r="K6" s="2">
        <v>43160</v>
      </c>
      <c r="L6" s="4">
        <v>18219163</v>
      </c>
      <c r="M6" s="4">
        <v>724325</v>
      </c>
      <c r="N6" s="4">
        <v>17494838</v>
      </c>
      <c r="O6" s="3">
        <v>160</v>
      </c>
      <c r="P6" s="3">
        <v>7</v>
      </c>
      <c r="Q6" s="3">
        <v>153</v>
      </c>
    </row>
    <row r="7" spans="1:17" ht="15" customHeight="1" x14ac:dyDescent="0.25">
      <c r="B7" s="30"/>
      <c r="C7" s="4">
        <f>SUBTOTAL(109,Table15[Nilai Jual])</f>
        <v>47777801</v>
      </c>
      <c r="D7" s="4">
        <f>SUBTOTAL(109,Table15[Nilai Retur])</f>
        <v>1564939</v>
      </c>
      <c r="E7" s="4">
        <f>SUBTOTAL(109,Table15[Jual Net])</f>
        <v>46212863</v>
      </c>
      <c r="F7" s="4">
        <f>SUBTOTAL(109,Table15[Jumlah Jual])</f>
        <v>400</v>
      </c>
      <c r="G7" s="4">
        <f>SUBTOTAL(109,Table15[Jumlah Retur])</f>
        <v>14</v>
      </c>
      <c r="H7" s="4">
        <f>SUBTOTAL(109,Table15[Jual Net2])</f>
        <v>386</v>
      </c>
      <c r="K7" s="30"/>
      <c r="L7" s="4">
        <f>SUBTOTAL(109,Table17[Nilai Jual])</f>
        <v>43682889</v>
      </c>
      <c r="M7" s="4">
        <f>SUBTOTAL(109,Table17[Nilai Retur])</f>
        <v>1227713</v>
      </c>
      <c r="N7" s="4">
        <f>SUBTOTAL(109,Table17[Jual Net])</f>
        <v>42455176</v>
      </c>
      <c r="O7" s="4">
        <f>SUBTOTAL(109,Table17[Jumlah Jual])</f>
        <v>386</v>
      </c>
      <c r="P7" s="4">
        <f>SUBTOTAL(109,Table17[Jumlah Retur])</f>
        <v>12</v>
      </c>
      <c r="Q7" s="4">
        <f>SUBTOTAL(109,Table17[Jual Net2])</f>
        <v>374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4.28515625" bestFit="1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18" t="s">
        <v>18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2" spans="1:17" x14ac:dyDescent="0.25">
      <c r="A2" s="18"/>
      <c r="B2" s="20"/>
      <c r="C2" s="20"/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11499775</v>
      </c>
      <c r="D4" s="4">
        <v>822850</v>
      </c>
      <c r="E4" s="4">
        <v>10676925</v>
      </c>
      <c r="F4" s="3">
        <v>109</v>
      </c>
      <c r="G4" s="3">
        <v>8</v>
      </c>
      <c r="H4" s="3">
        <v>101</v>
      </c>
      <c r="K4" s="2">
        <v>43101</v>
      </c>
      <c r="L4" s="4">
        <v>2369500</v>
      </c>
      <c r="M4" s="3">
        <v>0</v>
      </c>
      <c r="N4" s="4">
        <v>2369500</v>
      </c>
      <c r="O4" s="3">
        <v>24</v>
      </c>
      <c r="P4" s="3">
        <v>0</v>
      </c>
      <c r="Q4" s="3">
        <v>24</v>
      </c>
    </row>
    <row r="5" spans="1:17" ht="15" customHeight="1" x14ac:dyDescent="0.25">
      <c r="B5" s="2">
        <v>42767</v>
      </c>
      <c r="C5" s="4">
        <v>20612288</v>
      </c>
      <c r="D5" s="4">
        <v>2328638</v>
      </c>
      <c r="E5" s="4">
        <v>18283650</v>
      </c>
      <c r="F5" s="3">
        <v>193</v>
      </c>
      <c r="G5" s="3">
        <v>21</v>
      </c>
      <c r="H5" s="3">
        <v>172</v>
      </c>
      <c r="K5" s="2">
        <v>43132</v>
      </c>
      <c r="L5" s="4">
        <v>14588000</v>
      </c>
      <c r="M5" s="4">
        <v>980263</v>
      </c>
      <c r="N5" s="4">
        <v>13607738</v>
      </c>
      <c r="O5" s="3">
        <v>145</v>
      </c>
      <c r="P5" s="3">
        <v>9</v>
      </c>
      <c r="Q5" s="3">
        <v>136</v>
      </c>
    </row>
    <row r="6" spans="1:17" ht="15" customHeight="1" x14ac:dyDescent="0.25">
      <c r="B6" s="2">
        <v>42795</v>
      </c>
      <c r="C6" s="4">
        <v>32027713</v>
      </c>
      <c r="D6" s="4">
        <v>3483463</v>
      </c>
      <c r="E6" s="4">
        <v>28544250</v>
      </c>
      <c r="F6" s="3">
        <v>289</v>
      </c>
      <c r="G6" s="3">
        <v>30</v>
      </c>
      <c r="H6" s="3">
        <v>259</v>
      </c>
      <c r="K6" s="2">
        <v>43160</v>
      </c>
      <c r="L6" s="4">
        <v>18573713</v>
      </c>
      <c r="M6" s="4">
        <v>747425</v>
      </c>
      <c r="N6" s="4">
        <v>17826288</v>
      </c>
      <c r="O6" s="3">
        <v>173</v>
      </c>
      <c r="P6" s="3">
        <v>8</v>
      </c>
      <c r="Q6" s="3">
        <v>165</v>
      </c>
    </row>
    <row r="7" spans="1:17" ht="15" customHeight="1" x14ac:dyDescent="0.25">
      <c r="B7" s="30"/>
      <c r="C7" s="4">
        <f>SUBTOTAL(109,Table18[Nilai Jual])</f>
        <v>64139776</v>
      </c>
      <c r="D7" s="4">
        <f>SUBTOTAL(109,Table18[Nilai Retur])</f>
        <v>6634951</v>
      </c>
      <c r="E7" s="4">
        <f>SUBTOTAL(109,Table18[Jual Net])</f>
        <v>57504825</v>
      </c>
      <c r="F7" s="4">
        <f>SUBTOTAL(109,Table18[Jumlah Jual])</f>
        <v>591</v>
      </c>
      <c r="G7" s="4">
        <f>SUBTOTAL(109,Table18[Jumlah Retur])</f>
        <v>59</v>
      </c>
      <c r="H7" s="4">
        <f>SUBTOTAL(109,Table18[Jual Net2])</f>
        <v>532</v>
      </c>
      <c r="K7" s="30"/>
      <c r="L7" s="4">
        <f>SUBTOTAL(109,Table19[Nilai Jual])</f>
        <v>35531213</v>
      </c>
      <c r="M7" s="4">
        <f>SUBTOTAL(109,Table19[Nilai Retur])</f>
        <v>1727688</v>
      </c>
      <c r="N7" s="4">
        <f>SUBTOTAL(109,Table19[Jual Net])</f>
        <v>33803526</v>
      </c>
      <c r="O7" s="4">
        <f>SUBTOTAL(109,Table19[Jumlah Jual])</f>
        <v>342</v>
      </c>
      <c r="P7" s="4">
        <f>SUBTOTAL(109,Table19[Jumlah Retur])</f>
        <v>17</v>
      </c>
      <c r="Q7" s="4">
        <f>SUBTOTAL(109,Table19[Jual Net2])</f>
        <v>325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3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19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10915888</v>
      </c>
      <c r="D4" s="4">
        <v>605150</v>
      </c>
      <c r="E4" s="4">
        <v>10310738</v>
      </c>
      <c r="F4" s="3">
        <v>103</v>
      </c>
      <c r="G4" s="3">
        <v>7</v>
      </c>
      <c r="H4" s="3">
        <v>96</v>
      </c>
      <c r="K4" s="2">
        <v>43101</v>
      </c>
      <c r="L4" s="4">
        <v>8076775</v>
      </c>
      <c r="M4" s="4">
        <v>228025</v>
      </c>
      <c r="N4" s="4">
        <v>7848750</v>
      </c>
      <c r="O4" s="3">
        <v>75</v>
      </c>
      <c r="P4" s="3">
        <v>2</v>
      </c>
      <c r="Q4" s="3">
        <v>73</v>
      </c>
    </row>
    <row r="5" spans="1:17" ht="15" customHeight="1" x14ac:dyDescent="0.25">
      <c r="B5" s="2">
        <v>42767</v>
      </c>
      <c r="C5" s="4">
        <v>18635488</v>
      </c>
      <c r="D5" s="4">
        <v>540838</v>
      </c>
      <c r="E5" s="4">
        <v>18094650</v>
      </c>
      <c r="F5" s="3">
        <v>189</v>
      </c>
      <c r="G5" s="3">
        <v>5</v>
      </c>
      <c r="H5" s="3">
        <v>184</v>
      </c>
      <c r="K5" s="2">
        <v>43132</v>
      </c>
      <c r="L5" s="4">
        <v>8414000</v>
      </c>
      <c r="M5" s="4">
        <v>195825</v>
      </c>
      <c r="N5" s="4">
        <v>8218175</v>
      </c>
      <c r="O5" s="3">
        <v>78</v>
      </c>
      <c r="P5" s="3">
        <v>2</v>
      </c>
      <c r="Q5" s="3">
        <v>76</v>
      </c>
    </row>
    <row r="6" spans="1:17" ht="15" customHeight="1" x14ac:dyDescent="0.25">
      <c r="B6" s="2">
        <v>42795</v>
      </c>
      <c r="C6" s="4">
        <v>18730775</v>
      </c>
      <c r="D6" s="4">
        <v>460950</v>
      </c>
      <c r="E6" s="4">
        <v>18269825</v>
      </c>
      <c r="F6" s="3">
        <v>184</v>
      </c>
      <c r="G6" s="3">
        <v>5</v>
      </c>
      <c r="H6" s="3">
        <v>179</v>
      </c>
      <c r="K6" s="2">
        <v>43160</v>
      </c>
      <c r="L6" s="4">
        <v>7812788</v>
      </c>
      <c r="M6" s="4">
        <v>382463</v>
      </c>
      <c r="N6" s="4">
        <v>7430325</v>
      </c>
      <c r="O6" s="3">
        <v>68</v>
      </c>
      <c r="P6" s="3">
        <v>2</v>
      </c>
      <c r="Q6" s="3">
        <v>66</v>
      </c>
    </row>
    <row r="7" spans="1:17" ht="15" customHeight="1" x14ac:dyDescent="0.25">
      <c r="B7" s="30"/>
      <c r="C7" s="4">
        <f>SUBTOTAL(109,Table20[Nilai Jual])</f>
        <v>48282151</v>
      </c>
      <c r="D7" s="4">
        <f>SUBTOTAL(109,Table20[Nilai Retur])</f>
        <v>1606938</v>
      </c>
      <c r="E7" s="4">
        <f>SUBTOTAL(109,Table20[Jual Net])</f>
        <v>46675213</v>
      </c>
      <c r="F7" s="4">
        <f>SUBTOTAL(109,Table20[Jumlah Jual])</f>
        <v>476</v>
      </c>
      <c r="G7" s="4">
        <f>SUBTOTAL(109,Table20[Jumlah Retur])</f>
        <v>17</v>
      </c>
      <c r="H7" s="4">
        <f>SUBTOTAL(109,Table20[Jual Net2])</f>
        <v>459</v>
      </c>
      <c r="K7" s="30"/>
      <c r="L7" s="4">
        <f>SUBTOTAL(109,Table21[Nilai Jual])</f>
        <v>24303563</v>
      </c>
      <c r="M7" s="4">
        <f>SUBTOTAL(109,Table21[Nilai Retur])</f>
        <v>806313</v>
      </c>
      <c r="N7" s="4">
        <f>SUBTOTAL(109,Table21[Jual Net])</f>
        <v>23497250</v>
      </c>
      <c r="O7" s="4">
        <f>SUBTOTAL(109,Table21[Jumlah Jual])</f>
        <v>221</v>
      </c>
      <c r="P7" s="4">
        <f>SUBTOTAL(109,Table21[Jumlah Retur])</f>
        <v>6</v>
      </c>
      <c r="Q7" s="4">
        <f>SUBTOTAL(109,Table21[Jual Net2])</f>
        <v>215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Q11" sqref="Q11"/>
    </sheetView>
  </sheetViews>
  <sheetFormatPr defaultRowHeight="15" x14ac:dyDescent="0.25"/>
  <cols>
    <col min="1" max="1" width="13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20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11328013</v>
      </c>
      <c r="D4" s="4">
        <v>1307688</v>
      </c>
      <c r="E4" s="4">
        <v>10020325</v>
      </c>
      <c r="F4" s="3">
        <v>112</v>
      </c>
      <c r="G4" s="3">
        <v>5</v>
      </c>
      <c r="H4" s="3">
        <v>107</v>
      </c>
      <c r="K4" s="2">
        <v>43101</v>
      </c>
      <c r="L4" s="4">
        <v>2825288</v>
      </c>
      <c r="M4" s="4">
        <v>114450</v>
      </c>
      <c r="N4" s="4">
        <v>2710838</v>
      </c>
      <c r="O4" s="3">
        <v>27</v>
      </c>
      <c r="P4" s="3">
        <v>1</v>
      </c>
      <c r="Q4" s="3">
        <v>26</v>
      </c>
    </row>
    <row r="5" spans="1:17" ht="15" customHeight="1" x14ac:dyDescent="0.25">
      <c r="B5" s="2">
        <v>42767</v>
      </c>
      <c r="C5" s="4">
        <v>45165925</v>
      </c>
      <c r="D5" s="4">
        <v>5717163</v>
      </c>
      <c r="E5" s="4">
        <v>39448763</v>
      </c>
      <c r="F5" s="3">
        <v>434</v>
      </c>
      <c r="G5" s="3">
        <v>56</v>
      </c>
      <c r="H5" s="3">
        <v>378</v>
      </c>
      <c r="K5" s="2">
        <v>43132</v>
      </c>
      <c r="L5" s="4">
        <v>7780588</v>
      </c>
      <c r="M5" s="4">
        <v>936250</v>
      </c>
      <c r="N5" s="4">
        <v>6844338</v>
      </c>
      <c r="O5" s="3">
        <v>73</v>
      </c>
      <c r="P5" s="3">
        <v>19</v>
      </c>
      <c r="Q5" s="3">
        <v>54</v>
      </c>
    </row>
    <row r="6" spans="1:17" ht="15" customHeight="1" x14ac:dyDescent="0.25">
      <c r="B6" s="2">
        <v>42795</v>
      </c>
      <c r="C6" s="4">
        <v>51899575</v>
      </c>
      <c r="D6" s="4">
        <v>6874700</v>
      </c>
      <c r="E6" s="4">
        <v>45024875</v>
      </c>
      <c r="F6" s="3">
        <v>504</v>
      </c>
      <c r="G6" s="3">
        <v>69</v>
      </c>
      <c r="H6" s="3">
        <v>435</v>
      </c>
      <c r="K6" s="2">
        <v>43160</v>
      </c>
      <c r="L6" s="4">
        <v>35356650</v>
      </c>
      <c r="M6" s="4">
        <v>12631362</v>
      </c>
      <c r="N6" s="4">
        <v>22725289</v>
      </c>
      <c r="O6" s="3">
        <v>329</v>
      </c>
      <c r="P6" s="3">
        <v>19</v>
      </c>
      <c r="Q6" s="3">
        <v>310</v>
      </c>
    </row>
    <row r="7" spans="1:17" ht="15" customHeight="1" x14ac:dyDescent="0.25">
      <c r="B7" s="30"/>
      <c r="C7" s="4">
        <f>SUBTOTAL(109,Table22[Nilai Jual])</f>
        <v>108393513</v>
      </c>
      <c r="D7" s="4">
        <f>SUBTOTAL(109,Table22[Nilai Retur])</f>
        <v>13899551</v>
      </c>
      <c r="E7" s="4">
        <f>SUBTOTAL(109,Table22[Jual Net])</f>
        <v>94493963</v>
      </c>
      <c r="F7" s="4">
        <f>SUBTOTAL(109,Table22[Jumlah Jual])</f>
        <v>1050</v>
      </c>
      <c r="G7" s="4">
        <f>SUBTOTAL(109,Table22[Jumlah Retur])</f>
        <v>130</v>
      </c>
      <c r="H7" s="4">
        <f>SUBTOTAL(109,Table22[Jual Net2])</f>
        <v>920</v>
      </c>
      <c r="K7" s="30"/>
      <c r="L7" s="4">
        <f>SUBTOTAL(109,Table23[Nilai Jual])</f>
        <v>45962526</v>
      </c>
      <c r="M7" s="4">
        <f>SUBTOTAL(109,Table23[Nilai Retur])</f>
        <v>13682062</v>
      </c>
      <c r="N7" s="4">
        <f>SUBTOTAL(109,Table23[Jual Net])</f>
        <v>32280465</v>
      </c>
      <c r="O7" s="4">
        <f>SUBTOTAL(109,Table23[Jumlah Jual])</f>
        <v>429</v>
      </c>
      <c r="P7" s="4">
        <f>SUBTOTAL(109,Table23[Jumlah Retur])</f>
        <v>39</v>
      </c>
      <c r="Q7" s="4">
        <f>SUBTOTAL(109,Table23[Jual Net2])</f>
        <v>390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22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9824500</v>
      </c>
      <c r="D4" s="4">
        <v>651262</v>
      </c>
      <c r="E4" s="4">
        <v>9173238</v>
      </c>
      <c r="F4" s="3">
        <v>95</v>
      </c>
      <c r="G4" s="3">
        <v>5</v>
      </c>
      <c r="H4" s="3">
        <v>90</v>
      </c>
      <c r="K4" s="2">
        <v>43101</v>
      </c>
      <c r="L4" s="4">
        <v>11873138</v>
      </c>
      <c r="M4" s="4">
        <v>1331225</v>
      </c>
      <c r="N4" s="4">
        <v>10541913</v>
      </c>
      <c r="O4" s="3">
        <v>118</v>
      </c>
      <c r="P4" s="3">
        <v>12</v>
      </c>
      <c r="Q4" s="3">
        <v>106</v>
      </c>
    </row>
    <row r="5" spans="1:17" ht="15" customHeight="1" x14ac:dyDescent="0.25">
      <c r="B5" s="2">
        <v>42767</v>
      </c>
      <c r="C5" s="4">
        <v>12306613</v>
      </c>
      <c r="D5" s="4">
        <v>1423450</v>
      </c>
      <c r="E5" s="4">
        <v>10883163</v>
      </c>
      <c r="F5" s="3">
        <v>115</v>
      </c>
      <c r="G5" s="3">
        <v>14</v>
      </c>
      <c r="H5" s="3">
        <v>101</v>
      </c>
      <c r="K5" s="2">
        <v>43132</v>
      </c>
      <c r="L5" s="4">
        <v>6990550</v>
      </c>
      <c r="M5" s="4">
        <v>754513</v>
      </c>
      <c r="N5" s="4">
        <v>6236038</v>
      </c>
      <c r="O5" s="3">
        <v>67</v>
      </c>
      <c r="P5" s="3">
        <v>6</v>
      </c>
      <c r="Q5" s="3">
        <v>61</v>
      </c>
    </row>
    <row r="6" spans="1:17" ht="15" customHeight="1" x14ac:dyDescent="0.25">
      <c r="B6" s="2">
        <v>42795</v>
      </c>
      <c r="C6" s="4">
        <v>22677375</v>
      </c>
      <c r="D6" s="4">
        <v>1978375</v>
      </c>
      <c r="E6" s="4">
        <v>20699000</v>
      </c>
      <c r="F6" s="3">
        <v>202</v>
      </c>
      <c r="G6" s="3">
        <v>19</v>
      </c>
      <c r="H6" s="3">
        <v>183</v>
      </c>
      <c r="K6" s="2">
        <v>43160</v>
      </c>
      <c r="L6" s="4">
        <v>10016388</v>
      </c>
      <c r="M6" s="4">
        <v>363650</v>
      </c>
      <c r="N6" s="4">
        <v>9652738</v>
      </c>
      <c r="O6" s="3">
        <v>90</v>
      </c>
      <c r="P6" s="3">
        <v>4</v>
      </c>
      <c r="Q6" s="3">
        <v>86</v>
      </c>
    </row>
    <row r="7" spans="1:17" ht="15" customHeight="1" x14ac:dyDescent="0.25">
      <c r="B7" s="30"/>
      <c r="C7" s="4">
        <f>SUBTOTAL(109,Table24[Nilai Jual])</f>
        <v>44808488</v>
      </c>
      <c r="D7" s="4">
        <f>SUBTOTAL(109,Table24[Nilai Retur])</f>
        <v>4053087</v>
      </c>
      <c r="E7" s="4">
        <f>SUBTOTAL(109,Table24[Jual Net])</f>
        <v>40755401</v>
      </c>
      <c r="F7" s="4">
        <f>SUBTOTAL(109,Table24[Jumlah Jual])</f>
        <v>412</v>
      </c>
      <c r="G7" s="4">
        <f>SUBTOTAL(109,Table24[Jumlah Retur])</f>
        <v>38</v>
      </c>
      <c r="H7" s="4">
        <f>SUBTOTAL(109,Table24[Jual Net2])</f>
        <v>374</v>
      </c>
      <c r="K7" s="30"/>
      <c r="L7" s="4">
        <f>SUBTOTAL(109,Table25[Nilai Jual])</f>
        <v>28880076</v>
      </c>
      <c r="M7" s="4">
        <f>SUBTOTAL(109,Table25[Nilai Retur])</f>
        <v>2449388</v>
      </c>
      <c r="N7" s="4">
        <f>SUBTOTAL(109,Table25[Jual Net])</f>
        <v>26430689</v>
      </c>
      <c r="O7" s="4">
        <f>SUBTOTAL(109,Table25[Jumlah Jual])</f>
        <v>275</v>
      </c>
      <c r="P7" s="4">
        <f>SUBTOTAL(109,Table25[Jumlah Retur])</f>
        <v>22</v>
      </c>
      <c r="Q7" s="4">
        <f>SUBTOTAL(109,Table25[Jual Net2])</f>
        <v>253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23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9029388</v>
      </c>
      <c r="D4" s="4">
        <v>88900</v>
      </c>
      <c r="E4" s="4">
        <v>8940488</v>
      </c>
      <c r="F4" s="3">
        <v>95</v>
      </c>
      <c r="G4" s="3">
        <v>1</v>
      </c>
      <c r="H4" s="3">
        <v>94</v>
      </c>
      <c r="K4" s="2">
        <v>43101</v>
      </c>
      <c r="L4" s="4">
        <v>37063163</v>
      </c>
      <c r="M4" s="3">
        <v>0</v>
      </c>
      <c r="N4" s="4">
        <v>37063163</v>
      </c>
      <c r="O4" s="3">
        <v>306</v>
      </c>
      <c r="P4" s="3">
        <v>0</v>
      </c>
      <c r="Q4" s="3">
        <v>306</v>
      </c>
    </row>
    <row r="5" spans="1:17" x14ac:dyDescent="0.25">
      <c r="B5" s="2">
        <v>42767</v>
      </c>
      <c r="C5" s="4">
        <v>14615038</v>
      </c>
      <c r="D5" s="4">
        <v>141400</v>
      </c>
      <c r="E5" s="4">
        <v>14473638</v>
      </c>
      <c r="F5" s="3">
        <v>159</v>
      </c>
      <c r="G5" s="3">
        <v>1</v>
      </c>
      <c r="H5" s="3">
        <v>158</v>
      </c>
      <c r="K5" s="2">
        <v>43132</v>
      </c>
      <c r="L5" s="4">
        <v>30029388</v>
      </c>
      <c r="M5" s="3">
        <v>0</v>
      </c>
      <c r="N5" s="4">
        <v>30029388</v>
      </c>
      <c r="O5" s="3">
        <v>242</v>
      </c>
      <c r="P5" s="3">
        <v>0</v>
      </c>
      <c r="Q5" s="3">
        <v>242</v>
      </c>
    </row>
    <row r="6" spans="1:17" x14ac:dyDescent="0.25">
      <c r="B6" s="2">
        <v>42795</v>
      </c>
      <c r="C6" s="4">
        <v>10488625</v>
      </c>
      <c r="D6" s="3">
        <v>0</v>
      </c>
      <c r="E6" s="4">
        <v>10488625</v>
      </c>
      <c r="F6" s="3">
        <v>114</v>
      </c>
      <c r="G6" s="3">
        <v>0</v>
      </c>
      <c r="H6" s="3">
        <v>114</v>
      </c>
      <c r="K6" s="2">
        <v>43160</v>
      </c>
      <c r="L6" s="4">
        <v>21627988</v>
      </c>
      <c r="M6" s="3">
        <v>0</v>
      </c>
      <c r="N6" s="4">
        <v>21627988</v>
      </c>
      <c r="O6" s="3">
        <v>172</v>
      </c>
      <c r="P6" s="3">
        <v>0</v>
      </c>
      <c r="Q6" s="3">
        <v>172</v>
      </c>
    </row>
    <row r="7" spans="1:17" x14ac:dyDescent="0.25">
      <c r="B7" s="30"/>
      <c r="C7" s="4">
        <f>SUBTOTAL(109,Table26[Nilai Jual])</f>
        <v>34133051</v>
      </c>
      <c r="D7" s="4">
        <f>SUBTOTAL(109,Table26[Nilai Retur])</f>
        <v>230300</v>
      </c>
      <c r="E7" s="4">
        <f>SUBTOTAL(109,Table26[Jual Net])</f>
        <v>33902751</v>
      </c>
      <c r="F7" s="4">
        <f>SUBTOTAL(109,Table26[Jumlah Jual])</f>
        <v>368</v>
      </c>
      <c r="G7" s="4">
        <f>SUBTOTAL(109,Table26[Jumlah Retur])</f>
        <v>2</v>
      </c>
      <c r="H7" s="4">
        <f>SUBTOTAL(109,Table26[Jual Net2])</f>
        <v>366</v>
      </c>
      <c r="K7" s="30"/>
      <c r="L7" s="4">
        <f>SUBTOTAL(109,Table27[Nilai Jual])</f>
        <v>88720539</v>
      </c>
      <c r="M7" s="4">
        <f>SUBTOTAL(109,Table27[Nilai Retur])</f>
        <v>0</v>
      </c>
      <c r="N7" s="4">
        <f>SUBTOTAL(109,Table27[Jual Net])</f>
        <v>88720539</v>
      </c>
      <c r="O7" s="4">
        <f>SUBTOTAL(109,Table27[Jumlah Jual])</f>
        <v>720</v>
      </c>
      <c r="P7" s="4">
        <f>SUBTOTAL(109,Table27[Jumlah Retur])</f>
        <v>0</v>
      </c>
      <c r="Q7" s="4">
        <f>SUBTOTAL(109,Table27[Jual Net2])</f>
        <v>720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8.140625" bestFit="1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24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2" spans="1:17" x14ac:dyDescent="0.25">
      <c r="A2" s="29"/>
      <c r="B2" s="20"/>
      <c r="C2" s="20"/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11957138</v>
      </c>
      <c r="D4" s="4">
        <v>3700375</v>
      </c>
      <c r="E4" s="4">
        <v>8256763</v>
      </c>
      <c r="F4" s="3">
        <v>117</v>
      </c>
      <c r="G4" s="3">
        <v>34</v>
      </c>
      <c r="H4" s="3">
        <v>83</v>
      </c>
      <c r="K4" s="2">
        <v>43101</v>
      </c>
      <c r="L4" s="4">
        <v>6679400</v>
      </c>
      <c r="M4" s="4">
        <v>2039900</v>
      </c>
      <c r="N4" s="4">
        <v>4639500</v>
      </c>
      <c r="O4" s="3">
        <v>58</v>
      </c>
      <c r="P4" s="3">
        <v>17</v>
      </c>
      <c r="Q4" s="3">
        <v>41</v>
      </c>
    </row>
    <row r="5" spans="1:17" x14ac:dyDescent="0.25">
      <c r="B5" s="2">
        <v>42767</v>
      </c>
      <c r="C5" s="4">
        <v>14770175</v>
      </c>
      <c r="D5" s="4">
        <v>4032438</v>
      </c>
      <c r="E5" s="4">
        <v>10737738</v>
      </c>
      <c r="F5" s="3">
        <v>145</v>
      </c>
      <c r="G5" s="3">
        <v>39</v>
      </c>
      <c r="H5" s="3">
        <v>106</v>
      </c>
      <c r="K5" s="2">
        <v>43132</v>
      </c>
      <c r="L5" s="4">
        <v>8759738</v>
      </c>
      <c r="M5" s="4">
        <v>5545200</v>
      </c>
      <c r="N5" s="4">
        <v>3214538</v>
      </c>
      <c r="O5" s="3">
        <v>76</v>
      </c>
      <c r="P5" s="3">
        <v>15</v>
      </c>
      <c r="Q5" s="3">
        <v>61</v>
      </c>
    </row>
    <row r="6" spans="1:17" x14ac:dyDescent="0.25">
      <c r="B6" s="2">
        <v>42795</v>
      </c>
      <c r="C6" s="4">
        <v>24850088</v>
      </c>
      <c r="D6" s="4">
        <v>3883275</v>
      </c>
      <c r="E6" s="4">
        <v>20966813</v>
      </c>
      <c r="F6" s="3">
        <v>241</v>
      </c>
      <c r="G6" s="3">
        <v>38</v>
      </c>
      <c r="H6" s="3">
        <v>203</v>
      </c>
      <c r="K6" s="2">
        <v>43160</v>
      </c>
      <c r="L6" s="4">
        <v>5502075</v>
      </c>
      <c r="M6" s="4">
        <v>2585902</v>
      </c>
      <c r="N6" s="4">
        <v>2916173</v>
      </c>
      <c r="O6" s="3">
        <v>47</v>
      </c>
      <c r="P6" s="3">
        <v>30</v>
      </c>
      <c r="Q6" s="3">
        <v>17</v>
      </c>
    </row>
    <row r="7" spans="1:17" x14ac:dyDescent="0.25">
      <c r="B7" s="30"/>
      <c r="C7" s="4">
        <f>SUBTOTAL(109,Table28[Nilai Jual])</f>
        <v>51577401</v>
      </c>
      <c r="D7" s="4">
        <f>SUBTOTAL(109,Table28[Nilai Retur])</f>
        <v>11616088</v>
      </c>
      <c r="E7" s="4">
        <f>SUBTOTAL(109,Table28[Jual Net])</f>
        <v>39961314</v>
      </c>
      <c r="F7" s="4">
        <f>SUBTOTAL(109,Table28[Jumlah Jual])</f>
        <v>503</v>
      </c>
      <c r="G7" s="4">
        <f>SUBTOTAL(109,Table28[Jumlah Retur])</f>
        <v>111</v>
      </c>
      <c r="H7" s="4">
        <f>SUBTOTAL(109,Table28[Jual Net2])</f>
        <v>392</v>
      </c>
      <c r="K7" s="30"/>
      <c r="L7" s="4">
        <f>SUBTOTAL(109,Table29[Nilai Jual])</f>
        <v>20941213</v>
      </c>
      <c r="M7" s="4">
        <f>SUBTOTAL(109,Table29[Nilai Retur])</f>
        <v>10171002</v>
      </c>
      <c r="N7" s="4">
        <f>SUBTOTAL(109,Table29[Jual Net])</f>
        <v>10770211</v>
      </c>
      <c r="O7" s="4">
        <f>SUBTOTAL(109,Table29[Jumlah Jual])</f>
        <v>181</v>
      </c>
      <c r="P7" s="4">
        <f>SUBTOTAL(109,Table29[Jumlah Retur])</f>
        <v>62</v>
      </c>
      <c r="Q7" s="4">
        <f>SUBTOTAL(109,Table29[Jual Net2])</f>
        <v>119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1.71093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45" x14ac:dyDescent="0.25">
      <c r="A1" s="28" t="s">
        <v>25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2" spans="1:17" x14ac:dyDescent="0.25">
      <c r="A2" s="29"/>
      <c r="B2" s="20"/>
      <c r="C2" s="20"/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8362113</v>
      </c>
      <c r="D4" s="4">
        <v>255300</v>
      </c>
      <c r="E4" s="4">
        <v>8106813</v>
      </c>
      <c r="F4" s="3">
        <v>81</v>
      </c>
      <c r="G4" s="3">
        <v>0</v>
      </c>
      <c r="H4" s="3">
        <v>81</v>
      </c>
      <c r="K4" s="2">
        <v>43101</v>
      </c>
      <c r="L4" s="4">
        <v>5080425</v>
      </c>
      <c r="M4" s="3">
        <v>0</v>
      </c>
      <c r="N4" s="4">
        <v>5080425</v>
      </c>
      <c r="O4" s="3">
        <v>50</v>
      </c>
      <c r="P4" s="3">
        <v>0</v>
      </c>
      <c r="Q4" s="3">
        <v>50</v>
      </c>
    </row>
    <row r="5" spans="1:17" x14ac:dyDescent="0.25">
      <c r="B5" s="2">
        <v>42767</v>
      </c>
      <c r="C5" s="4">
        <v>10091375</v>
      </c>
      <c r="D5" s="4">
        <v>307650</v>
      </c>
      <c r="E5" s="4">
        <v>9783725</v>
      </c>
      <c r="F5" s="3">
        <v>99</v>
      </c>
      <c r="G5" s="3">
        <v>2</v>
      </c>
      <c r="H5" s="3">
        <v>97</v>
      </c>
      <c r="K5" s="2">
        <v>43132</v>
      </c>
      <c r="L5" s="4">
        <v>3715775</v>
      </c>
      <c r="M5" s="4">
        <v>28875</v>
      </c>
      <c r="N5" s="4">
        <v>3686901</v>
      </c>
      <c r="O5" s="3">
        <v>42</v>
      </c>
      <c r="P5" s="3">
        <v>1</v>
      </c>
      <c r="Q5" s="3">
        <v>41</v>
      </c>
    </row>
    <row r="6" spans="1:17" x14ac:dyDescent="0.25">
      <c r="B6" s="2">
        <v>42795</v>
      </c>
      <c r="C6" s="4">
        <v>11987063</v>
      </c>
      <c r="D6" s="4">
        <v>320738</v>
      </c>
      <c r="E6" s="4">
        <v>11666325</v>
      </c>
      <c r="F6" s="3">
        <v>114</v>
      </c>
      <c r="G6" s="3">
        <v>3</v>
      </c>
      <c r="H6" s="3">
        <v>111</v>
      </c>
      <c r="K6" s="2">
        <v>43160</v>
      </c>
      <c r="L6" s="4">
        <v>3539813</v>
      </c>
      <c r="M6" s="4">
        <v>110075</v>
      </c>
      <c r="N6" s="4">
        <v>3429738</v>
      </c>
      <c r="O6" s="3">
        <v>37</v>
      </c>
      <c r="P6" s="3">
        <v>1</v>
      </c>
      <c r="Q6" s="3">
        <v>36</v>
      </c>
    </row>
    <row r="7" spans="1:17" x14ac:dyDescent="0.25">
      <c r="B7" s="30"/>
      <c r="C7" s="4">
        <f>SUBTOTAL(109,Table30[Nilai Jual])</f>
        <v>30440551</v>
      </c>
      <c r="D7" s="4">
        <f>SUBTOTAL(109,Table30[Nilai Retur])</f>
        <v>883688</v>
      </c>
      <c r="E7" s="4">
        <f>SUBTOTAL(109,Table30[Jual Net])</f>
        <v>29556863</v>
      </c>
      <c r="F7" s="4">
        <f>SUBTOTAL(109,Table30[Jumlah Jual])</f>
        <v>294</v>
      </c>
      <c r="G7" s="4">
        <f>SUBTOTAL(109,Table30[Jumlah Retur])</f>
        <v>5</v>
      </c>
      <c r="H7" s="4">
        <f>SUBTOTAL(109,Table30[Jual Net2])</f>
        <v>289</v>
      </c>
      <c r="K7" s="30"/>
      <c r="L7" s="4">
        <f>SUBTOTAL(109,Table31[Nilai Jual])</f>
        <v>12336013</v>
      </c>
      <c r="M7" s="4">
        <f>SUBTOTAL(109,Table31[Nilai Retur])</f>
        <v>138950</v>
      </c>
      <c r="N7" s="4">
        <f>SUBTOTAL(109,Table31[Jual Net])</f>
        <v>12197064</v>
      </c>
      <c r="O7" s="4">
        <f>SUBTOTAL(109,Table31[Jumlah Jual])</f>
        <v>129</v>
      </c>
      <c r="P7" s="4">
        <f>SUBTOTAL(109,Table31[Jumlah Retur])</f>
        <v>2</v>
      </c>
      <c r="Q7" s="4">
        <f>SUBTOTAL(109,Table31[Jual Net2])</f>
        <v>127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26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11774350</v>
      </c>
      <c r="D4" s="4">
        <v>3934350</v>
      </c>
      <c r="E4" s="4">
        <v>7840000</v>
      </c>
      <c r="F4" s="3">
        <v>117</v>
      </c>
      <c r="G4" s="3">
        <v>40</v>
      </c>
      <c r="H4" s="3">
        <v>77</v>
      </c>
      <c r="K4" s="2">
        <v>43101</v>
      </c>
      <c r="L4" s="4">
        <v>2321813</v>
      </c>
      <c r="M4" s="4">
        <v>618713</v>
      </c>
      <c r="N4" s="4">
        <v>1703100</v>
      </c>
      <c r="O4" s="3">
        <v>24</v>
      </c>
      <c r="P4" s="3">
        <v>5</v>
      </c>
      <c r="Q4" s="3">
        <v>19</v>
      </c>
    </row>
    <row r="5" spans="1:17" x14ac:dyDescent="0.25">
      <c r="B5" s="2">
        <v>42767</v>
      </c>
      <c r="C5" s="4">
        <v>12374513</v>
      </c>
      <c r="D5" s="4">
        <v>3894188</v>
      </c>
      <c r="E5" s="4">
        <v>8480325</v>
      </c>
      <c r="F5" s="3">
        <v>117</v>
      </c>
      <c r="G5" s="3">
        <v>39</v>
      </c>
      <c r="H5" s="3">
        <v>78</v>
      </c>
      <c r="K5" s="2">
        <v>43132</v>
      </c>
      <c r="L5" s="4">
        <v>4984613</v>
      </c>
      <c r="M5" s="4">
        <v>651525</v>
      </c>
      <c r="N5" s="4">
        <v>4333088</v>
      </c>
      <c r="O5" s="3">
        <v>47</v>
      </c>
      <c r="P5" s="3">
        <v>12</v>
      </c>
      <c r="Q5" s="3">
        <v>35</v>
      </c>
    </row>
    <row r="6" spans="1:17" x14ac:dyDescent="0.25">
      <c r="B6" s="2">
        <v>42795</v>
      </c>
      <c r="C6" s="4">
        <v>20044588</v>
      </c>
      <c r="D6" s="4">
        <v>4112588</v>
      </c>
      <c r="E6" s="4">
        <v>15932000</v>
      </c>
      <c r="F6" s="3">
        <v>182</v>
      </c>
      <c r="G6" s="3">
        <v>35</v>
      </c>
      <c r="H6" s="3">
        <v>147</v>
      </c>
      <c r="K6" s="2">
        <v>43160</v>
      </c>
      <c r="L6" s="4">
        <v>22105738</v>
      </c>
      <c r="M6" s="4">
        <v>3430875</v>
      </c>
      <c r="N6" s="4">
        <v>18674863</v>
      </c>
      <c r="O6" s="3">
        <v>197</v>
      </c>
      <c r="P6" s="3">
        <v>23</v>
      </c>
      <c r="Q6" s="3">
        <v>174</v>
      </c>
    </row>
    <row r="7" spans="1:17" x14ac:dyDescent="0.25">
      <c r="B7" s="30"/>
      <c r="C7" s="4">
        <f>SUBTOTAL(109,Table32[Nilai Jual])</f>
        <v>44193451</v>
      </c>
      <c r="D7" s="4">
        <f>SUBTOTAL(109,Table32[Nilai Retur])</f>
        <v>11941126</v>
      </c>
      <c r="E7" s="4">
        <f>SUBTOTAL(109,Table32[Jual Net])</f>
        <v>32252325</v>
      </c>
      <c r="F7" s="4">
        <f>SUBTOTAL(109,Table32[Jumlah Jual])</f>
        <v>416</v>
      </c>
      <c r="G7" s="4">
        <f>SUBTOTAL(109,Table32[Jumlah Retur])</f>
        <v>114</v>
      </c>
      <c r="H7" s="4">
        <f>SUBTOTAL(109,Table32[Jual Net2])</f>
        <v>302</v>
      </c>
      <c r="K7" s="30"/>
      <c r="L7" s="4">
        <f>SUBTOTAL(109,Table33[Nilai Jual])</f>
        <v>29412164</v>
      </c>
      <c r="M7" s="4">
        <f>SUBTOTAL(109,Table33[Nilai Retur])</f>
        <v>4701113</v>
      </c>
      <c r="N7" s="4">
        <f>SUBTOTAL(109,Table33[Jual Net])</f>
        <v>24711051</v>
      </c>
      <c r="O7" s="4">
        <f>SUBTOTAL(109,Table33[Jumlah Jual])</f>
        <v>268</v>
      </c>
      <c r="P7" s="4">
        <f>SUBTOTAL(109,Table33[Jumlah Retur])</f>
        <v>40</v>
      </c>
      <c r="Q7" s="4">
        <f>SUBTOTAL(109,Table33[Jual Net2])</f>
        <v>228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R13" sqref="R13"/>
    </sheetView>
  </sheetViews>
  <sheetFormatPr defaultRowHeight="15" x14ac:dyDescent="0.25"/>
  <cols>
    <col min="1" max="1" width="15.7109375" customWidth="1"/>
    <col min="2" max="2" width="9.85546875" customWidth="1"/>
    <col min="3" max="3" width="11.140625" bestFit="1" customWidth="1"/>
    <col min="4" max="4" width="12.5703125" customWidth="1"/>
    <col min="5" max="5" width="11.140625" bestFit="1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bestFit="1" customWidth="1"/>
    <col min="13" max="13" width="12.5703125" customWidth="1"/>
    <col min="14" max="14" width="11.140625" bestFit="1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43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2" spans="1:17" x14ac:dyDescent="0.25">
      <c r="A2" s="29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122635188</v>
      </c>
      <c r="D4" s="4">
        <v>7883138</v>
      </c>
      <c r="E4" s="4">
        <v>114752050</v>
      </c>
      <c r="F4" s="4">
        <v>1193</v>
      </c>
      <c r="G4" s="3">
        <v>76</v>
      </c>
      <c r="H4" s="4">
        <v>1117</v>
      </c>
      <c r="K4" s="2">
        <v>43101</v>
      </c>
      <c r="L4" s="4">
        <v>127254138</v>
      </c>
      <c r="M4" s="4">
        <v>13312163</v>
      </c>
      <c r="N4" s="4">
        <v>113941975</v>
      </c>
      <c r="O4" s="4">
        <v>1173</v>
      </c>
      <c r="P4" s="3">
        <v>114</v>
      </c>
      <c r="Q4" s="4">
        <v>1059</v>
      </c>
    </row>
    <row r="5" spans="1:17" ht="15" customHeight="1" x14ac:dyDescent="0.25">
      <c r="B5" s="2">
        <v>42767</v>
      </c>
      <c r="C5" s="4">
        <v>151669700</v>
      </c>
      <c r="D5" s="4">
        <v>12131925</v>
      </c>
      <c r="E5" s="4">
        <v>139537775</v>
      </c>
      <c r="F5" s="4">
        <v>1460</v>
      </c>
      <c r="G5" s="3">
        <v>108</v>
      </c>
      <c r="H5" s="4">
        <v>1352</v>
      </c>
      <c r="K5" s="2">
        <v>43132</v>
      </c>
      <c r="L5" s="4">
        <v>153689900</v>
      </c>
      <c r="M5" s="4">
        <v>11111363</v>
      </c>
      <c r="N5" s="4">
        <v>142578538</v>
      </c>
      <c r="O5" s="4">
        <v>1409</v>
      </c>
      <c r="P5" s="3">
        <v>108</v>
      </c>
      <c r="Q5" s="4">
        <v>1301</v>
      </c>
    </row>
    <row r="6" spans="1:17" ht="15" customHeight="1" x14ac:dyDescent="0.25">
      <c r="B6" s="2">
        <v>42795</v>
      </c>
      <c r="C6" s="4">
        <v>175152688</v>
      </c>
      <c r="D6" s="4">
        <v>10025838</v>
      </c>
      <c r="E6" s="4">
        <v>165126850</v>
      </c>
      <c r="F6" s="4">
        <v>1652</v>
      </c>
      <c r="G6" s="3">
        <v>91</v>
      </c>
      <c r="H6" s="4">
        <v>1561</v>
      </c>
      <c r="K6" s="2">
        <v>43160</v>
      </c>
      <c r="L6" s="4">
        <v>176340850</v>
      </c>
      <c r="M6" s="4">
        <v>19028713</v>
      </c>
      <c r="N6" s="4">
        <v>157312138</v>
      </c>
      <c r="O6" s="4">
        <v>1595</v>
      </c>
      <c r="P6" s="3">
        <v>164</v>
      </c>
      <c r="Q6" s="4">
        <v>1431</v>
      </c>
    </row>
    <row r="7" spans="1:17" ht="15" customHeight="1" x14ac:dyDescent="0.25">
      <c r="B7" s="30"/>
      <c r="C7" s="4">
        <f>SUM(C4:C6)</f>
        <v>449457576</v>
      </c>
      <c r="D7" s="4">
        <f t="shared" ref="D7:H7" si="0">SUM(D4:D6)</f>
        <v>30040901</v>
      </c>
      <c r="E7" s="4">
        <f t="shared" si="0"/>
        <v>419416675</v>
      </c>
      <c r="F7" s="4">
        <f t="shared" si="0"/>
        <v>4305</v>
      </c>
      <c r="G7" s="4">
        <f t="shared" si="0"/>
        <v>275</v>
      </c>
      <c r="H7" s="4">
        <f t="shared" si="0"/>
        <v>4030</v>
      </c>
      <c r="K7" s="30"/>
      <c r="L7" s="4">
        <f>SUBTOTAL(109,Table65[Nilai Jual])</f>
        <v>457284888</v>
      </c>
      <c r="M7" s="4">
        <f>SUBTOTAL(109,Table65[Nilai Retur])</f>
        <v>43452239</v>
      </c>
      <c r="N7" s="4">
        <f>SUBTOTAL(109,Table65[Jual Net])</f>
        <v>413832651</v>
      </c>
      <c r="O7" s="4">
        <f>SUBTOTAL(109,Table65[Jumlah Jual])</f>
        <v>4177</v>
      </c>
      <c r="P7" s="4">
        <f>SUBTOTAL(109,Table65[Jumlah Retur])</f>
        <v>386</v>
      </c>
      <c r="Q7" s="4">
        <f>SUBTOTAL(109,Table65[Jual Net2])</f>
        <v>3791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3.57031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2.7109375" bestFit="1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9" t="s">
        <v>27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8274875</v>
      </c>
      <c r="D4" s="4">
        <v>522113</v>
      </c>
      <c r="E4" s="4">
        <v>7752763</v>
      </c>
      <c r="F4" s="3">
        <v>92</v>
      </c>
      <c r="G4" s="3">
        <v>5</v>
      </c>
      <c r="H4" s="3">
        <v>87</v>
      </c>
      <c r="K4" s="2">
        <v>43101</v>
      </c>
      <c r="L4" s="4">
        <v>58977188</v>
      </c>
      <c r="M4" s="4">
        <v>3908800</v>
      </c>
      <c r="N4" s="4">
        <v>55068388</v>
      </c>
      <c r="O4" s="3">
        <v>604</v>
      </c>
      <c r="P4" s="3">
        <v>35</v>
      </c>
      <c r="Q4" s="3">
        <v>569</v>
      </c>
    </row>
    <row r="5" spans="1:17" ht="15" customHeight="1" x14ac:dyDescent="0.25">
      <c r="B5" s="2">
        <v>42767</v>
      </c>
      <c r="C5" s="4">
        <v>6207250</v>
      </c>
      <c r="D5" s="4">
        <v>286388</v>
      </c>
      <c r="E5" s="4">
        <v>5920863</v>
      </c>
      <c r="F5" s="3">
        <v>67</v>
      </c>
      <c r="G5" s="3">
        <v>4</v>
      </c>
      <c r="H5" s="3">
        <v>63</v>
      </c>
      <c r="K5" s="2">
        <v>43132</v>
      </c>
      <c r="L5" s="4">
        <v>34651225</v>
      </c>
      <c r="M5" s="4">
        <v>2313675</v>
      </c>
      <c r="N5" s="4">
        <v>32337550</v>
      </c>
      <c r="O5" s="3">
        <v>326</v>
      </c>
      <c r="P5" s="3">
        <v>21</v>
      </c>
      <c r="Q5" s="3">
        <v>305</v>
      </c>
    </row>
    <row r="6" spans="1:17" ht="15" customHeight="1" x14ac:dyDescent="0.25">
      <c r="B6" s="2">
        <v>42795</v>
      </c>
      <c r="C6" s="4">
        <v>25652025</v>
      </c>
      <c r="D6" s="4">
        <v>212013</v>
      </c>
      <c r="E6" s="4">
        <v>25440013</v>
      </c>
      <c r="F6" s="3">
        <v>362</v>
      </c>
      <c r="G6" s="3">
        <v>2</v>
      </c>
      <c r="H6" s="3">
        <v>360</v>
      </c>
      <c r="K6" s="2">
        <v>43160</v>
      </c>
      <c r="L6" s="4">
        <v>16894588</v>
      </c>
      <c r="M6" s="4">
        <v>2111025</v>
      </c>
      <c r="N6" s="4">
        <v>14783563</v>
      </c>
      <c r="O6" s="3">
        <v>163</v>
      </c>
      <c r="P6" s="3">
        <v>19</v>
      </c>
      <c r="Q6" s="3">
        <v>144</v>
      </c>
    </row>
    <row r="7" spans="1:17" ht="15" customHeight="1" x14ac:dyDescent="0.25">
      <c r="B7" s="30"/>
      <c r="C7" s="4">
        <f>SUBTOTAL(109,Table34[Nilai Jual])</f>
        <v>40134150</v>
      </c>
      <c r="D7" s="4">
        <f>SUBTOTAL(109,Table34[Nilai Retur])</f>
        <v>1020514</v>
      </c>
      <c r="E7" s="4">
        <f>SUBTOTAL(109,Table34[Jual Net])</f>
        <v>39113639</v>
      </c>
      <c r="F7" s="4">
        <f>SUBTOTAL(109,Table34[Jumlah Jual])</f>
        <v>521</v>
      </c>
      <c r="G7" s="4">
        <f>SUBTOTAL(109,Table34[Jumlah Retur])</f>
        <v>11</v>
      </c>
      <c r="H7" s="4">
        <f>SUBTOTAL(109,Table34[Jual Net2])</f>
        <v>510</v>
      </c>
      <c r="K7" s="30"/>
      <c r="L7" s="4">
        <f>SUBTOTAL(109,Table35[Nilai Jual])</f>
        <v>110523001</v>
      </c>
      <c r="M7" s="4">
        <f>SUBTOTAL(109,Table35[Nilai Retur])</f>
        <v>8333500</v>
      </c>
      <c r="N7" s="4">
        <f>SUBTOTAL(109,Table35[Jual Net])</f>
        <v>102189501</v>
      </c>
      <c r="O7" s="4">
        <f>SUBTOTAL(109,Table35[Jumlah Jual])</f>
        <v>1093</v>
      </c>
      <c r="P7" s="4">
        <f>SUBTOTAL(109,Table35[Jumlah Retur])</f>
        <v>75</v>
      </c>
      <c r="Q7" s="4">
        <f>SUBTOTAL(109,Table35[Jual Net2])</f>
        <v>1018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3.71093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28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10870913</v>
      </c>
      <c r="D4" s="4">
        <v>3240738</v>
      </c>
      <c r="E4" s="4">
        <v>7630175</v>
      </c>
      <c r="F4" s="3">
        <v>112</v>
      </c>
      <c r="G4" s="3">
        <v>33</v>
      </c>
      <c r="H4" s="3">
        <v>79</v>
      </c>
      <c r="K4" s="2">
        <v>43101</v>
      </c>
      <c r="L4" s="4">
        <v>1865938</v>
      </c>
      <c r="M4" s="4">
        <v>322438</v>
      </c>
      <c r="N4" s="4">
        <v>1543500</v>
      </c>
      <c r="O4" s="3">
        <v>18</v>
      </c>
      <c r="P4" s="3">
        <v>3</v>
      </c>
      <c r="Q4" s="3">
        <v>15</v>
      </c>
    </row>
    <row r="5" spans="1:17" x14ac:dyDescent="0.25">
      <c r="B5" s="2">
        <v>42767</v>
      </c>
      <c r="C5" s="4">
        <v>15202600</v>
      </c>
      <c r="D5" s="4">
        <v>4216374</v>
      </c>
      <c r="E5" s="4">
        <v>10986227</v>
      </c>
      <c r="F5" s="3">
        <v>145</v>
      </c>
      <c r="G5" s="3">
        <v>19</v>
      </c>
      <c r="H5" s="3">
        <v>126</v>
      </c>
      <c r="K5" s="2">
        <v>43132</v>
      </c>
      <c r="L5" s="4">
        <v>5433050</v>
      </c>
      <c r="M5" s="4">
        <v>454913</v>
      </c>
      <c r="N5" s="4">
        <v>4978138</v>
      </c>
      <c r="O5" s="3">
        <v>52</v>
      </c>
      <c r="P5" s="3">
        <v>4</v>
      </c>
      <c r="Q5" s="3">
        <v>48</v>
      </c>
    </row>
    <row r="6" spans="1:17" x14ac:dyDescent="0.25">
      <c r="B6" s="2">
        <v>42795</v>
      </c>
      <c r="C6" s="4">
        <v>21359975</v>
      </c>
      <c r="D6" s="4">
        <v>4136475</v>
      </c>
      <c r="E6" s="4">
        <v>17223500</v>
      </c>
      <c r="F6" s="3">
        <v>214</v>
      </c>
      <c r="G6" s="3">
        <v>40</v>
      </c>
      <c r="H6" s="3">
        <v>174</v>
      </c>
      <c r="K6" s="2">
        <v>43160</v>
      </c>
      <c r="L6" s="4">
        <v>10105288</v>
      </c>
      <c r="M6" s="4">
        <v>2483425</v>
      </c>
      <c r="N6" s="4">
        <v>7621863</v>
      </c>
      <c r="O6" s="3">
        <v>88</v>
      </c>
      <c r="P6" s="3">
        <v>21</v>
      </c>
      <c r="Q6" s="3">
        <v>67</v>
      </c>
    </row>
    <row r="7" spans="1:17" x14ac:dyDescent="0.25">
      <c r="B7" s="30"/>
      <c r="C7" s="4">
        <f>SUBTOTAL(109,Table36[Nilai Jual])</f>
        <v>47433488</v>
      </c>
      <c r="D7" s="4">
        <f>SUBTOTAL(109,Table36[Nilai Retur])</f>
        <v>11593587</v>
      </c>
      <c r="E7" s="4">
        <f>SUBTOTAL(109,Table36[Jual Net])</f>
        <v>35839902</v>
      </c>
      <c r="F7" s="4">
        <f>SUBTOTAL(109,Table36[Jumlah Jual])</f>
        <v>471</v>
      </c>
      <c r="G7" s="4">
        <f>SUBTOTAL(109,Table36[Jumlah Retur])</f>
        <v>92</v>
      </c>
      <c r="H7" s="4">
        <f>SUBTOTAL(109,Table36[Jual Net2])</f>
        <v>379</v>
      </c>
      <c r="K7" s="30"/>
      <c r="L7" s="4">
        <f>SUBTOTAL(109,Table37[Nilai Jual])</f>
        <v>17404276</v>
      </c>
      <c r="M7" s="4">
        <f>SUBTOTAL(109,Table37[Nilai Retur])</f>
        <v>3260776</v>
      </c>
      <c r="N7" s="4">
        <f>SUBTOTAL(109,Table37[Jual Net])</f>
        <v>14143501</v>
      </c>
      <c r="O7" s="4">
        <f>SUBTOTAL(109,Table37[Jumlah Jual])</f>
        <v>158</v>
      </c>
      <c r="P7" s="4">
        <f>SUBTOTAL(109,Table37[Jumlah Retur])</f>
        <v>28</v>
      </c>
      <c r="Q7" s="4">
        <f>SUBTOTAL(109,Table37[Jual Net2])</f>
        <v>130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"/>
  <sheetViews>
    <sheetView workbookViewId="0">
      <selection activeCell="K19" sqref="K19"/>
    </sheetView>
  </sheetViews>
  <sheetFormatPr defaultRowHeight="15" x14ac:dyDescent="0.25"/>
  <cols>
    <col min="1" max="1" width="12" customWidth="1"/>
    <col min="3" max="3" width="10.140625" bestFit="1" customWidth="1"/>
  </cols>
  <sheetData>
    <row r="1" spans="1:8" ht="45" x14ac:dyDescent="0.25">
      <c r="A1" s="29" t="s">
        <v>29</v>
      </c>
      <c r="B1" s="52">
        <v>2017</v>
      </c>
      <c r="C1" s="52"/>
      <c r="D1" s="52"/>
      <c r="E1" s="52"/>
      <c r="F1" s="52"/>
      <c r="G1" s="52"/>
    </row>
    <row r="3" spans="1:8" x14ac:dyDescent="0.25">
      <c r="B3" s="5" t="s">
        <v>3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6</v>
      </c>
    </row>
    <row r="4" spans="1:8" x14ac:dyDescent="0.25">
      <c r="B4" s="2">
        <v>42736</v>
      </c>
      <c r="C4" s="4">
        <v>10336463</v>
      </c>
      <c r="D4" s="4">
        <v>2920575</v>
      </c>
      <c r="E4" s="4">
        <v>7415888</v>
      </c>
      <c r="F4" s="3">
        <v>104</v>
      </c>
      <c r="G4" s="3">
        <v>28</v>
      </c>
      <c r="H4" s="3">
        <v>76</v>
      </c>
    </row>
  </sheetData>
  <mergeCells count="1">
    <mergeCell ref="B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30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7665088</v>
      </c>
      <c r="D4" s="4">
        <v>303625</v>
      </c>
      <c r="E4" s="4">
        <v>7361463</v>
      </c>
      <c r="F4" s="3">
        <v>82</v>
      </c>
      <c r="G4" s="3">
        <v>3</v>
      </c>
      <c r="H4" s="3">
        <v>79</v>
      </c>
      <c r="K4" s="2">
        <v>43101</v>
      </c>
      <c r="L4" s="4">
        <v>8881338</v>
      </c>
      <c r="M4" s="4">
        <v>710763</v>
      </c>
      <c r="N4" s="4">
        <v>8170575</v>
      </c>
      <c r="O4" s="3">
        <v>85</v>
      </c>
      <c r="P4" s="3">
        <v>7</v>
      </c>
      <c r="Q4" s="3">
        <v>78</v>
      </c>
    </row>
    <row r="5" spans="1:17" ht="15" customHeight="1" x14ac:dyDescent="0.25">
      <c r="B5" s="2">
        <v>42767</v>
      </c>
      <c r="C5" s="4">
        <v>6741088</v>
      </c>
      <c r="D5" s="4">
        <v>541188</v>
      </c>
      <c r="E5" s="4">
        <v>6199900</v>
      </c>
      <c r="F5" s="3">
        <v>70</v>
      </c>
      <c r="G5" s="3">
        <v>5</v>
      </c>
      <c r="H5" s="3">
        <v>65</v>
      </c>
      <c r="K5" s="2">
        <v>43132</v>
      </c>
      <c r="L5" s="4">
        <v>17011050</v>
      </c>
      <c r="M5" s="4">
        <v>1139750</v>
      </c>
      <c r="N5" s="4">
        <v>15871300</v>
      </c>
      <c r="O5" s="3">
        <v>162</v>
      </c>
      <c r="P5" s="3">
        <v>10</v>
      </c>
      <c r="Q5" s="3">
        <v>152</v>
      </c>
    </row>
    <row r="6" spans="1:17" ht="15" customHeight="1" x14ac:dyDescent="0.25">
      <c r="B6" s="2">
        <v>42795</v>
      </c>
      <c r="C6" s="4">
        <v>10182025</v>
      </c>
      <c r="D6" s="4">
        <v>729838</v>
      </c>
      <c r="E6" s="4">
        <v>9452188</v>
      </c>
      <c r="F6" s="3">
        <v>98</v>
      </c>
      <c r="G6" s="3">
        <v>7</v>
      </c>
      <c r="H6" s="3">
        <v>91</v>
      </c>
      <c r="K6" s="2">
        <v>43160</v>
      </c>
      <c r="L6" s="4">
        <v>18144350</v>
      </c>
      <c r="M6" s="4">
        <v>1775200</v>
      </c>
      <c r="N6" s="4">
        <v>16369150</v>
      </c>
      <c r="O6" s="3">
        <v>172</v>
      </c>
      <c r="P6" s="3">
        <v>16</v>
      </c>
      <c r="Q6" s="3">
        <v>156</v>
      </c>
    </row>
    <row r="7" spans="1:17" ht="15" customHeight="1" x14ac:dyDescent="0.25">
      <c r="B7" s="30"/>
      <c r="C7" s="4">
        <f>SUBTOTAL(109,Table39[Nilai Jual])</f>
        <v>24588201</v>
      </c>
      <c r="D7" s="4">
        <f>SUBTOTAL(109,Table39[Nilai Retur])</f>
        <v>1574651</v>
      </c>
      <c r="E7" s="4">
        <f>SUBTOTAL(109,Table39[Jual Net])</f>
        <v>23013551</v>
      </c>
      <c r="F7" s="4">
        <f>SUBTOTAL(109,Table39[Jumlah Jual])</f>
        <v>250</v>
      </c>
      <c r="G7" s="4">
        <f>SUBTOTAL(109,Table39[Jumlah Retur])</f>
        <v>15</v>
      </c>
      <c r="H7" s="4">
        <f>SUBTOTAL(109,Table39[Jual Net2])</f>
        <v>235</v>
      </c>
      <c r="K7" s="30"/>
      <c r="L7" s="4">
        <f>SUBTOTAL(109,Table40[Nilai Jual])</f>
        <v>44036738</v>
      </c>
      <c r="M7" s="4">
        <f>SUBTOTAL(109,Table40[Nilai Retur])</f>
        <v>3625713</v>
      </c>
      <c r="N7" s="4">
        <f>SUBTOTAL(109,Table40[Jual Net])</f>
        <v>40411025</v>
      </c>
      <c r="O7" s="4">
        <f>SUBTOTAL(109,Table40[Jumlah Jual])</f>
        <v>419</v>
      </c>
      <c r="P7" s="4">
        <f>SUBTOTAL(109,Table40[Jumlah Retur])</f>
        <v>33</v>
      </c>
      <c r="Q7" s="4">
        <f>SUBTOTAL(109,Table40[Jual Net2])</f>
        <v>386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0.855468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31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8763213</v>
      </c>
      <c r="D4" s="4">
        <v>1996925</v>
      </c>
      <c r="E4" s="4">
        <v>6766288</v>
      </c>
      <c r="F4" s="3">
        <v>89</v>
      </c>
      <c r="G4" s="3">
        <v>24</v>
      </c>
      <c r="H4" s="3">
        <v>65</v>
      </c>
      <c r="K4" s="2">
        <v>43101</v>
      </c>
      <c r="L4" s="4">
        <v>4231325</v>
      </c>
      <c r="M4" s="4">
        <v>1063563</v>
      </c>
      <c r="N4" s="4">
        <v>3167763</v>
      </c>
      <c r="O4" s="3">
        <v>41</v>
      </c>
      <c r="P4" s="3">
        <v>6</v>
      </c>
      <c r="Q4" s="3">
        <v>35</v>
      </c>
    </row>
    <row r="5" spans="1:17" x14ac:dyDescent="0.25">
      <c r="B5" s="2">
        <v>42767</v>
      </c>
      <c r="C5" s="4">
        <v>24105638</v>
      </c>
      <c r="D5" s="4">
        <v>5990682</v>
      </c>
      <c r="E5" s="4">
        <v>18114956</v>
      </c>
      <c r="F5" s="3">
        <v>217</v>
      </c>
      <c r="G5" s="3">
        <v>40</v>
      </c>
      <c r="H5" s="3">
        <v>177</v>
      </c>
      <c r="K5" s="2">
        <v>43132</v>
      </c>
      <c r="L5" s="4">
        <v>18168063</v>
      </c>
      <c r="M5" s="4">
        <v>676638</v>
      </c>
      <c r="N5" s="4">
        <v>17491425</v>
      </c>
      <c r="O5" s="3">
        <v>166</v>
      </c>
      <c r="P5" s="3">
        <v>7</v>
      </c>
      <c r="Q5" s="3">
        <v>159</v>
      </c>
    </row>
    <row r="6" spans="1:17" x14ac:dyDescent="0.25">
      <c r="B6" s="2">
        <v>42795</v>
      </c>
      <c r="C6" s="4">
        <v>58634975</v>
      </c>
      <c r="D6" s="4">
        <v>10250100</v>
      </c>
      <c r="E6" s="4">
        <v>48384875</v>
      </c>
      <c r="F6" s="3">
        <v>534</v>
      </c>
      <c r="G6" s="3">
        <v>92</v>
      </c>
      <c r="H6" s="3">
        <v>442</v>
      </c>
      <c r="K6" s="2">
        <v>43160</v>
      </c>
      <c r="L6" s="4">
        <v>67412888</v>
      </c>
      <c r="M6" s="4">
        <v>12475400</v>
      </c>
      <c r="N6" s="4">
        <v>54937488</v>
      </c>
      <c r="O6" s="3">
        <v>610</v>
      </c>
      <c r="P6" s="3">
        <v>112</v>
      </c>
      <c r="Q6" s="3">
        <v>498</v>
      </c>
    </row>
    <row r="7" spans="1:17" x14ac:dyDescent="0.25">
      <c r="B7" s="30"/>
      <c r="C7" s="4">
        <f>SUBTOTAL(109,Table41[Nilai Jual])</f>
        <v>91503826</v>
      </c>
      <c r="D7" s="4">
        <f>SUBTOTAL(109,Table41[Nilai Retur])</f>
        <v>18237707</v>
      </c>
      <c r="E7" s="4">
        <f>SUBTOTAL(109,Table41[Jual Net])</f>
        <v>73266119</v>
      </c>
      <c r="F7" s="4">
        <f>SUBTOTAL(109,Table41[Jumlah Jual])</f>
        <v>840</v>
      </c>
      <c r="G7" s="4">
        <f>SUBTOTAL(109,Table41[Jumlah Retur])</f>
        <v>156</v>
      </c>
      <c r="H7" s="4">
        <f>SUBTOTAL(109,Table41[Jual Net2])</f>
        <v>684</v>
      </c>
      <c r="K7" s="30"/>
      <c r="L7" s="4">
        <f>SUBTOTAL(109,Table43[Nilai Jual])</f>
        <v>89812276</v>
      </c>
      <c r="M7" s="4">
        <f>SUBTOTAL(109,Table43[Nilai Retur])</f>
        <v>14215601</v>
      </c>
      <c r="N7" s="4">
        <f>SUBTOTAL(109,Table43[Jual Net])</f>
        <v>75596676</v>
      </c>
      <c r="O7" s="4">
        <f>SUBTOTAL(109,Table43[Jumlah Jual])</f>
        <v>817</v>
      </c>
      <c r="P7" s="4">
        <f>SUBTOTAL(109,Table43[Jumlah Retur])</f>
        <v>125</v>
      </c>
      <c r="Q7" s="4">
        <f>SUBTOTAL(109,Table43[Jual Net2])</f>
        <v>692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2.1406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32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7707875</v>
      </c>
      <c r="D4" s="4">
        <v>1706863</v>
      </c>
      <c r="E4" s="4">
        <v>6001013</v>
      </c>
      <c r="F4" s="3">
        <v>78</v>
      </c>
      <c r="G4" s="3">
        <v>30</v>
      </c>
      <c r="H4" s="3">
        <v>48</v>
      </c>
      <c r="K4" s="2">
        <v>43101</v>
      </c>
      <c r="L4" s="4">
        <v>3721813</v>
      </c>
      <c r="M4" s="4">
        <v>1027950</v>
      </c>
      <c r="N4" s="4">
        <v>2693863</v>
      </c>
      <c r="O4" s="3">
        <v>39</v>
      </c>
      <c r="P4" s="3">
        <v>11</v>
      </c>
      <c r="Q4" s="3">
        <v>28</v>
      </c>
    </row>
    <row r="5" spans="1:17" x14ac:dyDescent="0.25">
      <c r="B5" s="2">
        <v>42767</v>
      </c>
      <c r="C5" s="4">
        <v>18960988</v>
      </c>
      <c r="D5" s="4">
        <v>3541125</v>
      </c>
      <c r="E5" s="4">
        <v>15419863</v>
      </c>
      <c r="F5" s="3">
        <v>187</v>
      </c>
      <c r="G5" s="3">
        <v>39</v>
      </c>
      <c r="H5" s="3">
        <v>148</v>
      </c>
      <c r="K5" s="2">
        <v>43132</v>
      </c>
      <c r="L5" s="4">
        <v>3089713</v>
      </c>
      <c r="M5" s="4">
        <v>579425</v>
      </c>
      <c r="N5" s="4">
        <v>2510288</v>
      </c>
      <c r="O5" s="3">
        <v>25</v>
      </c>
      <c r="P5" s="3">
        <v>8</v>
      </c>
      <c r="Q5" s="3">
        <v>17</v>
      </c>
    </row>
    <row r="6" spans="1:17" x14ac:dyDescent="0.25">
      <c r="B6" s="2">
        <v>42795</v>
      </c>
      <c r="C6" s="4">
        <v>44765175</v>
      </c>
      <c r="D6" s="4">
        <v>7233100</v>
      </c>
      <c r="E6" s="4">
        <v>37532075</v>
      </c>
      <c r="F6" s="3">
        <v>425</v>
      </c>
      <c r="G6" s="3">
        <v>87</v>
      </c>
      <c r="H6" s="3">
        <v>338</v>
      </c>
      <c r="K6" s="2">
        <v>43160</v>
      </c>
      <c r="L6" s="4">
        <v>14647938</v>
      </c>
      <c r="M6" s="4">
        <v>2265975</v>
      </c>
      <c r="N6" s="4">
        <v>12381963</v>
      </c>
      <c r="O6" s="3">
        <v>132</v>
      </c>
      <c r="P6" s="3">
        <v>21</v>
      </c>
      <c r="Q6" s="3">
        <v>111</v>
      </c>
    </row>
    <row r="7" spans="1:17" x14ac:dyDescent="0.25">
      <c r="B7" s="30"/>
      <c r="C7" s="4">
        <f>SUBTOTAL(109,Table44[Nilai Jual])</f>
        <v>71434038</v>
      </c>
      <c r="D7" s="4">
        <f>SUBTOTAL(109,Table44[Nilai Retur])</f>
        <v>12481088</v>
      </c>
      <c r="E7" s="4">
        <f>SUBTOTAL(109,Table44[Jual Net])</f>
        <v>58952951</v>
      </c>
      <c r="F7" s="4">
        <f>SUBTOTAL(109,Table44[Jumlah Jual])</f>
        <v>690</v>
      </c>
      <c r="G7" s="4">
        <f>SUBTOTAL(109,Table44[Jumlah Retur])</f>
        <v>156</v>
      </c>
      <c r="H7" s="4">
        <f>SUBTOTAL(109,Table44[Jual Net2])</f>
        <v>534</v>
      </c>
      <c r="K7" s="30"/>
      <c r="L7" s="4">
        <f>SUBTOTAL(109,Table45[Nilai Jual])</f>
        <v>21459464</v>
      </c>
      <c r="M7" s="4">
        <f>SUBTOTAL(109,Table45[Nilai Retur])</f>
        <v>3873350</v>
      </c>
      <c r="N7" s="4">
        <f>SUBTOTAL(109,Table45[Jual Net])</f>
        <v>17586114</v>
      </c>
      <c r="O7" s="4">
        <f>SUBTOTAL(109,Table45[Jumlah Jual])</f>
        <v>196</v>
      </c>
      <c r="P7" s="4">
        <f>SUBTOTAL(109,Table45[Jumlah Retur])</f>
        <v>40</v>
      </c>
      <c r="Q7" s="4">
        <f>SUBTOTAL(109,Table45[Jual Net2])</f>
        <v>156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7" sqref="K17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</cols>
  <sheetData>
    <row r="1" spans="1:8" ht="30" x14ac:dyDescent="0.25">
      <c r="A1" s="29" t="s">
        <v>33</v>
      </c>
      <c r="B1" s="52">
        <v>2017</v>
      </c>
      <c r="C1" s="52"/>
      <c r="D1" s="52"/>
      <c r="E1" s="52"/>
      <c r="F1" s="52"/>
      <c r="G1" s="52"/>
      <c r="H1" s="52"/>
    </row>
    <row r="3" spans="1:8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</row>
    <row r="4" spans="1:8" x14ac:dyDescent="0.25">
      <c r="B4" s="2">
        <v>42736</v>
      </c>
      <c r="C4" s="4">
        <v>7570588</v>
      </c>
      <c r="D4" s="4">
        <v>1740988</v>
      </c>
      <c r="E4" s="4">
        <v>5829600</v>
      </c>
      <c r="F4" s="3">
        <v>73</v>
      </c>
      <c r="G4" s="3">
        <v>17</v>
      </c>
      <c r="H4" s="3">
        <v>56</v>
      </c>
    </row>
    <row r="5" spans="1:8" x14ac:dyDescent="0.25">
      <c r="B5" s="2">
        <v>42767</v>
      </c>
      <c r="C5" s="4">
        <v>19140800</v>
      </c>
      <c r="D5" s="4">
        <v>3000288</v>
      </c>
      <c r="E5" s="4">
        <v>16140513</v>
      </c>
      <c r="F5" s="3">
        <v>178</v>
      </c>
      <c r="G5" s="3">
        <v>28</v>
      </c>
      <c r="H5" s="3">
        <v>150</v>
      </c>
    </row>
    <row r="6" spans="1:8" x14ac:dyDescent="0.25">
      <c r="B6" s="2">
        <v>42795</v>
      </c>
      <c r="C6" s="4">
        <v>28021525</v>
      </c>
      <c r="D6" s="4">
        <v>7889525</v>
      </c>
      <c r="E6" s="4">
        <v>20132000</v>
      </c>
      <c r="F6" s="3">
        <v>271</v>
      </c>
      <c r="G6" s="3">
        <v>76</v>
      </c>
      <c r="H6" s="3">
        <v>195</v>
      </c>
    </row>
  </sheetData>
  <mergeCells count="1">
    <mergeCell ref="B1:H1"/>
  </mergeCells>
  <pageMargins left="0.7" right="0.7" top="0.75" bottom="0.75" header="0.3" footer="0.3"/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Q16" sqref="Q1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28" t="s">
        <v>34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5935300</v>
      </c>
      <c r="D4" s="4">
        <v>522200</v>
      </c>
      <c r="E4" s="4">
        <v>5413100</v>
      </c>
      <c r="F4" s="3">
        <v>65</v>
      </c>
      <c r="G4" s="3">
        <v>5</v>
      </c>
      <c r="H4" s="3">
        <v>60</v>
      </c>
      <c r="K4" s="2">
        <v>43101</v>
      </c>
      <c r="L4" s="4">
        <v>7072188</v>
      </c>
      <c r="M4" s="4">
        <v>220063</v>
      </c>
      <c r="N4" s="4">
        <v>6852125</v>
      </c>
      <c r="O4" s="3">
        <v>70</v>
      </c>
      <c r="P4" s="3">
        <v>2</v>
      </c>
      <c r="Q4" s="3">
        <v>68</v>
      </c>
    </row>
    <row r="5" spans="1:17" x14ac:dyDescent="0.25">
      <c r="B5" s="2">
        <v>42767</v>
      </c>
      <c r="C5" s="4">
        <v>11766913</v>
      </c>
      <c r="D5" s="3">
        <v>0</v>
      </c>
      <c r="E5" s="4">
        <v>11766913</v>
      </c>
      <c r="F5" s="3">
        <v>123</v>
      </c>
      <c r="G5" s="3">
        <v>0</v>
      </c>
      <c r="H5" s="3">
        <v>123</v>
      </c>
      <c r="K5" s="2">
        <v>43132</v>
      </c>
      <c r="L5" s="4">
        <v>3878263</v>
      </c>
      <c r="M5" s="4">
        <v>214463</v>
      </c>
      <c r="N5" s="4">
        <v>3663800</v>
      </c>
      <c r="O5" s="3">
        <v>39</v>
      </c>
      <c r="P5" s="3">
        <v>2</v>
      </c>
      <c r="Q5" s="3">
        <v>37</v>
      </c>
    </row>
    <row r="6" spans="1:17" x14ac:dyDescent="0.25">
      <c r="B6" s="2">
        <v>42795</v>
      </c>
      <c r="C6" s="4">
        <v>11307188</v>
      </c>
      <c r="D6" s="4">
        <v>342300</v>
      </c>
      <c r="E6" s="4">
        <v>10964888</v>
      </c>
      <c r="F6" s="3">
        <v>111</v>
      </c>
      <c r="G6" s="3">
        <v>3</v>
      </c>
      <c r="H6" s="3">
        <v>108</v>
      </c>
      <c r="K6" s="2">
        <v>43160</v>
      </c>
      <c r="L6" s="4">
        <v>5470238</v>
      </c>
      <c r="M6" s="4">
        <v>322175</v>
      </c>
      <c r="N6" s="4">
        <v>5148063</v>
      </c>
      <c r="O6" s="3">
        <v>50</v>
      </c>
      <c r="P6" s="3">
        <v>3</v>
      </c>
      <c r="Q6" s="3">
        <v>47</v>
      </c>
    </row>
    <row r="7" spans="1:17" x14ac:dyDescent="0.25">
      <c r="B7" s="30"/>
      <c r="C7" s="4">
        <f>SUBTOTAL(109,Table47[Nilai Jual])</f>
        <v>29009401</v>
      </c>
      <c r="D7" s="4">
        <f>SUBTOTAL(109,Table47[Nilai Retur])</f>
        <v>864500</v>
      </c>
      <c r="E7" s="4">
        <f>SUBTOTAL(109,Table47[Jual Net])</f>
        <v>28144901</v>
      </c>
      <c r="F7" s="4">
        <f>SUBTOTAL(109,Table47[Jumlah Jual])</f>
        <v>299</v>
      </c>
      <c r="G7" s="4">
        <f>SUBTOTAL(109,Table47[Jumlah Retur])</f>
        <v>8</v>
      </c>
      <c r="H7" s="4">
        <f>SUBTOTAL(109,Table47[Jual Net2])</f>
        <v>291</v>
      </c>
      <c r="K7" s="30"/>
      <c r="L7" s="4">
        <f>SUBTOTAL(109,Table48[Nilai Jual])</f>
        <v>16420689</v>
      </c>
      <c r="M7" s="4">
        <f>SUBTOTAL(109,Table48[Nilai Retur])</f>
        <v>756701</v>
      </c>
      <c r="N7" s="4">
        <f>SUBTOTAL(109,Table48[Jual Net])</f>
        <v>15663988</v>
      </c>
      <c r="O7" s="4">
        <f>SUBTOTAL(109,Table48[Jumlah Jual])</f>
        <v>159</v>
      </c>
      <c r="P7" s="4">
        <f>SUBTOTAL(109,Table48[Jumlah Retur])</f>
        <v>7</v>
      </c>
      <c r="Q7" s="4">
        <f>SUBTOTAL(109,Table48[Jual Net2])</f>
        <v>152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18" t="s">
        <v>35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5343188</v>
      </c>
      <c r="D4" s="4">
        <v>18000</v>
      </c>
      <c r="E4" s="4">
        <v>5325188</v>
      </c>
      <c r="F4" s="3">
        <v>55</v>
      </c>
      <c r="G4" s="3">
        <v>0</v>
      </c>
      <c r="H4" s="3">
        <v>55</v>
      </c>
      <c r="K4" s="2">
        <v>43101</v>
      </c>
      <c r="L4" s="4">
        <v>10666338</v>
      </c>
      <c r="M4" s="4">
        <v>1865713</v>
      </c>
      <c r="N4" s="4">
        <v>8800625</v>
      </c>
      <c r="O4" s="3">
        <v>107</v>
      </c>
      <c r="P4" s="3">
        <v>14</v>
      </c>
      <c r="Q4" s="3">
        <v>93</v>
      </c>
    </row>
    <row r="5" spans="1:17" ht="15" customHeight="1" x14ac:dyDescent="0.25">
      <c r="B5" s="2">
        <v>42767</v>
      </c>
      <c r="C5" s="4">
        <v>6728313</v>
      </c>
      <c r="D5" s="4">
        <v>524300</v>
      </c>
      <c r="E5" s="4">
        <v>6204013</v>
      </c>
      <c r="F5" s="3">
        <v>66</v>
      </c>
      <c r="G5" s="3">
        <v>5</v>
      </c>
      <c r="H5" s="3">
        <v>61</v>
      </c>
      <c r="K5" s="2">
        <v>43132</v>
      </c>
      <c r="L5" s="4">
        <v>8857363</v>
      </c>
      <c r="M5" s="4">
        <v>-2000</v>
      </c>
      <c r="N5" s="4">
        <v>8859363</v>
      </c>
      <c r="O5" s="3">
        <v>81</v>
      </c>
      <c r="P5" s="3">
        <v>0</v>
      </c>
      <c r="Q5" s="3">
        <v>81</v>
      </c>
    </row>
    <row r="6" spans="1:17" ht="15" customHeight="1" x14ac:dyDescent="0.25">
      <c r="B6" s="2">
        <v>42795</v>
      </c>
      <c r="C6" s="4">
        <v>6343313</v>
      </c>
      <c r="D6" s="4">
        <v>1271613</v>
      </c>
      <c r="E6" s="4">
        <v>5071700</v>
      </c>
      <c r="F6" s="3">
        <v>58</v>
      </c>
      <c r="G6" s="3">
        <v>10</v>
      </c>
      <c r="H6" s="3">
        <v>48</v>
      </c>
      <c r="K6" s="2">
        <v>43160</v>
      </c>
      <c r="L6" s="4">
        <v>10441025</v>
      </c>
      <c r="M6" s="4">
        <v>398825</v>
      </c>
      <c r="N6" s="4">
        <v>10042200</v>
      </c>
      <c r="O6" s="3">
        <v>94</v>
      </c>
      <c r="P6" s="3">
        <v>3</v>
      </c>
      <c r="Q6" s="3">
        <v>91</v>
      </c>
    </row>
    <row r="7" spans="1:17" ht="15" customHeight="1" x14ac:dyDescent="0.25">
      <c r="B7" s="30"/>
      <c r="C7" s="4">
        <f>SUBTOTAL(109,Table49[Nilai Jual])</f>
        <v>18414814</v>
      </c>
      <c r="D7" s="4">
        <f>SUBTOTAL(109,Table49[Nilai Retur])</f>
        <v>1813913</v>
      </c>
      <c r="E7" s="4">
        <f>SUBTOTAL(109,Table49[Jual Net])</f>
        <v>16600901</v>
      </c>
      <c r="F7" s="4">
        <f>SUBTOTAL(109,Table49[Jumlah Jual])</f>
        <v>179</v>
      </c>
      <c r="G7" s="4">
        <f>SUBTOTAL(109,Table49[Jumlah Retur])</f>
        <v>15</v>
      </c>
      <c r="H7" s="4">
        <f>SUBTOTAL(109,Table49[Jual Net2])</f>
        <v>164</v>
      </c>
      <c r="K7" s="30"/>
      <c r="L7" s="4">
        <f>SUBTOTAL(109,Table50[Nilai Jual])</f>
        <v>29964726</v>
      </c>
      <c r="M7" s="4">
        <f>SUBTOTAL(109,Table50[Nilai Retur])</f>
        <v>2262538</v>
      </c>
      <c r="N7" s="4">
        <f>SUBTOTAL(109,Table50[Jual Net])</f>
        <v>27702188</v>
      </c>
      <c r="O7" s="4">
        <f>SUBTOTAL(109,Table50[Jumlah Jual])</f>
        <v>282</v>
      </c>
      <c r="P7" s="4">
        <f>SUBTOTAL(109,Table50[Jumlah Retur])</f>
        <v>17</v>
      </c>
      <c r="Q7" s="4">
        <f>SUBTOTAL(109,Table50[Jual Net2])</f>
        <v>265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0.855468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45" x14ac:dyDescent="0.25">
      <c r="A1" s="28" t="s">
        <v>36</v>
      </c>
      <c r="B1" s="52">
        <v>2017</v>
      </c>
      <c r="C1" s="52"/>
      <c r="D1" s="52"/>
      <c r="E1" s="52"/>
      <c r="F1" s="52"/>
      <c r="G1" s="52"/>
      <c r="H1" s="52"/>
      <c r="K1" s="53">
        <v>2018</v>
      </c>
      <c r="L1" s="53"/>
      <c r="M1" s="53"/>
      <c r="N1" s="53"/>
      <c r="O1" s="53"/>
      <c r="P1" s="53"/>
      <c r="Q1" s="53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5567538</v>
      </c>
      <c r="D4" s="4">
        <v>308875</v>
      </c>
      <c r="E4" s="4">
        <v>5258663</v>
      </c>
      <c r="F4" s="3">
        <v>55</v>
      </c>
      <c r="G4" s="3">
        <v>3</v>
      </c>
      <c r="H4" s="3">
        <v>52</v>
      </c>
      <c r="K4" s="2">
        <v>43101</v>
      </c>
      <c r="L4" s="4">
        <v>11663400</v>
      </c>
      <c r="M4" s="4">
        <v>875088</v>
      </c>
      <c r="N4" s="4">
        <v>10788313</v>
      </c>
      <c r="O4" s="3">
        <v>102</v>
      </c>
      <c r="P4" s="3">
        <v>8</v>
      </c>
      <c r="Q4" s="3">
        <v>94</v>
      </c>
    </row>
    <row r="5" spans="1:17" ht="15" customHeight="1" x14ac:dyDescent="0.25">
      <c r="B5" s="2">
        <v>42767</v>
      </c>
      <c r="C5" s="4">
        <v>8262188</v>
      </c>
      <c r="D5" s="4">
        <v>794938</v>
      </c>
      <c r="E5" s="4">
        <v>7467250</v>
      </c>
      <c r="F5" s="3">
        <v>77</v>
      </c>
      <c r="G5" s="3">
        <v>7</v>
      </c>
      <c r="H5" s="3">
        <v>70</v>
      </c>
      <c r="K5" s="2">
        <v>43132</v>
      </c>
      <c r="L5" s="4">
        <v>15793838</v>
      </c>
      <c r="M5" s="4">
        <v>429975</v>
      </c>
      <c r="N5" s="4">
        <v>15363863</v>
      </c>
      <c r="O5" s="3">
        <v>137</v>
      </c>
      <c r="P5" s="3">
        <v>3</v>
      </c>
      <c r="Q5" s="3">
        <v>134</v>
      </c>
    </row>
    <row r="6" spans="1:17" ht="15" customHeight="1" x14ac:dyDescent="0.25">
      <c r="B6" s="2">
        <v>42795</v>
      </c>
      <c r="C6" s="4">
        <v>16824675</v>
      </c>
      <c r="D6" s="4">
        <v>1037788</v>
      </c>
      <c r="E6" s="4">
        <v>15786888</v>
      </c>
      <c r="F6" s="3">
        <v>156</v>
      </c>
      <c r="G6" s="3">
        <v>10</v>
      </c>
      <c r="H6" s="3">
        <v>146</v>
      </c>
      <c r="K6" s="2">
        <v>43160</v>
      </c>
      <c r="L6" s="4">
        <v>37774713</v>
      </c>
      <c r="M6" s="4">
        <v>2279550</v>
      </c>
      <c r="N6" s="4">
        <v>35495163</v>
      </c>
      <c r="O6" s="3">
        <v>302</v>
      </c>
      <c r="P6" s="3">
        <v>17</v>
      </c>
      <c r="Q6" s="3">
        <v>285</v>
      </c>
    </row>
    <row r="7" spans="1:17" ht="15" customHeight="1" x14ac:dyDescent="0.25">
      <c r="B7" s="30"/>
      <c r="C7" s="4">
        <f>SUBTOTAL(109,Table51[Nilai Jual])</f>
        <v>30654401</v>
      </c>
      <c r="D7" s="4">
        <f>SUBTOTAL(109,Table51[Nilai Retur])</f>
        <v>2141601</v>
      </c>
      <c r="E7" s="4">
        <f>SUBTOTAL(109,Table51[Jual Net])</f>
        <v>28512801</v>
      </c>
      <c r="F7" s="4">
        <f>SUBTOTAL(109,Table51[Jumlah Jual])</f>
        <v>288</v>
      </c>
      <c r="G7" s="4">
        <f>SUBTOTAL(109,Table51[Jumlah Retur])</f>
        <v>20</v>
      </c>
      <c r="H7" s="4">
        <f>SUBTOTAL(109,Table51[Jual Net2])</f>
        <v>268</v>
      </c>
      <c r="K7" s="30"/>
      <c r="L7" s="4">
        <f>SUBTOTAL(109,Table52[Nilai Jual])</f>
        <v>65231951</v>
      </c>
      <c r="M7" s="4">
        <f>SUBTOTAL(109,Table52[Nilai Retur])</f>
        <v>3584613</v>
      </c>
      <c r="N7" s="4">
        <f>SUBTOTAL(109,Table52[Jual Net])</f>
        <v>61647339</v>
      </c>
      <c r="O7" s="4">
        <f>SUBTOTAL(109,Table52[Jumlah Jual])</f>
        <v>541</v>
      </c>
      <c r="P7" s="4">
        <f>SUBTOTAL(109,Table52[Jumlah Retur])</f>
        <v>28</v>
      </c>
      <c r="Q7" s="4">
        <f>SUBTOTAL(109,Table52[Jual Net2])</f>
        <v>513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9.85546875" bestFit="1" customWidth="1"/>
    <col min="2" max="2" width="12.5703125" bestFit="1" customWidth="1"/>
    <col min="3" max="3" width="13.5703125" bestFit="1" customWidth="1"/>
    <col min="4" max="4" width="15" bestFit="1" customWidth="1"/>
    <col min="5" max="5" width="12.7109375" bestFit="1" customWidth="1"/>
    <col min="6" max="6" width="15.7109375" bestFit="1" customWidth="1"/>
    <col min="7" max="7" width="17.140625" bestFit="1" customWidth="1"/>
    <col min="8" max="8" width="13.7109375" bestFit="1" customWidth="1"/>
    <col min="9" max="9" width="8.140625" bestFit="1" customWidth="1"/>
    <col min="10" max="10" width="9.140625" style="11"/>
    <col min="11" max="11" width="12.5703125" bestFit="1" customWidth="1"/>
    <col min="12" max="12" width="13.5703125" bestFit="1" customWidth="1"/>
    <col min="13" max="13" width="15" bestFit="1" customWidth="1"/>
    <col min="14" max="14" width="12.7109375" bestFit="1" customWidth="1"/>
    <col min="15" max="15" width="15.7109375" bestFit="1" customWidth="1"/>
    <col min="16" max="16" width="17.140625" bestFit="1" customWidth="1"/>
    <col min="17" max="17" width="13.7109375" bestFit="1" customWidth="1"/>
  </cols>
  <sheetData>
    <row r="1" spans="1:17" x14ac:dyDescent="0.25">
      <c r="A1" s="18" t="s">
        <v>0</v>
      </c>
      <c r="B1" s="52">
        <v>2017</v>
      </c>
      <c r="C1" s="52"/>
      <c r="D1" s="52"/>
      <c r="E1" s="52"/>
      <c r="F1" s="52"/>
      <c r="G1" s="52"/>
      <c r="H1" s="52"/>
      <c r="I1" s="19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22" t="s">
        <v>9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4" t="s">
        <v>11</v>
      </c>
      <c r="J3" s="12"/>
      <c r="K3" s="22" t="s">
        <v>9</v>
      </c>
      <c r="L3" s="23" t="s">
        <v>4</v>
      </c>
      <c r="M3" s="23" t="s">
        <v>5</v>
      </c>
      <c r="N3" s="23" t="s">
        <v>6</v>
      </c>
      <c r="O3" s="23" t="s">
        <v>7</v>
      </c>
      <c r="P3" s="23" t="s">
        <v>8</v>
      </c>
      <c r="Q3" s="24" t="s">
        <v>11</v>
      </c>
    </row>
    <row r="4" spans="1:17" ht="15" customHeight="1" x14ac:dyDescent="0.25">
      <c r="B4" s="10">
        <v>42736</v>
      </c>
      <c r="C4" s="8">
        <v>46548688</v>
      </c>
      <c r="D4" s="8">
        <v>9329075</v>
      </c>
      <c r="E4" s="8">
        <v>37219613</v>
      </c>
      <c r="F4" s="7">
        <v>439</v>
      </c>
      <c r="G4" s="7">
        <v>67</v>
      </c>
      <c r="H4" s="9">
        <v>372</v>
      </c>
      <c r="J4" s="13"/>
      <c r="K4" s="10">
        <v>43101</v>
      </c>
      <c r="L4" s="8">
        <v>26641563</v>
      </c>
      <c r="M4" s="8">
        <v>2324000</v>
      </c>
      <c r="N4" s="8">
        <v>24317563</v>
      </c>
      <c r="O4" s="7">
        <v>245</v>
      </c>
      <c r="P4" s="7">
        <v>20</v>
      </c>
      <c r="Q4" s="9">
        <v>225</v>
      </c>
    </row>
    <row r="5" spans="1:17" ht="15" customHeight="1" x14ac:dyDescent="0.25">
      <c r="B5" s="10">
        <v>42767</v>
      </c>
      <c r="C5" s="8">
        <v>67877600</v>
      </c>
      <c r="D5" s="8">
        <v>9286688</v>
      </c>
      <c r="E5" s="8">
        <v>58590913</v>
      </c>
      <c r="F5" s="7">
        <v>648</v>
      </c>
      <c r="G5" s="7">
        <v>83</v>
      </c>
      <c r="H5" s="9">
        <v>565</v>
      </c>
      <c r="J5" s="13"/>
      <c r="K5" s="10">
        <v>43132</v>
      </c>
      <c r="L5" s="8">
        <v>57203475</v>
      </c>
      <c r="M5" s="8">
        <v>5999525</v>
      </c>
      <c r="N5" s="8">
        <v>51203950</v>
      </c>
      <c r="O5" s="7">
        <v>560</v>
      </c>
      <c r="P5" s="7">
        <v>58</v>
      </c>
      <c r="Q5" s="9">
        <v>502</v>
      </c>
    </row>
    <row r="6" spans="1:17" ht="15" customHeight="1" x14ac:dyDescent="0.25">
      <c r="B6" s="25">
        <v>42795</v>
      </c>
      <c r="C6" s="16">
        <v>98514850</v>
      </c>
      <c r="D6" s="16">
        <v>16662013</v>
      </c>
      <c r="E6" s="16">
        <v>81852838</v>
      </c>
      <c r="F6" s="26">
        <v>942</v>
      </c>
      <c r="G6" s="26">
        <v>169</v>
      </c>
      <c r="H6" s="27">
        <v>773</v>
      </c>
      <c r="J6" s="13"/>
      <c r="K6" s="25">
        <v>43160</v>
      </c>
      <c r="L6" s="4">
        <v>57623300</v>
      </c>
      <c r="M6" s="4">
        <v>6706000</v>
      </c>
      <c r="N6" s="4">
        <v>50917300</v>
      </c>
      <c r="O6" s="26">
        <v>560</v>
      </c>
      <c r="P6" s="3">
        <v>63</v>
      </c>
      <c r="Q6" s="3">
        <v>497</v>
      </c>
    </row>
    <row r="7" spans="1:17" ht="15" customHeight="1" x14ac:dyDescent="0.25">
      <c r="B7" s="31"/>
      <c r="C7" s="16">
        <f>SUBTOTAL(109,Table1[Nilai Jual])</f>
        <v>212941138</v>
      </c>
      <c r="D7" s="16">
        <f>SUBTOTAL(109,Table1[Nilai Retur])</f>
        <v>35277776</v>
      </c>
      <c r="E7" s="16">
        <f>SUBTOTAL(109,Table1[Jual Net])</f>
        <v>177663364</v>
      </c>
      <c r="F7" s="16">
        <f>SUBTOTAL(109,Table1[Jumlah Jual])</f>
        <v>2029</v>
      </c>
      <c r="G7" s="16">
        <f>SUBTOTAL(109,Table1[Jumlah Retur])</f>
        <v>319</v>
      </c>
      <c r="H7" s="16">
        <f>SUBTOTAL(109,Table1[Jual Net2])</f>
        <v>1710</v>
      </c>
      <c r="J7" s="13"/>
      <c r="K7" s="31"/>
      <c r="L7" s="16">
        <f>SUBTOTAL(109,Table2[Nilai Jual])</f>
        <v>141468338</v>
      </c>
      <c r="M7" s="16">
        <f>SUBTOTAL(109,Table2[Nilai Retur])</f>
        <v>15029525</v>
      </c>
      <c r="N7" s="16">
        <f>SUBTOTAL(109,Table2[Jual Net])</f>
        <v>126438813</v>
      </c>
      <c r="O7" s="16">
        <f>SUBTOTAL(109,Table2[Jumlah Jual])</f>
        <v>1365</v>
      </c>
      <c r="P7" s="16">
        <f>SUBTOTAL(109,Table2[Jumlah Retur])</f>
        <v>141</v>
      </c>
      <c r="Q7" s="16">
        <f>SUBTOTAL(109,Table2[Jual Net2])</f>
        <v>1224</v>
      </c>
    </row>
    <row r="8" spans="1:17" x14ac:dyDescent="0.25">
      <c r="B8" s="15"/>
      <c r="C8" s="17"/>
      <c r="D8" s="17"/>
      <c r="E8" s="17"/>
    </row>
    <row r="9" spans="1:17" x14ac:dyDescent="0.25">
      <c r="C9" s="11"/>
      <c r="D9" s="11"/>
      <c r="E9" s="11"/>
    </row>
    <row r="15" spans="1:17" x14ac:dyDescent="0.25">
      <c r="L15" s="6"/>
    </row>
  </sheetData>
  <mergeCells count="2">
    <mergeCell ref="B1:H1"/>
    <mergeCell ref="K1:Q1"/>
  </mergeCells>
  <pageMargins left="0.7" right="0.7" top="0.75" bottom="0.75" header="0.3" footer="0.3"/>
  <pageSetup paperSize="0" orientation="portrait" horizontalDpi="0" verticalDpi="0" copies="0"/>
  <drawing r:id="rId1"/>
  <tableParts count="2">
    <tablePart r:id="rId2"/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"/>
  <sheetViews>
    <sheetView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18" t="s">
        <v>37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24623288</v>
      </c>
      <c r="D4" s="4">
        <v>2825311</v>
      </c>
      <c r="E4" s="4">
        <v>21797977</v>
      </c>
      <c r="F4" s="3">
        <v>226</v>
      </c>
      <c r="G4" s="3">
        <v>42</v>
      </c>
      <c r="H4" s="3">
        <v>184</v>
      </c>
      <c r="K4" s="2">
        <v>43101</v>
      </c>
      <c r="L4" s="4">
        <v>2409925</v>
      </c>
      <c r="M4" s="4">
        <v>506538</v>
      </c>
      <c r="N4" s="4">
        <v>1903388</v>
      </c>
      <c r="O4" s="3">
        <v>24</v>
      </c>
      <c r="P4" s="3">
        <v>4</v>
      </c>
      <c r="Q4" s="3">
        <v>20</v>
      </c>
    </row>
    <row r="5" spans="1:17" x14ac:dyDescent="0.25">
      <c r="B5" s="2">
        <v>42795</v>
      </c>
      <c r="C5" s="4">
        <v>45146938</v>
      </c>
      <c r="D5" s="4">
        <v>12013417</v>
      </c>
      <c r="E5" s="4">
        <v>33133521</v>
      </c>
      <c r="F5" s="3">
        <v>423</v>
      </c>
      <c r="G5" s="3">
        <v>82</v>
      </c>
      <c r="H5" s="3">
        <v>341</v>
      </c>
      <c r="K5" s="2">
        <v>43132</v>
      </c>
      <c r="L5" s="4">
        <v>6429938</v>
      </c>
      <c r="M5" s="4">
        <v>1013150</v>
      </c>
      <c r="N5" s="4">
        <v>5416788</v>
      </c>
      <c r="O5" s="3">
        <v>67</v>
      </c>
      <c r="P5" s="3">
        <v>11</v>
      </c>
      <c r="Q5" s="3">
        <v>56</v>
      </c>
    </row>
    <row r="6" spans="1:17" x14ac:dyDescent="0.25">
      <c r="B6" s="2">
        <v>42795</v>
      </c>
      <c r="C6" s="4">
        <v>45146938</v>
      </c>
      <c r="D6" s="4">
        <v>12013417</v>
      </c>
      <c r="E6" s="4">
        <v>33133521</v>
      </c>
      <c r="F6" s="3">
        <v>423</v>
      </c>
      <c r="G6" s="3">
        <v>82</v>
      </c>
      <c r="H6" s="3">
        <v>341</v>
      </c>
      <c r="K6" s="2">
        <v>43160</v>
      </c>
      <c r="L6" s="4">
        <v>4586225</v>
      </c>
      <c r="M6" s="4">
        <v>1211000</v>
      </c>
      <c r="N6" s="4">
        <v>3375225</v>
      </c>
      <c r="O6" s="3">
        <v>46</v>
      </c>
      <c r="P6" s="3">
        <v>16</v>
      </c>
      <c r="Q6" s="3">
        <v>30</v>
      </c>
    </row>
    <row r="7" spans="1:17" x14ac:dyDescent="0.25">
      <c r="B7" s="30"/>
      <c r="C7" s="4">
        <f>SUBTOTAL(109,Table53[Nilai Jual])</f>
        <v>114917164</v>
      </c>
      <c r="D7" s="4">
        <f>SUBTOTAL(109,Table53[Nilai Retur])</f>
        <v>26852145</v>
      </c>
      <c r="E7" s="4">
        <f>SUBTOTAL(109,Table53[Jual Net])</f>
        <v>88065019</v>
      </c>
      <c r="F7" s="4">
        <f>SUBTOTAL(109,Table53[Jumlah Jual])</f>
        <v>1072</v>
      </c>
      <c r="G7" s="4">
        <f>SUBTOTAL(109,Table53[Jumlah Retur])</f>
        <v>206</v>
      </c>
      <c r="H7" s="4">
        <f>SUBTOTAL(109,Table53[Jual Net2])</f>
        <v>866</v>
      </c>
      <c r="K7" s="30"/>
      <c r="L7" s="4">
        <f>SUBTOTAL(109,Table54[Nilai Jual])</f>
        <v>13426088</v>
      </c>
      <c r="M7" s="4">
        <f>SUBTOTAL(109,Table54[Nilai Retur])</f>
        <v>2730688</v>
      </c>
      <c r="N7" s="4">
        <f>SUBTOTAL(109,Table54[Jual Net])</f>
        <v>10695401</v>
      </c>
      <c r="O7" s="4">
        <f>SUBTOTAL(109,Table54[Jumlah Jual])</f>
        <v>137</v>
      </c>
      <c r="P7" s="4">
        <f>SUBTOTAL(109,Table54[Jumlah Retur])</f>
        <v>31</v>
      </c>
      <c r="Q7" s="4">
        <f>SUBTOTAL(109,Table54[Jual Net2])</f>
        <v>106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Q16" sqref="Q16"/>
    </sheetView>
  </sheetViews>
  <sheetFormatPr defaultRowHeight="15" x14ac:dyDescent="0.25"/>
  <cols>
    <col min="1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38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3146675</v>
      </c>
      <c r="D4" s="4">
        <v>712950</v>
      </c>
      <c r="E4" s="4">
        <v>2433725</v>
      </c>
      <c r="F4" s="3">
        <v>34</v>
      </c>
      <c r="G4" s="3">
        <v>8</v>
      </c>
      <c r="H4" s="3">
        <v>26</v>
      </c>
      <c r="K4" s="2">
        <v>43101</v>
      </c>
      <c r="L4" s="4">
        <v>6872950</v>
      </c>
      <c r="M4" s="4">
        <v>1908975</v>
      </c>
      <c r="N4" s="4">
        <v>4963975</v>
      </c>
      <c r="O4" s="3">
        <v>76</v>
      </c>
      <c r="P4" s="3">
        <v>19</v>
      </c>
      <c r="Q4" s="3">
        <v>57</v>
      </c>
    </row>
    <row r="5" spans="1:17" ht="15" customHeight="1" x14ac:dyDescent="0.25">
      <c r="B5" s="2">
        <v>42767</v>
      </c>
      <c r="C5" s="4">
        <v>20210488</v>
      </c>
      <c r="D5" s="4">
        <v>921663</v>
      </c>
      <c r="E5" s="4">
        <v>19288825</v>
      </c>
      <c r="F5" s="3">
        <v>183</v>
      </c>
      <c r="G5" s="3">
        <v>8</v>
      </c>
      <c r="H5" s="3">
        <v>175</v>
      </c>
      <c r="K5" s="2">
        <v>43132</v>
      </c>
      <c r="L5" s="4">
        <v>14620463</v>
      </c>
      <c r="M5" s="4">
        <v>1478750</v>
      </c>
      <c r="N5" s="4">
        <v>13141713</v>
      </c>
      <c r="O5" s="3">
        <v>134</v>
      </c>
      <c r="P5" s="3">
        <v>15</v>
      </c>
      <c r="Q5" s="3">
        <v>119</v>
      </c>
    </row>
    <row r="6" spans="1:17" ht="15" customHeight="1" x14ac:dyDescent="0.25">
      <c r="B6" s="2">
        <v>42795</v>
      </c>
      <c r="C6" s="4">
        <v>44961613</v>
      </c>
      <c r="D6" s="4">
        <v>6261325</v>
      </c>
      <c r="E6" s="4">
        <v>38700288</v>
      </c>
      <c r="F6" s="3">
        <v>413</v>
      </c>
      <c r="G6" s="3">
        <v>52</v>
      </c>
      <c r="H6" s="3">
        <v>361</v>
      </c>
      <c r="K6" s="2">
        <v>43160</v>
      </c>
      <c r="L6" s="4">
        <v>32090363</v>
      </c>
      <c r="M6" s="4">
        <v>5673138</v>
      </c>
      <c r="N6" s="4">
        <v>26417225</v>
      </c>
      <c r="O6" s="3">
        <v>294</v>
      </c>
      <c r="P6" s="3">
        <v>50</v>
      </c>
      <c r="Q6" s="3">
        <v>244</v>
      </c>
    </row>
    <row r="7" spans="1:17" ht="15" customHeight="1" x14ac:dyDescent="0.25">
      <c r="B7" s="30"/>
      <c r="C7" s="4">
        <f>SUBTOTAL(109,Table16[Nilai Jual])</f>
        <v>68318776</v>
      </c>
      <c r="D7" s="4">
        <f>SUBTOTAL(109,Table16[Nilai Retur])</f>
        <v>7895938</v>
      </c>
      <c r="E7" s="4">
        <f>SUBTOTAL(109,Table16[Jual Net])</f>
        <v>60422838</v>
      </c>
      <c r="F7" s="4">
        <f>SUBTOTAL(109,Table16[Jumlah Jual])</f>
        <v>630</v>
      </c>
      <c r="G7" s="4">
        <f>SUBTOTAL(109,Table16[Jumlah Retur])</f>
        <v>68</v>
      </c>
      <c r="H7" s="4">
        <f>SUBTOTAL(109,Table16[Jual Net2])</f>
        <v>562</v>
      </c>
      <c r="K7" s="30"/>
      <c r="L7" s="4">
        <f>SUBTOTAL(109,Table38[Nilai Jual])</f>
        <v>53583776</v>
      </c>
      <c r="M7" s="4">
        <f>SUBTOTAL(109,Table38[Nilai Retur])</f>
        <v>9060863</v>
      </c>
      <c r="N7" s="4">
        <f>SUBTOTAL(109,Table38[Jual Net])</f>
        <v>44522913</v>
      </c>
      <c r="O7" s="4">
        <f>SUBTOTAL(109,Table38[Jumlah Jual])</f>
        <v>504</v>
      </c>
      <c r="P7" s="4">
        <f>SUBTOTAL(109,Table38[Jumlah Retur])</f>
        <v>84</v>
      </c>
      <c r="Q7" s="4">
        <f>SUBTOTAL(109,Table38[Jual Net2])</f>
        <v>420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3.1406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45" x14ac:dyDescent="0.25">
      <c r="A1" s="28" t="s">
        <v>39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2" spans="1:17" x14ac:dyDescent="0.25">
      <c r="A2" s="28"/>
      <c r="B2" s="20"/>
      <c r="C2" s="20"/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4833200</v>
      </c>
      <c r="D4" s="4">
        <v>1075600</v>
      </c>
      <c r="E4" s="4">
        <v>3757600</v>
      </c>
      <c r="F4" s="3">
        <v>47</v>
      </c>
      <c r="G4" s="3">
        <v>9</v>
      </c>
      <c r="H4" s="3">
        <v>38</v>
      </c>
      <c r="K4" s="2">
        <v>43101</v>
      </c>
      <c r="L4" s="4">
        <v>5364000</v>
      </c>
      <c r="M4" s="4">
        <v>1970000</v>
      </c>
      <c r="N4" s="4">
        <v>3394000</v>
      </c>
      <c r="O4" s="3">
        <v>49</v>
      </c>
      <c r="P4" s="3">
        <v>16</v>
      </c>
      <c r="Q4" s="3">
        <v>33</v>
      </c>
    </row>
    <row r="5" spans="1:17" ht="15" customHeight="1" x14ac:dyDescent="0.25">
      <c r="B5" s="2">
        <v>42767</v>
      </c>
      <c r="C5" s="4">
        <v>10282800</v>
      </c>
      <c r="D5" s="4">
        <v>718100</v>
      </c>
      <c r="E5" s="4">
        <v>9564700</v>
      </c>
      <c r="F5" s="3">
        <v>83</v>
      </c>
      <c r="G5" s="3">
        <v>6</v>
      </c>
      <c r="H5" s="3">
        <v>77</v>
      </c>
      <c r="K5" s="2">
        <v>43132</v>
      </c>
      <c r="L5" s="4">
        <v>4971800</v>
      </c>
      <c r="M5" s="4">
        <v>415100</v>
      </c>
      <c r="N5" s="4">
        <v>4556700</v>
      </c>
      <c r="O5" s="3">
        <v>42</v>
      </c>
      <c r="P5" s="3">
        <v>5</v>
      </c>
      <c r="Q5" s="3">
        <v>37</v>
      </c>
    </row>
    <row r="6" spans="1:17" ht="15" customHeight="1" x14ac:dyDescent="0.25">
      <c r="B6" s="2">
        <v>42795</v>
      </c>
      <c r="C6" s="4">
        <v>17309800</v>
      </c>
      <c r="D6" s="4">
        <v>3194300</v>
      </c>
      <c r="E6" s="4">
        <v>14115500</v>
      </c>
      <c r="F6" s="3">
        <v>144</v>
      </c>
      <c r="G6" s="3">
        <v>25</v>
      </c>
      <c r="H6" s="3">
        <v>119</v>
      </c>
      <c r="K6" s="2">
        <v>43160</v>
      </c>
      <c r="L6" s="4">
        <v>4598400</v>
      </c>
      <c r="M6" s="4">
        <v>814600</v>
      </c>
      <c r="N6" s="4">
        <v>3783800</v>
      </c>
      <c r="O6" s="3">
        <v>38</v>
      </c>
      <c r="P6" s="3">
        <v>11</v>
      </c>
      <c r="Q6" s="3">
        <v>27</v>
      </c>
    </row>
    <row r="7" spans="1:17" ht="15" customHeight="1" x14ac:dyDescent="0.25">
      <c r="B7" s="30"/>
      <c r="C7" s="4">
        <f>SUBTOTAL(109,Table42[Nilai Jual])</f>
        <v>32425800</v>
      </c>
      <c r="D7" s="4">
        <f>SUBTOTAL(109,Table42[Nilai Retur])</f>
        <v>4988000</v>
      </c>
      <c r="E7" s="4">
        <f>SUBTOTAL(109,Table42[Jual Net])</f>
        <v>27437800</v>
      </c>
      <c r="F7" s="4">
        <f>SUBTOTAL(109,Table42[Jumlah Jual])</f>
        <v>274</v>
      </c>
      <c r="G7" s="4">
        <f>SUBTOTAL(109,Table42[Jumlah Retur])</f>
        <v>40</v>
      </c>
      <c r="H7" s="4">
        <f>SUBTOTAL(109,Table42[Jual Net2])</f>
        <v>234</v>
      </c>
      <c r="K7" s="30"/>
      <c r="L7" s="4">
        <f>SUBTOTAL(109,Table55[Nilai Jual])</f>
        <v>14934200</v>
      </c>
      <c r="M7" s="4">
        <f>SUBTOTAL(109,Table55[Nilai Retur])</f>
        <v>3199700</v>
      </c>
      <c r="N7" s="4">
        <f>SUBTOTAL(109,Table55[Jual Net])</f>
        <v>11734500</v>
      </c>
      <c r="O7" s="4">
        <f>SUBTOTAL(109,Table55[Jumlah Jual])</f>
        <v>129</v>
      </c>
      <c r="P7" s="4">
        <f>SUBTOTAL(109,Table55[Jumlah Retur])</f>
        <v>32</v>
      </c>
      <c r="Q7" s="4">
        <f>SUBTOTAL(109,Table55[Jual Net2])</f>
        <v>97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0.57031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40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5017863</v>
      </c>
      <c r="D4" s="4">
        <v>1970063</v>
      </c>
      <c r="E4" s="4">
        <v>3047800</v>
      </c>
      <c r="F4" s="3">
        <v>51</v>
      </c>
      <c r="G4" s="3">
        <v>17</v>
      </c>
      <c r="H4" s="3">
        <v>34</v>
      </c>
      <c r="K4" s="2">
        <v>43101</v>
      </c>
      <c r="L4" s="4">
        <v>6196750</v>
      </c>
      <c r="M4" s="4">
        <v>1357913</v>
      </c>
      <c r="N4" s="4">
        <v>4838838</v>
      </c>
      <c r="O4" s="3">
        <v>62</v>
      </c>
      <c r="P4" s="3">
        <v>17</v>
      </c>
      <c r="Q4" s="3">
        <v>45</v>
      </c>
    </row>
    <row r="5" spans="1:17" ht="15" customHeight="1" x14ac:dyDescent="0.25">
      <c r="B5" s="2">
        <v>42767</v>
      </c>
      <c r="C5" s="4">
        <v>10587588</v>
      </c>
      <c r="D5" s="4">
        <v>2531375</v>
      </c>
      <c r="E5" s="4">
        <v>8056213</v>
      </c>
      <c r="F5" s="3">
        <v>99</v>
      </c>
      <c r="G5" s="3">
        <v>30</v>
      </c>
      <c r="H5" s="3">
        <v>69</v>
      </c>
      <c r="K5" s="2">
        <v>43132</v>
      </c>
      <c r="L5" s="4">
        <v>14585113</v>
      </c>
      <c r="M5" s="4">
        <v>5058638</v>
      </c>
      <c r="N5" s="4">
        <v>9526475</v>
      </c>
      <c r="O5" s="3">
        <v>139</v>
      </c>
      <c r="P5" s="3">
        <v>13</v>
      </c>
      <c r="Q5" s="3">
        <v>126</v>
      </c>
    </row>
    <row r="6" spans="1:17" ht="15" customHeight="1" x14ac:dyDescent="0.25">
      <c r="B6" s="2">
        <v>42795</v>
      </c>
      <c r="C6" s="4">
        <v>43376288</v>
      </c>
      <c r="D6" s="4">
        <v>8443488</v>
      </c>
      <c r="E6" s="4">
        <v>34932800</v>
      </c>
      <c r="F6" s="3">
        <v>401</v>
      </c>
      <c r="G6" s="3">
        <v>72</v>
      </c>
      <c r="H6" s="3">
        <v>329</v>
      </c>
      <c r="K6" s="2">
        <v>43160</v>
      </c>
      <c r="L6" s="4">
        <v>16286900</v>
      </c>
      <c r="M6" s="4">
        <v>4386122</v>
      </c>
      <c r="N6" s="4">
        <v>11900779</v>
      </c>
      <c r="O6" s="3">
        <v>141</v>
      </c>
      <c r="P6" s="3">
        <v>37</v>
      </c>
      <c r="Q6" s="3">
        <v>104</v>
      </c>
    </row>
    <row r="7" spans="1:17" ht="15" customHeight="1" x14ac:dyDescent="0.25">
      <c r="B7" s="30"/>
      <c r="C7" s="4">
        <f>SUBTOTAL(109,Table56[Nilai Jual])</f>
        <v>58981739</v>
      </c>
      <c r="D7" s="4">
        <f>SUBTOTAL(109,Table56[Nilai Retur])</f>
        <v>12944926</v>
      </c>
      <c r="E7" s="4">
        <f>SUBTOTAL(109,Table56[Jual Net])</f>
        <v>46036813</v>
      </c>
      <c r="F7" s="4">
        <f>SUBTOTAL(109,Table56[Jumlah Jual])</f>
        <v>551</v>
      </c>
      <c r="G7" s="4">
        <f>SUBTOTAL(109,Table56[Jumlah Retur])</f>
        <v>119</v>
      </c>
      <c r="H7" s="4">
        <f>SUBTOTAL(109,Table56[Jual Net2])</f>
        <v>432</v>
      </c>
      <c r="K7" s="30"/>
      <c r="L7" s="4">
        <f>SUBTOTAL(109,Table57[Nilai Jual])</f>
        <v>37068763</v>
      </c>
      <c r="M7" s="4">
        <f>SUBTOTAL(109,Table57[Nilai Retur])</f>
        <v>10802673</v>
      </c>
      <c r="N7" s="4">
        <f>SUBTOTAL(109,Table57[Jual Net])</f>
        <v>26266092</v>
      </c>
      <c r="O7" s="4">
        <f>SUBTOTAL(109,Table57[Jumlah Jual])</f>
        <v>342</v>
      </c>
      <c r="P7" s="4">
        <f>SUBTOTAL(109,Table57[Jumlah Retur])</f>
        <v>67</v>
      </c>
      <c r="Q7" s="4">
        <f>SUBTOTAL(109,Table57[Jual Net2])</f>
        <v>275</v>
      </c>
    </row>
    <row r="8" spans="1:17" x14ac:dyDescent="0.25">
      <c r="B8" s="2"/>
      <c r="C8" s="4"/>
      <c r="D8" s="4"/>
      <c r="E8" s="4"/>
      <c r="F8" s="3"/>
      <c r="G8" s="3"/>
      <c r="H8" s="3"/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3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44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2654400</v>
      </c>
      <c r="D4" s="4">
        <v>796600</v>
      </c>
      <c r="E4" s="4">
        <v>1857800</v>
      </c>
      <c r="F4" s="3">
        <v>26</v>
      </c>
      <c r="G4" s="3">
        <v>7</v>
      </c>
      <c r="H4" s="3">
        <v>19</v>
      </c>
      <c r="K4" s="2">
        <v>43101</v>
      </c>
      <c r="L4" s="4">
        <v>3241175</v>
      </c>
      <c r="M4" s="4">
        <v>1438063</v>
      </c>
      <c r="N4" s="4">
        <v>1803113</v>
      </c>
      <c r="O4" s="3">
        <v>28</v>
      </c>
      <c r="P4" s="3">
        <v>12</v>
      </c>
      <c r="Q4" s="3">
        <v>16</v>
      </c>
    </row>
    <row r="5" spans="1:17" ht="15" customHeight="1" x14ac:dyDescent="0.25">
      <c r="B5" s="2">
        <v>42767</v>
      </c>
      <c r="C5" s="4">
        <v>7767725</v>
      </c>
      <c r="D5" s="4">
        <v>1938038</v>
      </c>
      <c r="E5" s="4">
        <v>5829688</v>
      </c>
      <c r="F5" s="3">
        <v>71</v>
      </c>
      <c r="G5" s="3">
        <v>19</v>
      </c>
      <c r="H5" s="3">
        <v>52</v>
      </c>
      <c r="K5" s="2">
        <v>43132</v>
      </c>
      <c r="L5" s="4">
        <v>13294663</v>
      </c>
      <c r="M5" s="4">
        <v>1464838</v>
      </c>
      <c r="N5" s="4">
        <v>11829825</v>
      </c>
      <c r="O5" s="3">
        <v>126</v>
      </c>
      <c r="P5" s="3">
        <v>13</v>
      </c>
      <c r="Q5" s="3">
        <v>113</v>
      </c>
    </row>
    <row r="6" spans="1:17" ht="15" customHeight="1" x14ac:dyDescent="0.25">
      <c r="B6" s="2">
        <v>42795</v>
      </c>
      <c r="C6" s="4">
        <v>21988663</v>
      </c>
      <c r="D6" s="4">
        <v>1967350</v>
      </c>
      <c r="E6" s="4">
        <v>20021313</v>
      </c>
      <c r="F6" s="3">
        <v>219</v>
      </c>
      <c r="G6" s="3">
        <v>19</v>
      </c>
      <c r="H6" s="3">
        <v>200</v>
      </c>
      <c r="K6" s="2">
        <v>43160</v>
      </c>
      <c r="L6" s="4">
        <v>21549150</v>
      </c>
      <c r="M6" s="4">
        <v>3795450</v>
      </c>
      <c r="N6" s="4">
        <v>17753700</v>
      </c>
      <c r="O6" s="3">
        <v>204</v>
      </c>
      <c r="P6" s="3">
        <v>35</v>
      </c>
      <c r="Q6" s="3">
        <v>169</v>
      </c>
    </row>
    <row r="7" spans="1:17" ht="15" customHeight="1" x14ac:dyDescent="0.25">
      <c r="B7" s="30"/>
      <c r="C7" s="4">
        <f>SUBTOTAL(109,Table58[Nilai Jual])</f>
        <v>32410788</v>
      </c>
      <c r="D7" s="4">
        <f>SUBTOTAL(109,Table58[Nilai Retur])</f>
        <v>4701988</v>
      </c>
      <c r="E7" s="4">
        <f>SUBTOTAL(109,Table58[Jual Net])</f>
        <v>27708801</v>
      </c>
      <c r="F7" s="4">
        <f>SUBTOTAL(109,Table58[Jumlah Jual])</f>
        <v>316</v>
      </c>
      <c r="G7" s="4">
        <f>SUBTOTAL(109,Table58[Jumlah Retur])</f>
        <v>45</v>
      </c>
      <c r="H7" s="4">
        <f>SUBTOTAL(109,Table58[Jual Net2])</f>
        <v>271</v>
      </c>
      <c r="K7" s="30"/>
      <c r="L7" s="4">
        <f>SUBTOTAL(109,Table59[Nilai Jual])</f>
        <v>38084988</v>
      </c>
      <c r="M7" s="4">
        <f>SUBTOTAL(109,Table59[Nilai Retur])</f>
        <v>6698351</v>
      </c>
      <c r="N7" s="4">
        <f>SUBTOTAL(109,Table59[Jual Net])</f>
        <v>31386638</v>
      </c>
      <c r="O7" s="4">
        <f>SUBTOTAL(109,Table59[Jumlah Jual])</f>
        <v>358</v>
      </c>
      <c r="P7" s="4">
        <f>SUBTOTAL(109,Table59[Jumlah Retur])</f>
        <v>60</v>
      </c>
      <c r="Q7" s="4">
        <f>SUBTOTAL(109,Table59[Jual Net2])</f>
        <v>298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3" sqref="H13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41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14" t="s">
        <v>2</v>
      </c>
      <c r="L3" s="14" t="s">
        <v>4</v>
      </c>
      <c r="M3" s="14" t="s">
        <v>5</v>
      </c>
      <c r="N3" s="14" t="s">
        <v>6</v>
      </c>
      <c r="O3" s="14" t="s">
        <v>7</v>
      </c>
      <c r="P3" s="14" t="s">
        <v>8</v>
      </c>
      <c r="Q3" s="14" t="s">
        <v>11</v>
      </c>
    </row>
    <row r="4" spans="1:17" ht="15" customHeight="1" x14ac:dyDescent="0.25">
      <c r="B4" s="2">
        <v>42736</v>
      </c>
      <c r="C4" s="4">
        <v>3416000</v>
      </c>
      <c r="D4" s="3">
        <v>0</v>
      </c>
      <c r="E4" s="4">
        <v>3416000</v>
      </c>
      <c r="F4" s="3">
        <v>21</v>
      </c>
      <c r="G4" s="3">
        <v>0</v>
      </c>
      <c r="H4" s="3">
        <v>21</v>
      </c>
      <c r="K4" s="2">
        <v>43101</v>
      </c>
      <c r="L4" s="4">
        <v>1628550</v>
      </c>
      <c r="M4" s="4">
        <v>52452</v>
      </c>
      <c r="N4" s="4">
        <v>1576098</v>
      </c>
      <c r="O4" s="3">
        <v>10</v>
      </c>
      <c r="P4" s="3">
        <v>0</v>
      </c>
      <c r="Q4" s="3">
        <v>10</v>
      </c>
    </row>
    <row r="5" spans="1:17" ht="15" customHeight="1" x14ac:dyDescent="0.25">
      <c r="B5" s="2">
        <v>42767</v>
      </c>
      <c r="C5" s="4">
        <v>4277438</v>
      </c>
      <c r="D5" s="3">
        <v>0</v>
      </c>
      <c r="E5" s="4">
        <v>4277438</v>
      </c>
      <c r="F5" s="3">
        <v>29</v>
      </c>
      <c r="G5" s="3">
        <v>0</v>
      </c>
      <c r="H5" s="3">
        <v>29</v>
      </c>
    </row>
    <row r="6" spans="1:17" ht="15" customHeight="1" x14ac:dyDescent="0.25">
      <c r="B6" s="2">
        <v>42795</v>
      </c>
      <c r="C6" s="4">
        <v>20798838</v>
      </c>
      <c r="D6" s="4">
        <v>-338000</v>
      </c>
      <c r="E6" s="4">
        <v>21136838</v>
      </c>
      <c r="F6" s="3">
        <v>133</v>
      </c>
      <c r="G6" s="3">
        <v>0</v>
      </c>
      <c r="H6" s="3">
        <v>133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5"/>
  <sheetViews>
    <sheetView tabSelected="1" topLeftCell="A4" workbookViewId="0">
      <selection activeCell="J10" sqref="J10"/>
    </sheetView>
  </sheetViews>
  <sheetFormatPr defaultRowHeight="15" x14ac:dyDescent="0.25"/>
  <cols>
    <col min="1" max="1" width="3.5703125" bestFit="1" customWidth="1"/>
    <col min="2" max="2" width="6.42578125" bestFit="1" customWidth="1"/>
    <col min="3" max="3" width="14.7109375" bestFit="1" customWidth="1"/>
    <col min="4" max="6" width="12.5703125" bestFit="1" customWidth="1"/>
    <col min="7" max="7" width="11.140625" bestFit="1" customWidth="1"/>
    <col min="8" max="8" width="12.5703125" bestFit="1" customWidth="1"/>
    <col min="9" max="9" width="9.140625" bestFit="1" customWidth="1"/>
    <col min="12" max="12" width="4.42578125" bestFit="1" customWidth="1"/>
    <col min="13" max="13" width="7" bestFit="1" customWidth="1"/>
    <col min="14" max="14" width="14.7109375" bestFit="1" customWidth="1"/>
    <col min="15" max="17" width="12.5703125" bestFit="1" customWidth="1"/>
    <col min="18" max="18" width="11.140625" bestFit="1" customWidth="1"/>
    <col min="19" max="19" width="12.5703125" bestFit="1" customWidth="1"/>
  </cols>
  <sheetData>
    <row r="3" spans="1:20" x14ac:dyDescent="0.25">
      <c r="A3" s="54">
        <v>2017</v>
      </c>
      <c r="B3" s="54"/>
      <c r="C3" s="54"/>
      <c r="D3" s="54"/>
      <c r="E3" s="54"/>
      <c r="F3" s="54"/>
      <c r="G3" s="54"/>
      <c r="H3" s="54"/>
      <c r="I3" s="54"/>
      <c r="L3" s="54">
        <v>2018</v>
      </c>
      <c r="M3" s="54"/>
      <c r="N3" s="54"/>
      <c r="O3" s="54"/>
      <c r="P3" s="54"/>
      <c r="Q3" s="54"/>
      <c r="R3" s="54"/>
      <c r="S3" s="54"/>
      <c r="T3" s="54"/>
    </row>
    <row r="4" spans="1:20" x14ac:dyDescent="0.25">
      <c r="A4" s="54"/>
      <c r="B4" s="54"/>
      <c r="C4" s="54"/>
      <c r="D4" s="54"/>
      <c r="E4" s="54"/>
      <c r="F4" s="54"/>
      <c r="G4" s="54"/>
      <c r="H4" s="54"/>
      <c r="I4" s="54"/>
      <c r="L4" s="54"/>
      <c r="M4" s="54"/>
      <c r="N4" s="54"/>
      <c r="O4" s="54"/>
      <c r="P4" s="54"/>
      <c r="Q4" s="54"/>
      <c r="R4" s="54"/>
      <c r="S4" s="54"/>
      <c r="T4" s="54"/>
    </row>
    <row r="5" spans="1:20" ht="15.75" thickBot="1" x14ac:dyDescent="0.3">
      <c r="D5" s="33"/>
      <c r="E5" s="33"/>
      <c r="F5" s="33"/>
      <c r="G5" s="33"/>
      <c r="H5" s="33"/>
      <c r="I5" s="33"/>
      <c r="J5" s="11"/>
      <c r="K5" s="11"/>
      <c r="L5" s="34"/>
      <c r="M5" s="17"/>
      <c r="N5" s="33"/>
      <c r="O5" s="33"/>
      <c r="P5" s="33"/>
      <c r="Q5" s="33"/>
      <c r="R5" s="33"/>
      <c r="S5" s="33"/>
    </row>
    <row r="6" spans="1:20" x14ac:dyDescent="0.25">
      <c r="A6" s="37" t="s">
        <v>70</v>
      </c>
      <c r="B6" s="38" t="s">
        <v>71</v>
      </c>
      <c r="C6" s="38" t="s">
        <v>3</v>
      </c>
      <c r="D6" s="38" t="s">
        <v>4</v>
      </c>
      <c r="E6" s="38" t="s">
        <v>5</v>
      </c>
      <c r="F6" s="38" t="s">
        <v>6</v>
      </c>
      <c r="G6" s="38" t="s">
        <v>7</v>
      </c>
      <c r="H6" s="38" t="s">
        <v>8</v>
      </c>
      <c r="I6" s="39" t="s">
        <v>11</v>
      </c>
      <c r="L6" s="37" t="s">
        <v>70</v>
      </c>
      <c r="M6" s="38" t="s">
        <v>71</v>
      </c>
      <c r="N6" s="38" t="s">
        <v>3</v>
      </c>
      <c r="O6" s="38" t="s">
        <v>4</v>
      </c>
      <c r="P6" s="38" t="s">
        <v>5</v>
      </c>
      <c r="Q6" s="38" t="s">
        <v>6</v>
      </c>
      <c r="R6" s="38" t="s">
        <v>7</v>
      </c>
      <c r="S6" s="38" t="s">
        <v>8</v>
      </c>
      <c r="T6" s="39" t="s">
        <v>11</v>
      </c>
    </row>
    <row r="7" spans="1:20" x14ac:dyDescent="0.25">
      <c r="A7" s="40">
        <v>1</v>
      </c>
      <c r="B7" s="11">
        <v>2007</v>
      </c>
      <c r="C7" s="11" t="s">
        <v>42</v>
      </c>
      <c r="D7" s="41">
        <v>586284826</v>
      </c>
      <c r="E7" s="41">
        <v>105408801</v>
      </c>
      <c r="F7" s="41">
        <v>480876026</v>
      </c>
      <c r="G7" s="41">
        <v>5921</v>
      </c>
      <c r="H7" s="41">
        <v>1067</v>
      </c>
      <c r="I7" s="42">
        <v>4854</v>
      </c>
      <c r="J7" s="32"/>
      <c r="K7" s="32"/>
      <c r="L7" s="48">
        <v>1</v>
      </c>
      <c r="M7" s="49">
        <v>2008</v>
      </c>
      <c r="N7" s="11" t="s">
        <v>42</v>
      </c>
      <c r="O7" s="41">
        <v>169526614</v>
      </c>
      <c r="P7" s="41">
        <v>34373238</v>
      </c>
      <c r="Q7" s="41">
        <v>135153376</v>
      </c>
      <c r="R7" s="41">
        <v>1791</v>
      </c>
      <c r="S7" s="41">
        <v>345</v>
      </c>
      <c r="T7" s="42">
        <v>1446</v>
      </c>
    </row>
    <row r="8" spans="1:20" x14ac:dyDescent="0.25">
      <c r="A8" s="40">
        <v>2</v>
      </c>
      <c r="B8" s="11">
        <v>2007</v>
      </c>
      <c r="C8" s="11" t="s">
        <v>45</v>
      </c>
      <c r="D8" s="41">
        <v>449457576</v>
      </c>
      <c r="E8" s="41">
        <v>30040901</v>
      </c>
      <c r="F8" s="41">
        <v>419416675</v>
      </c>
      <c r="G8" s="41">
        <v>4305</v>
      </c>
      <c r="H8" s="41">
        <v>275</v>
      </c>
      <c r="I8" s="42">
        <v>4030</v>
      </c>
      <c r="J8" s="32"/>
      <c r="K8" s="32"/>
      <c r="L8" s="48">
        <v>2</v>
      </c>
      <c r="M8" s="49">
        <v>2008</v>
      </c>
      <c r="N8" s="11" t="s">
        <v>45</v>
      </c>
      <c r="O8" s="35">
        <v>379645613</v>
      </c>
      <c r="P8" s="35">
        <v>34628651</v>
      </c>
      <c r="Q8" s="35">
        <v>345016963</v>
      </c>
      <c r="R8" s="35">
        <v>3470</v>
      </c>
      <c r="S8" s="35">
        <v>308</v>
      </c>
      <c r="T8" s="43">
        <v>3162</v>
      </c>
    </row>
    <row r="9" spans="1:20" x14ac:dyDescent="0.25">
      <c r="A9" s="40">
        <v>3</v>
      </c>
      <c r="B9" s="11">
        <v>2007</v>
      </c>
      <c r="C9" s="11" t="s">
        <v>46</v>
      </c>
      <c r="D9" s="41">
        <v>212941138</v>
      </c>
      <c r="E9" s="41">
        <v>35277776</v>
      </c>
      <c r="F9" s="41">
        <v>177663364</v>
      </c>
      <c r="G9" s="41">
        <v>2029</v>
      </c>
      <c r="H9" s="41">
        <v>319</v>
      </c>
      <c r="I9" s="42">
        <v>1710</v>
      </c>
      <c r="J9" s="32"/>
      <c r="K9" s="32"/>
      <c r="L9" s="48">
        <v>3</v>
      </c>
      <c r="M9" s="49">
        <v>2008</v>
      </c>
      <c r="N9" s="11" t="s">
        <v>46</v>
      </c>
      <c r="O9" s="41">
        <v>114147338</v>
      </c>
      <c r="P9" s="41">
        <v>11236050</v>
      </c>
      <c r="Q9" s="41">
        <v>102911288</v>
      </c>
      <c r="R9" s="41">
        <v>1104</v>
      </c>
      <c r="S9" s="41">
        <v>115</v>
      </c>
      <c r="T9" s="42">
        <v>989</v>
      </c>
    </row>
    <row r="10" spans="1:20" x14ac:dyDescent="0.25">
      <c r="A10" s="40">
        <v>4</v>
      </c>
      <c r="B10" s="11">
        <v>2007</v>
      </c>
      <c r="C10" s="11" t="s">
        <v>47</v>
      </c>
      <c r="D10" s="41">
        <v>44569613</v>
      </c>
      <c r="E10" s="41">
        <v>3048506</v>
      </c>
      <c r="F10" s="41">
        <v>41521107</v>
      </c>
      <c r="G10" s="41">
        <v>440</v>
      </c>
      <c r="H10" s="41">
        <v>10</v>
      </c>
      <c r="I10" s="42">
        <v>430</v>
      </c>
      <c r="J10" s="32"/>
      <c r="K10" s="32"/>
      <c r="L10" s="48">
        <v>4</v>
      </c>
      <c r="M10" s="49">
        <v>2008</v>
      </c>
      <c r="N10" s="11" t="s">
        <v>47</v>
      </c>
      <c r="O10" s="41">
        <v>20879426</v>
      </c>
      <c r="P10" s="41">
        <v>312375</v>
      </c>
      <c r="Q10" s="41">
        <v>20567051</v>
      </c>
      <c r="R10" s="41">
        <v>220</v>
      </c>
      <c r="S10" s="41">
        <v>2</v>
      </c>
      <c r="T10" s="42">
        <v>218</v>
      </c>
    </row>
    <row r="11" spans="1:20" x14ac:dyDescent="0.25">
      <c r="A11" s="40">
        <v>5</v>
      </c>
      <c r="B11" s="11">
        <v>2007</v>
      </c>
      <c r="C11" s="11" t="s">
        <v>48</v>
      </c>
      <c r="D11" s="41">
        <v>65082063</v>
      </c>
      <c r="E11" s="41">
        <v>1558688</v>
      </c>
      <c r="F11" s="41">
        <v>63523375</v>
      </c>
      <c r="G11" s="41">
        <v>555</v>
      </c>
      <c r="H11" s="41">
        <v>13</v>
      </c>
      <c r="I11" s="42">
        <v>542</v>
      </c>
      <c r="J11" s="32"/>
      <c r="K11" s="32"/>
      <c r="L11" s="48">
        <v>5</v>
      </c>
      <c r="M11" s="49">
        <v>2008</v>
      </c>
      <c r="N11" s="11" t="s">
        <v>48</v>
      </c>
      <c r="O11" s="41">
        <v>51680388</v>
      </c>
      <c r="P11" s="41">
        <v>2729451</v>
      </c>
      <c r="Q11" s="41">
        <v>48950938</v>
      </c>
      <c r="R11" s="41">
        <v>458</v>
      </c>
      <c r="S11" s="41">
        <v>24</v>
      </c>
      <c r="T11" s="42">
        <v>434</v>
      </c>
    </row>
    <row r="12" spans="1:20" x14ac:dyDescent="0.25">
      <c r="A12" s="40">
        <v>6</v>
      </c>
      <c r="B12" s="11">
        <v>2007</v>
      </c>
      <c r="C12" s="11" t="s">
        <v>49</v>
      </c>
      <c r="D12" s="41">
        <v>97257600</v>
      </c>
      <c r="E12" s="41">
        <v>23812688</v>
      </c>
      <c r="F12" s="41">
        <v>73444913</v>
      </c>
      <c r="G12" s="41">
        <v>841</v>
      </c>
      <c r="H12" s="41">
        <v>195</v>
      </c>
      <c r="I12" s="42">
        <v>646</v>
      </c>
      <c r="J12" s="32"/>
      <c r="K12" s="32"/>
      <c r="L12" s="48">
        <v>6</v>
      </c>
      <c r="M12" s="49">
        <v>2008</v>
      </c>
      <c r="N12" s="11" t="s">
        <v>49</v>
      </c>
      <c r="O12" s="41">
        <v>29592000</v>
      </c>
      <c r="P12" s="41">
        <v>8219088</v>
      </c>
      <c r="Q12" s="41">
        <v>21372913</v>
      </c>
      <c r="R12" s="41">
        <v>243</v>
      </c>
      <c r="S12" s="41">
        <v>68</v>
      </c>
      <c r="T12" s="42">
        <v>175</v>
      </c>
    </row>
    <row r="13" spans="1:20" x14ac:dyDescent="0.25">
      <c r="A13" s="40">
        <v>7</v>
      </c>
      <c r="B13" s="11">
        <v>2007</v>
      </c>
      <c r="C13" s="11" t="s">
        <v>50</v>
      </c>
      <c r="D13" s="41">
        <v>82831788</v>
      </c>
      <c r="E13" s="41">
        <v>1944688</v>
      </c>
      <c r="F13" s="41">
        <v>80887101</v>
      </c>
      <c r="G13" s="41">
        <v>726</v>
      </c>
      <c r="H13" s="41">
        <v>19</v>
      </c>
      <c r="I13" s="42">
        <v>707</v>
      </c>
      <c r="J13" s="32"/>
      <c r="K13" s="32"/>
      <c r="L13" s="48">
        <v>7</v>
      </c>
      <c r="M13" s="49">
        <v>2008</v>
      </c>
      <c r="N13" s="11" t="s">
        <v>50</v>
      </c>
      <c r="O13" s="41">
        <v>43494238</v>
      </c>
      <c r="P13" s="41">
        <v>498663</v>
      </c>
      <c r="Q13" s="41">
        <v>42995576</v>
      </c>
      <c r="R13" s="41">
        <v>397</v>
      </c>
      <c r="S13" s="41">
        <v>5</v>
      </c>
      <c r="T13" s="42">
        <v>392</v>
      </c>
    </row>
    <row r="14" spans="1:20" x14ac:dyDescent="0.25">
      <c r="A14" s="40">
        <v>8</v>
      </c>
      <c r="B14" s="11">
        <v>2007</v>
      </c>
      <c r="C14" s="11" t="s">
        <v>51</v>
      </c>
      <c r="D14" s="41">
        <v>47777801</v>
      </c>
      <c r="E14" s="41">
        <v>1564939</v>
      </c>
      <c r="F14" s="41">
        <v>46212863</v>
      </c>
      <c r="G14" s="41">
        <v>400</v>
      </c>
      <c r="H14" s="41">
        <v>14</v>
      </c>
      <c r="I14" s="42">
        <v>386</v>
      </c>
      <c r="J14" s="32"/>
      <c r="K14" s="32"/>
      <c r="L14" s="48">
        <v>8</v>
      </c>
      <c r="M14" s="49">
        <v>2008</v>
      </c>
      <c r="N14" s="11" t="s">
        <v>51</v>
      </c>
      <c r="O14" s="41">
        <v>38513826</v>
      </c>
      <c r="P14" s="41">
        <v>1066276</v>
      </c>
      <c r="Q14" s="41">
        <v>37447551</v>
      </c>
      <c r="R14" s="41">
        <v>343</v>
      </c>
      <c r="S14" s="41">
        <v>11</v>
      </c>
      <c r="T14" s="42">
        <v>332</v>
      </c>
    </row>
    <row r="15" spans="1:20" x14ac:dyDescent="0.25">
      <c r="A15" s="40">
        <v>9</v>
      </c>
      <c r="B15" s="11">
        <v>2007</v>
      </c>
      <c r="C15" s="11" t="s">
        <v>52</v>
      </c>
      <c r="D15" s="41">
        <v>64139776</v>
      </c>
      <c r="E15" s="41">
        <v>6634951</v>
      </c>
      <c r="F15" s="41">
        <v>57504825</v>
      </c>
      <c r="G15" s="41">
        <v>591</v>
      </c>
      <c r="H15" s="41">
        <v>59</v>
      </c>
      <c r="I15" s="42">
        <v>532</v>
      </c>
      <c r="J15" s="32"/>
      <c r="K15" s="32"/>
      <c r="L15" s="48">
        <v>9</v>
      </c>
      <c r="M15" s="49">
        <v>2008</v>
      </c>
      <c r="N15" s="11" t="s">
        <v>52</v>
      </c>
      <c r="O15" s="41">
        <v>27488650</v>
      </c>
      <c r="P15" s="41">
        <v>1565551</v>
      </c>
      <c r="Q15" s="41">
        <v>25923101</v>
      </c>
      <c r="R15" s="41">
        <v>265</v>
      </c>
      <c r="S15" s="41">
        <v>14</v>
      </c>
      <c r="T15" s="42">
        <v>251</v>
      </c>
    </row>
    <row r="16" spans="1:20" x14ac:dyDescent="0.25">
      <c r="A16" s="40">
        <v>10</v>
      </c>
      <c r="B16" s="11">
        <v>2007</v>
      </c>
      <c r="C16" s="11" t="s">
        <v>54</v>
      </c>
      <c r="D16" s="41">
        <v>48282151</v>
      </c>
      <c r="E16" s="41">
        <v>1606938</v>
      </c>
      <c r="F16" s="41">
        <v>46675213</v>
      </c>
      <c r="G16" s="41">
        <v>476</v>
      </c>
      <c r="H16" s="41">
        <v>17</v>
      </c>
      <c r="I16" s="42">
        <v>459</v>
      </c>
      <c r="J16" s="32"/>
      <c r="K16" s="32"/>
      <c r="L16" s="48">
        <v>10</v>
      </c>
      <c r="M16" s="49">
        <v>2008</v>
      </c>
      <c r="N16" s="11" t="s">
        <v>54</v>
      </c>
      <c r="O16" s="41">
        <v>21743225</v>
      </c>
      <c r="P16" s="41">
        <v>806313</v>
      </c>
      <c r="Q16" s="41">
        <v>20936913</v>
      </c>
      <c r="R16" s="41">
        <v>199</v>
      </c>
      <c r="S16" s="41">
        <v>6</v>
      </c>
      <c r="T16" s="42">
        <v>193</v>
      </c>
    </row>
    <row r="17" spans="1:20" x14ac:dyDescent="0.25">
      <c r="A17" s="40">
        <v>11</v>
      </c>
      <c r="B17" s="11">
        <v>2007</v>
      </c>
      <c r="C17" s="11" t="s">
        <v>53</v>
      </c>
      <c r="D17" s="41">
        <v>108393513</v>
      </c>
      <c r="E17" s="41">
        <v>13899551</v>
      </c>
      <c r="F17" s="41">
        <v>94493963</v>
      </c>
      <c r="G17" s="41">
        <v>1050</v>
      </c>
      <c r="H17" s="41">
        <v>130</v>
      </c>
      <c r="I17" s="42">
        <v>920</v>
      </c>
      <c r="J17" s="32"/>
      <c r="K17" s="32"/>
      <c r="L17" s="48">
        <v>11</v>
      </c>
      <c r="M17" s="49">
        <v>2008</v>
      </c>
      <c r="N17" s="11" t="s">
        <v>53</v>
      </c>
      <c r="O17" s="41">
        <v>34564426</v>
      </c>
      <c r="P17" s="41">
        <v>12126924</v>
      </c>
      <c r="Q17" s="41">
        <v>22437502</v>
      </c>
      <c r="R17" s="41">
        <v>328</v>
      </c>
      <c r="S17" s="41">
        <v>34</v>
      </c>
      <c r="T17" s="42">
        <v>294</v>
      </c>
    </row>
    <row r="18" spans="1:20" x14ac:dyDescent="0.25">
      <c r="A18" s="40">
        <v>12</v>
      </c>
      <c r="B18" s="11">
        <v>2007</v>
      </c>
      <c r="C18" s="11" t="s">
        <v>55</v>
      </c>
      <c r="D18" s="41">
        <v>44808488</v>
      </c>
      <c r="E18" s="41">
        <v>4053087</v>
      </c>
      <c r="F18" s="41">
        <v>40755401</v>
      </c>
      <c r="G18" s="41">
        <v>412</v>
      </c>
      <c r="H18" s="41">
        <v>38</v>
      </c>
      <c r="I18" s="42">
        <v>374</v>
      </c>
      <c r="J18" s="32"/>
      <c r="K18" s="32"/>
      <c r="L18" s="48">
        <v>12</v>
      </c>
      <c r="M18" s="49">
        <v>2008</v>
      </c>
      <c r="N18" s="11" t="s">
        <v>55</v>
      </c>
      <c r="O18" s="41">
        <v>23376851</v>
      </c>
      <c r="P18" s="41">
        <v>2208763</v>
      </c>
      <c r="Q18" s="41">
        <v>21168089</v>
      </c>
      <c r="R18" s="41">
        <v>224</v>
      </c>
      <c r="S18" s="41">
        <v>19</v>
      </c>
      <c r="T18" s="42">
        <v>205</v>
      </c>
    </row>
    <row r="19" spans="1:20" x14ac:dyDescent="0.25">
      <c r="A19" s="40">
        <v>13</v>
      </c>
      <c r="B19" s="11">
        <v>2007</v>
      </c>
      <c r="C19" s="11" t="s">
        <v>56</v>
      </c>
      <c r="D19" s="41">
        <v>34133051</v>
      </c>
      <c r="E19" s="41">
        <v>230300</v>
      </c>
      <c r="F19" s="41">
        <v>33902751</v>
      </c>
      <c r="G19" s="41">
        <v>368</v>
      </c>
      <c r="H19" s="41">
        <v>2</v>
      </c>
      <c r="I19" s="42">
        <v>366</v>
      </c>
      <c r="J19" s="32"/>
      <c r="K19" s="32"/>
      <c r="L19" s="48">
        <v>13</v>
      </c>
      <c r="M19" s="49">
        <v>2008</v>
      </c>
      <c r="N19" s="11" t="s">
        <v>56</v>
      </c>
      <c r="O19" s="41">
        <v>83469664</v>
      </c>
      <c r="P19" s="41">
        <v>0</v>
      </c>
      <c r="Q19" s="41">
        <v>83469664</v>
      </c>
      <c r="R19" s="41">
        <v>681</v>
      </c>
      <c r="S19" s="41">
        <v>0</v>
      </c>
      <c r="T19" s="42">
        <v>681</v>
      </c>
    </row>
    <row r="20" spans="1:20" x14ac:dyDescent="0.25">
      <c r="A20" s="40">
        <v>14</v>
      </c>
      <c r="B20" s="11">
        <v>2007</v>
      </c>
      <c r="C20" s="11" t="s">
        <v>57</v>
      </c>
      <c r="D20" s="41">
        <v>51577401</v>
      </c>
      <c r="E20" s="41">
        <v>11616088</v>
      </c>
      <c r="F20" s="41">
        <v>39961314</v>
      </c>
      <c r="G20" s="41">
        <v>503</v>
      </c>
      <c r="H20" s="41">
        <v>111</v>
      </c>
      <c r="I20" s="42">
        <v>392</v>
      </c>
      <c r="J20" s="32"/>
      <c r="K20" s="32"/>
      <c r="L20" s="48">
        <v>14</v>
      </c>
      <c r="M20" s="49">
        <v>2008</v>
      </c>
      <c r="N20" s="11" t="s">
        <v>57</v>
      </c>
      <c r="O20" s="41">
        <v>20941213</v>
      </c>
      <c r="P20" s="41">
        <v>10171002</v>
      </c>
      <c r="Q20" s="41">
        <v>10770211</v>
      </c>
      <c r="R20" s="41">
        <v>181</v>
      </c>
      <c r="S20" s="41">
        <v>53</v>
      </c>
      <c r="T20" s="42">
        <v>128</v>
      </c>
    </row>
    <row r="21" spans="1:20" x14ac:dyDescent="0.25">
      <c r="A21" s="40">
        <v>15</v>
      </c>
      <c r="B21" s="11">
        <v>2007</v>
      </c>
      <c r="C21" s="11" t="s">
        <v>59</v>
      </c>
      <c r="D21" s="41">
        <v>30440551</v>
      </c>
      <c r="E21" s="41">
        <v>883688</v>
      </c>
      <c r="F21" s="41">
        <v>29556863</v>
      </c>
      <c r="G21" s="41">
        <v>294</v>
      </c>
      <c r="H21" s="41">
        <v>5</v>
      </c>
      <c r="I21" s="42">
        <v>289</v>
      </c>
      <c r="J21" s="32"/>
      <c r="K21" s="32"/>
      <c r="L21" s="48">
        <v>15</v>
      </c>
      <c r="M21" s="49">
        <v>2008</v>
      </c>
      <c r="N21" s="11" t="s">
        <v>59</v>
      </c>
      <c r="O21" s="41">
        <v>10738875</v>
      </c>
      <c r="P21" s="41">
        <v>28875</v>
      </c>
      <c r="Q21" s="41">
        <v>10710001</v>
      </c>
      <c r="R21" s="41">
        <v>113</v>
      </c>
      <c r="S21" s="41">
        <v>1</v>
      </c>
      <c r="T21" s="42">
        <v>112</v>
      </c>
    </row>
    <row r="22" spans="1:20" x14ac:dyDescent="0.25">
      <c r="A22" s="40">
        <v>16</v>
      </c>
      <c r="B22" s="11">
        <v>2007</v>
      </c>
      <c r="C22" s="11" t="s">
        <v>58</v>
      </c>
      <c r="D22" s="41">
        <v>44193451</v>
      </c>
      <c r="E22" s="41">
        <v>11941126</v>
      </c>
      <c r="F22" s="41">
        <v>32252325</v>
      </c>
      <c r="G22" s="41">
        <v>416</v>
      </c>
      <c r="H22" s="41">
        <v>114</v>
      </c>
      <c r="I22" s="42">
        <v>302</v>
      </c>
      <c r="J22" s="32"/>
      <c r="K22" s="32"/>
      <c r="L22" s="48">
        <v>16</v>
      </c>
      <c r="M22" s="49">
        <v>2008</v>
      </c>
      <c r="N22" s="11" t="s">
        <v>58</v>
      </c>
      <c r="O22" s="41">
        <v>18143214</v>
      </c>
      <c r="P22" s="41">
        <v>2136313</v>
      </c>
      <c r="Q22" s="41">
        <v>16006901</v>
      </c>
      <c r="R22" s="41">
        <v>165</v>
      </c>
      <c r="S22" s="41">
        <v>19</v>
      </c>
      <c r="T22" s="42">
        <v>146</v>
      </c>
    </row>
    <row r="23" spans="1:20" x14ac:dyDescent="0.25">
      <c r="A23" s="40">
        <v>17</v>
      </c>
      <c r="B23" s="11">
        <v>2007</v>
      </c>
      <c r="C23" s="11" t="s">
        <v>60</v>
      </c>
      <c r="D23" s="41">
        <v>40134150</v>
      </c>
      <c r="E23" s="41">
        <v>1020514</v>
      </c>
      <c r="F23" s="41">
        <v>39113639</v>
      </c>
      <c r="G23" s="41">
        <v>521</v>
      </c>
      <c r="H23" s="41">
        <v>11</v>
      </c>
      <c r="I23" s="42">
        <v>510</v>
      </c>
      <c r="J23" s="32"/>
      <c r="K23" s="32"/>
      <c r="L23" s="48">
        <v>17</v>
      </c>
      <c r="M23" s="49">
        <v>2008</v>
      </c>
      <c r="N23" s="11" t="s">
        <v>60</v>
      </c>
      <c r="O23" s="41">
        <v>107997576</v>
      </c>
      <c r="P23" s="41">
        <v>7403725</v>
      </c>
      <c r="Q23" s="41">
        <v>100593851</v>
      </c>
      <c r="R23" s="41">
        <v>1070</v>
      </c>
      <c r="S23" s="41">
        <v>75</v>
      </c>
      <c r="T23" s="42">
        <v>995</v>
      </c>
    </row>
    <row r="24" spans="1:20" x14ac:dyDescent="0.25">
      <c r="A24" s="40">
        <v>18</v>
      </c>
      <c r="B24" s="11">
        <v>2007</v>
      </c>
      <c r="C24" s="11" t="s">
        <v>61</v>
      </c>
      <c r="D24" s="41">
        <v>47433488</v>
      </c>
      <c r="E24" s="41">
        <v>11593587</v>
      </c>
      <c r="F24" s="41">
        <v>35839902</v>
      </c>
      <c r="G24" s="41">
        <v>471</v>
      </c>
      <c r="H24" s="41">
        <v>92</v>
      </c>
      <c r="I24" s="42">
        <v>379</v>
      </c>
      <c r="J24" s="32"/>
      <c r="K24" s="32"/>
      <c r="L24" s="48">
        <v>18</v>
      </c>
      <c r="M24" s="49">
        <v>2008</v>
      </c>
      <c r="N24" s="11" t="s">
        <v>61</v>
      </c>
      <c r="O24" s="41">
        <v>11378151</v>
      </c>
      <c r="P24" s="41">
        <v>1702664</v>
      </c>
      <c r="Q24" s="41">
        <v>9675488</v>
      </c>
      <c r="R24" s="41">
        <v>103</v>
      </c>
      <c r="S24" s="41">
        <v>14</v>
      </c>
      <c r="T24" s="42">
        <v>89</v>
      </c>
    </row>
    <row r="25" spans="1:20" x14ac:dyDescent="0.25">
      <c r="A25" s="40">
        <v>19</v>
      </c>
      <c r="B25" s="11">
        <v>2007</v>
      </c>
      <c r="C25" s="11" t="s">
        <v>62</v>
      </c>
      <c r="D25" s="41">
        <v>24588201</v>
      </c>
      <c r="E25" s="41">
        <v>1574651</v>
      </c>
      <c r="F25" s="41">
        <v>23013551</v>
      </c>
      <c r="G25" s="41">
        <v>250</v>
      </c>
      <c r="H25" s="41">
        <v>15</v>
      </c>
      <c r="I25" s="42">
        <v>235</v>
      </c>
      <c r="J25" s="32"/>
      <c r="K25" s="32"/>
      <c r="L25" s="48">
        <v>19</v>
      </c>
      <c r="M25" s="49">
        <v>2008</v>
      </c>
      <c r="N25" s="11" t="s">
        <v>62</v>
      </c>
      <c r="O25" s="41">
        <v>36256763</v>
      </c>
      <c r="P25" s="41">
        <v>3056176</v>
      </c>
      <c r="Q25" s="41">
        <v>33200588</v>
      </c>
      <c r="R25" s="41">
        <v>344</v>
      </c>
      <c r="S25" s="41">
        <v>27</v>
      </c>
      <c r="T25" s="42">
        <v>317</v>
      </c>
    </row>
    <row r="26" spans="1:20" x14ac:dyDescent="0.25">
      <c r="A26" s="40">
        <v>20</v>
      </c>
      <c r="B26" s="11">
        <v>2007</v>
      </c>
      <c r="C26" s="11" t="s">
        <v>63</v>
      </c>
      <c r="D26" s="41">
        <v>91503826</v>
      </c>
      <c r="E26" s="41">
        <v>18237707</v>
      </c>
      <c r="F26" s="41">
        <v>73266119</v>
      </c>
      <c r="G26" s="41">
        <v>840</v>
      </c>
      <c r="H26" s="41">
        <v>156</v>
      </c>
      <c r="I26" s="42">
        <v>684</v>
      </c>
      <c r="J26" s="32"/>
      <c r="K26" s="32"/>
      <c r="L26" s="48">
        <v>20</v>
      </c>
      <c r="M26" s="49">
        <v>2008</v>
      </c>
      <c r="N26" s="11" t="s">
        <v>63</v>
      </c>
      <c r="O26" s="41">
        <v>56620463</v>
      </c>
      <c r="P26" s="41">
        <v>5882189</v>
      </c>
      <c r="Q26" s="41">
        <v>50738276</v>
      </c>
      <c r="R26" s="41">
        <v>509</v>
      </c>
      <c r="S26" s="41">
        <v>51</v>
      </c>
      <c r="T26" s="42">
        <v>458</v>
      </c>
    </row>
    <row r="27" spans="1:20" x14ac:dyDescent="0.25">
      <c r="A27" s="40">
        <v>21</v>
      </c>
      <c r="B27" s="11">
        <v>2007</v>
      </c>
      <c r="C27" s="11" t="s">
        <v>32</v>
      </c>
      <c r="D27" s="35">
        <v>71434038</v>
      </c>
      <c r="E27" s="35">
        <v>12481088</v>
      </c>
      <c r="F27" s="35">
        <v>58952951</v>
      </c>
      <c r="G27" s="35">
        <v>690</v>
      </c>
      <c r="H27" s="35">
        <v>156</v>
      </c>
      <c r="I27" s="43">
        <v>534</v>
      </c>
      <c r="J27" s="32"/>
      <c r="K27" s="32"/>
      <c r="L27" s="48">
        <v>21</v>
      </c>
      <c r="M27" s="49">
        <v>2008</v>
      </c>
      <c r="N27" s="11" t="s">
        <v>32</v>
      </c>
      <c r="O27" s="41">
        <v>16599189</v>
      </c>
      <c r="P27" s="41">
        <v>2910413</v>
      </c>
      <c r="Q27" s="41">
        <v>13688776</v>
      </c>
      <c r="R27" s="41">
        <v>148</v>
      </c>
      <c r="S27" s="41">
        <v>34</v>
      </c>
      <c r="T27" s="42">
        <v>114</v>
      </c>
    </row>
    <row r="28" spans="1:20" x14ac:dyDescent="0.25">
      <c r="A28" s="40">
        <v>22</v>
      </c>
      <c r="B28" s="11">
        <v>2007</v>
      </c>
      <c r="C28" s="11" t="s">
        <v>34</v>
      </c>
      <c r="D28" s="41">
        <v>29009401</v>
      </c>
      <c r="E28" s="41">
        <v>864500</v>
      </c>
      <c r="F28" s="41">
        <v>28144901</v>
      </c>
      <c r="G28" s="41">
        <v>299</v>
      </c>
      <c r="H28" s="41">
        <v>8</v>
      </c>
      <c r="I28" s="42">
        <v>291</v>
      </c>
      <c r="J28" s="32"/>
      <c r="K28" s="32"/>
      <c r="L28" s="48">
        <v>22</v>
      </c>
      <c r="M28" s="49">
        <v>2008</v>
      </c>
      <c r="N28" s="11" t="s">
        <v>34</v>
      </c>
      <c r="O28" s="41">
        <v>13882576</v>
      </c>
      <c r="P28" s="41">
        <v>556676</v>
      </c>
      <c r="Q28" s="41">
        <v>13325900</v>
      </c>
      <c r="R28" s="41">
        <v>134</v>
      </c>
      <c r="S28" s="41">
        <v>5</v>
      </c>
      <c r="T28" s="42">
        <v>129</v>
      </c>
    </row>
    <row r="29" spans="1:20" x14ac:dyDescent="0.25">
      <c r="A29" s="40">
        <v>23</v>
      </c>
      <c r="B29" s="11">
        <v>2007</v>
      </c>
      <c r="C29" s="11" t="s">
        <v>64</v>
      </c>
      <c r="D29" s="41">
        <v>18414814</v>
      </c>
      <c r="E29" s="41">
        <v>1813913</v>
      </c>
      <c r="F29" s="41">
        <v>16600901</v>
      </c>
      <c r="G29" s="41">
        <v>179</v>
      </c>
      <c r="H29" s="41">
        <v>15</v>
      </c>
      <c r="I29" s="42">
        <v>164</v>
      </c>
      <c r="J29" s="32"/>
      <c r="K29" s="32"/>
      <c r="L29" s="48">
        <v>23</v>
      </c>
      <c r="M29" s="49">
        <v>2008</v>
      </c>
      <c r="N29" s="11" t="s">
        <v>64</v>
      </c>
      <c r="O29" s="41">
        <v>27383126</v>
      </c>
      <c r="P29" s="41">
        <v>2113251</v>
      </c>
      <c r="Q29" s="41">
        <v>25269876</v>
      </c>
      <c r="R29" s="41">
        <v>259</v>
      </c>
      <c r="S29" s="41">
        <v>16</v>
      </c>
      <c r="T29" s="42">
        <v>243</v>
      </c>
    </row>
    <row r="30" spans="1:20" x14ac:dyDescent="0.25">
      <c r="A30" s="40">
        <v>24</v>
      </c>
      <c r="B30" s="11">
        <v>2007</v>
      </c>
      <c r="C30" s="11" t="s">
        <v>65</v>
      </c>
      <c r="D30" s="41">
        <v>30654401</v>
      </c>
      <c r="E30" s="41">
        <v>2141601</v>
      </c>
      <c r="F30" s="41">
        <v>28512801</v>
      </c>
      <c r="G30" s="41">
        <v>288</v>
      </c>
      <c r="H30" s="41">
        <v>20</v>
      </c>
      <c r="I30" s="42">
        <v>268</v>
      </c>
      <c r="J30" s="32"/>
      <c r="K30" s="32"/>
      <c r="L30" s="48">
        <v>24</v>
      </c>
      <c r="M30" s="49">
        <v>2008</v>
      </c>
      <c r="N30" s="11" t="s">
        <v>65</v>
      </c>
      <c r="O30" s="41">
        <v>49706476</v>
      </c>
      <c r="P30" s="41">
        <v>2424101</v>
      </c>
      <c r="Q30" s="41">
        <v>47282376</v>
      </c>
      <c r="R30" s="41">
        <v>403</v>
      </c>
      <c r="S30" s="41">
        <v>20</v>
      </c>
      <c r="T30" s="42">
        <v>383</v>
      </c>
    </row>
    <row r="31" spans="1:20" x14ac:dyDescent="0.25">
      <c r="A31" s="40">
        <v>25</v>
      </c>
      <c r="B31" s="11">
        <v>2007</v>
      </c>
      <c r="C31" s="11" t="s">
        <v>37</v>
      </c>
      <c r="D31" s="41">
        <v>114917164</v>
      </c>
      <c r="E31" s="41">
        <v>26852145</v>
      </c>
      <c r="F31" s="41">
        <v>88065019</v>
      </c>
      <c r="G31" s="41">
        <v>1072</v>
      </c>
      <c r="H31" s="41">
        <v>206</v>
      </c>
      <c r="I31" s="42">
        <v>866</v>
      </c>
      <c r="J31" s="32"/>
      <c r="K31" s="32"/>
      <c r="L31" s="48">
        <v>25</v>
      </c>
      <c r="M31" s="49">
        <v>2008</v>
      </c>
      <c r="N31" s="11" t="s">
        <v>37</v>
      </c>
      <c r="O31" s="41">
        <v>12199688</v>
      </c>
      <c r="P31" s="41">
        <v>2166838</v>
      </c>
      <c r="Q31" s="41">
        <v>10032851</v>
      </c>
      <c r="R31" s="41">
        <v>125</v>
      </c>
      <c r="S31" s="41">
        <v>23</v>
      </c>
      <c r="T31" s="42">
        <v>102</v>
      </c>
    </row>
    <row r="32" spans="1:20" x14ac:dyDescent="0.25">
      <c r="A32" s="40">
        <v>26</v>
      </c>
      <c r="B32" s="11">
        <v>2007</v>
      </c>
      <c r="C32" s="11" t="s">
        <v>66</v>
      </c>
      <c r="D32" s="35">
        <v>68318776</v>
      </c>
      <c r="E32" s="35">
        <v>7895938</v>
      </c>
      <c r="F32" s="35">
        <v>60422838</v>
      </c>
      <c r="G32" s="35">
        <v>630</v>
      </c>
      <c r="H32" s="35">
        <v>68</v>
      </c>
      <c r="I32" s="43">
        <v>562</v>
      </c>
      <c r="J32" s="36"/>
      <c r="K32" s="32"/>
      <c r="L32" s="48">
        <v>26</v>
      </c>
      <c r="M32" s="49">
        <v>2008</v>
      </c>
      <c r="N32" s="11" t="s">
        <v>66</v>
      </c>
      <c r="O32" s="41">
        <v>41993701</v>
      </c>
      <c r="P32" s="41">
        <v>6679288</v>
      </c>
      <c r="Q32" s="41">
        <v>35314413</v>
      </c>
      <c r="R32" s="41">
        <v>400</v>
      </c>
      <c r="S32" s="41">
        <v>63</v>
      </c>
      <c r="T32" s="42">
        <v>337</v>
      </c>
    </row>
    <row r="33" spans="1:20" x14ac:dyDescent="0.25">
      <c r="A33" s="40">
        <v>27</v>
      </c>
      <c r="B33" s="11">
        <v>2007</v>
      </c>
      <c r="C33" s="11" t="s">
        <v>67</v>
      </c>
      <c r="D33" s="41">
        <v>32425800</v>
      </c>
      <c r="E33" s="41">
        <v>4988000</v>
      </c>
      <c r="F33" s="41">
        <v>27437800</v>
      </c>
      <c r="G33" s="41">
        <v>274</v>
      </c>
      <c r="H33" s="41">
        <v>40</v>
      </c>
      <c r="I33" s="42">
        <v>234</v>
      </c>
      <c r="J33" s="32"/>
      <c r="K33" s="32"/>
      <c r="L33" s="48">
        <v>27</v>
      </c>
      <c r="M33" s="49">
        <v>2008</v>
      </c>
      <c r="N33" s="11" t="s">
        <v>67</v>
      </c>
      <c r="O33" s="41">
        <v>12645100</v>
      </c>
      <c r="P33" s="41">
        <v>2836500</v>
      </c>
      <c r="Q33" s="41">
        <v>9808600</v>
      </c>
      <c r="R33" s="41">
        <v>110</v>
      </c>
      <c r="S33" s="41">
        <v>25</v>
      </c>
      <c r="T33" s="42">
        <v>85</v>
      </c>
    </row>
    <row r="34" spans="1:20" x14ac:dyDescent="0.25">
      <c r="A34" s="40">
        <v>28</v>
      </c>
      <c r="B34" s="11">
        <v>2007</v>
      </c>
      <c r="C34" s="11" t="s">
        <v>68</v>
      </c>
      <c r="D34" s="41">
        <v>58981739</v>
      </c>
      <c r="E34" s="41">
        <v>12944926</v>
      </c>
      <c r="F34" s="41">
        <v>46036813</v>
      </c>
      <c r="G34" s="41">
        <v>551</v>
      </c>
      <c r="H34" s="41">
        <v>119</v>
      </c>
      <c r="I34" s="42">
        <v>432</v>
      </c>
      <c r="J34" s="32"/>
      <c r="K34" s="32"/>
      <c r="L34" s="48">
        <v>28</v>
      </c>
      <c r="M34" s="49">
        <v>2008</v>
      </c>
      <c r="N34" s="11" t="s">
        <v>68</v>
      </c>
      <c r="O34" s="41">
        <v>31012188</v>
      </c>
      <c r="P34" s="41">
        <v>8232623</v>
      </c>
      <c r="Q34" s="41">
        <v>22779567</v>
      </c>
      <c r="R34" s="41">
        <v>289</v>
      </c>
      <c r="S34" s="41">
        <v>45</v>
      </c>
      <c r="T34" s="42">
        <v>244</v>
      </c>
    </row>
    <row r="35" spans="1:20" ht="15.75" thickBot="1" x14ac:dyDescent="0.3">
      <c r="A35" s="44">
        <v>29</v>
      </c>
      <c r="B35" s="45">
        <v>2007</v>
      </c>
      <c r="C35" s="45" t="s">
        <v>69</v>
      </c>
      <c r="D35" s="46">
        <v>32410788</v>
      </c>
      <c r="E35" s="46">
        <v>4701988</v>
      </c>
      <c r="F35" s="46">
        <v>27708801</v>
      </c>
      <c r="G35" s="46">
        <v>316</v>
      </c>
      <c r="H35" s="46">
        <v>45</v>
      </c>
      <c r="I35" s="47">
        <v>271</v>
      </c>
      <c r="J35" s="32"/>
      <c r="K35" s="32"/>
      <c r="L35" s="50">
        <v>29</v>
      </c>
      <c r="M35" s="51">
        <v>2008</v>
      </c>
      <c r="N35" s="45" t="s">
        <v>69</v>
      </c>
      <c r="O35" s="46">
        <v>23345526</v>
      </c>
      <c r="P35" s="46">
        <v>4500001</v>
      </c>
      <c r="Q35" s="46">
        <v>18845526</v>
      </c>
      <c r="R35" s="46">
        <v>218</v>
      </c>
      <c r="S35" s="46">
        <v>40</v>
      </c>
      <c r="T35" s="47">
        <v>178</v>
      </c>
    </row>
  </sheetData>
  <mergeCells count="2">
    <mergeCell ref="A3:I4"/>
    <mergeCell ref="L3:T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pane xSplit="1" ySplit="1" topLeftCell="F3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defaultRowHeight="15" x14ac:dyDescent="0.25"/>
  <cols>
    <col min="1" max="1" width="14.5703125" customWidth="1"/>
    <col min="2" max="2" width="12.5703125" bestFit="1" customWidth="1"/>
    <col min="3" max="3" width="13.5703125" bestFit="1" customWidth="1"/>
    <col min="4" max="4" width="15" bestFit="1" customWidth="1"/>
    <col min="5" max="5" width="12.7109375" bestFit="1" customWidth="1"/>
    <col min="6" max="6" width="15.7109375" bestFit="1" customWidth="1"/>
    <col min="7" max="7" width="17.140625" bestFit="1" customWidth="1"/>
    <col min="8" max="8" width="13.7109375" bestFit="1" customWidth="1"/>
    <col min="11" max="11" width="12.5703125" bestFit="1" customWidth="1"/>
    <col min="12" max="12" width="13.5703125" bestFit="1" customWidth="1"/>
    <col min="13" max="13" width="15" bestFit="1" customWidth="1"/>
    <col min="14" max="14" width="12.7109375" bestFit="1" customWidth="1"/>
    <col min="15" max="15" width="15.7109375" bestFit="1" customWidth="1"/>
    <col min="16" max="16" width="17.140625" bestFit="1" customWidth="1"/>
    <col min="17" max="17" width="13.7109375" bestFit="1" customWidth="1"/>
  </cols>
  <sheetData>
    <row r="1" spans="1:17" ht="45" x14ac:dyDescent="0.25">
      <c r="A1" s="28" t="s">
        <v>10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22" t="s">
        <v>9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4" t="s">
        <v>11</v>
      </c>
      <c r="K3" s="5" t="s">
        <v>9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10">
        <v>42736</v>
      </c>
      <c r="C4" s="8">
        <v>17322025</v>
      </c>
      <c r="D4" s="8">
        <v>51888</v>
      </c>
      <c r="E4" s="8">
        <v>17270138</v>
      </c>
      <c r="F4" s="7">
        <v>248</v>
      </c>
      <c r="G4" s="7">
        <v>0</v>
      </c>
      <c r="H4" s="9">
        <v>248</v>
      </c>
      <c r="K4" s="2">
        <v>43101</v>
      </c>
      <c r="L4" s="4">
        <v>18161763</v>
      </c>
      <c r="M4" s="4">
        <v>98525</v>
      </c>
      <c r="N4" s="4">
        <v>18063238</v>
      </c>
      <c r="O4" s="3">
        <v>196</v>
      </c>
      <c r="P4" s="3">
        <v>1</v>
      </c>
      <c r="Q4" s="3">
        <v>195</v>
      </c>
    </row>
    <row r="5" spans="1:17" ht="15" customHeight="1" x14ac:dyDescent="0.25">
      <c r="B5" s="10">
        <v>42767</v>
      </c>
      <c r="C5" s="8">
        <v>15483125</v>
      </c>
      <c r="D5" s="7">
        <v>0</v>
      </c>
      <c r="E5" s="8">
        <v>15483125</v>
      </c>
      <c r="F5" s="7">
        <v>176</v>
      </c>
      <c r="G5" s="7">
        <v>0</v>
      </c>
      <c r="H5" s="9">
        <v>176</v>
      </c>
      <c r="K5" s="2">
        <v>43132</v>
      </c>
      <c r="L5" s="4">
        <v>3001688</v>
      </c>
      <c r="M5" s="3">
        <v>0</v>
      </c>
      <c r="N5" s="4">
        <v>3001688</v>
      </c>
      <c r="O5" s="3">
        <v>28</v>
      </c>
      <c r="P5" s="3">
        <v>1</v>
      </c>
      <c r="Q5" s="3">
        <v>27</v>
      </c>
    </row>
    <row r="6" spans="1:17" ht="15" customHeight="1" x14ac:dyDescent="0.25">
      <c r="B6" s="25">
        <v>42795</v>
      </c>
      <c r="C6" s="16">
        <v>27445600</v>
      </c>
      <c r="D6" s="26">
        <v>0</v>
      </c>
      <c r="E6" s="16">
        <v>27445600</v>
      </c>
      <c r="F6" s="26">
        <v>343</v>
      </c>
      <c r="G6" s="26">
        <v>0</v>
      </c>
      <c r="H6" s="27">
        <v>343</v>
      </c>
    </row>
    <row r="7" spans="1:17" ht="15" customHeight="1" x14ac:dyDescent="0.25">
      <c r="B7" s="31"/>
      <c r="C7" s="16">
        <f>SUBTOTAL(109,Table3[Nilai Jual])</f>
        <v>60250750</v>
      </c>
      <c r="D7" s="16">
        <f>SUBTOTAL(109,Table3[Nilai Retur])</f>
        <v>51888</v>
      </c>
      <c r="E7" s="16">
        <f>SUBTOTAL(109,Table3[Jual Net])</f>
        <v>60198863</v>
      </c>
      <c r="F7" s="16">
        <f>SUBTOTAL(109,Table3[Jumlah Jual])</f>
        <v>767</v>
      </c>
      <c r="G7" s="16">
        <f>SUBTOTAL(109,Table3[Jumlah Retur])</f>
        <v>0</v>
      </c>
      <c r="H7" s="16">
        <f>SUBTOTAL(109,Table3[Jual Net2])</f>
        <v>767</v>
      </c>
    </row>
    <row r="15" spans="1:17" x14ac:dyDescent="0.25">
      <c r="C15" s="21"/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5" bestFit="1" customWidth="1"/>
    <col min="2" max="2" width="12.28515625" bestFit="1" customWidth="1"/>
    <col min="3" max="3" width="13.5703125" bestFit="1" customWidth="1"/>
    <col min="4" max="4" width="15" bestFit="1" customWidth="1"/>
    <col min="5" max="5" width="12.7109375" bestFit="1" customWidth="1"/>
    <col min="6" max="6" width="15.7109375" bestFit="1" customWidth="1"/>
    <col min="7" max="7" width="17.140625" bestFit="1" customWidth="1"/>
    <col min="8" max="8" width="13.7109375" bestFit="1" customWidth="1"/>
    <col min="11" max="11" width="12.28515625" bestFit="1" customWidth="1"/>
    <col min="12" max="12" width="13.5703125" bestFit="1" customWidth="1"/>
    <col min="13" max="13" width="15" bestFit="1" customWidth="1"/>
    <col min="14" max="14" width="12.7109375" bestFit="1" customWidth="1"/>
    <col min="15" max="15" width="15.7109375" bestFit="1" customWidth="1"/>
    <col min="16" max="16" width="17.140625" bestFit="1" customWidth="1"/>
    <col min="17" max="17" width="13.7109375" bestFit="1" customWidth="1"/>
  </cols>
  <sheetData>
    <row r="1" spans="1:17" x14ac:dyDescent="0.25">
      <c r="A1" s="18" t="s">
        <v>12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17313450</v>
      </c>
      <c r="D4" s="4">
        <v>204050</v>
      </c>
      <c r="E4" s="4">
        <v>17109400</v>
      </c>
      <c r="F4" s="3">
        <v>178</v>
      </c>
      <c r="G4" s="3">
        <v>3</v>
      </c>
      <c r="H4" s="3">
        <v>175</v>
      </c>
      <c r="K4" s="2">
        <v>43101</v>
      </c>
      <c r="L4" s="4">
        <v>8423450</v>
      </c>
      <c r="M4" s="4">
        <v>312375</v>
      </c>
      <c r="N4" s="4">
        <v>8111075</v>
      </c>
      <c r="O4" s="3">
        <v>87</v>
      </c>
      <c r="P4" s="3">
        <v>2</v>
      </c>
      <c r="Q4" s="3">
        <v>85</v>
      </c>
    </row>
    <row r="5" spans="1:17" ht="15" customHeight="1" x14ac:dyDescent="0.25">
      <c r="B5" s="2">
        <v>42767</v>
      </c>
      <c r="C5" s="4">
        <v>8825775</v>
      </c>
      <c r="D5" s="4">
        <v>2173767</v>
      </c>
      <c r="E5" s="4">
        <v>6652008</v>
      </c>
      <c r="F5" s="3">
        <v>88</v>
      </c>
      <c r="G5" s="3">
        <v>0</v>
      </c>
      <c r="H5" s="3">
        <v>88</v>
      </c>
      <c r="K5" s="2">
        <v>43132</v>
      </c>
      <c r="L5" s="4">
        <v>8149313</v>
      </c>
      <c r="M5" s="3">
        <v>0</v>
      </c>
      <c r="N5" s="4">
        <v>8149313</v>
      </c>
      <c r="O5" s="3">
        <v>87</v>
      </c>
      <c r="P5" s="3">
        <v>0</v>
      </c>
      <c r="Q5" s="3">
        <v>87</v>
      </c>
    </row>
    <row r="6" spans="1:17" ht="15" customHeight="1" x14ac:dyDescent="0.25">
      <c r="B6" s="2">
        <v>42795</v>
      </c>
      <c r="C6" s="4">
        <v>18430388</v>
      </c>
      <c r="D6" s="4">
        <v>670689</v>
      </c>
      <c r="E6" s="4">
        <v>17759699</v>
      </c>
      <c r="F6" s="3">
        <v>174</v>
      </c>
      <c r="G6" s="3">
        <v>7</v>
      </c>
      <c r="H6" s="3">
        <v>167</v>
      </c>
      <c r="K6" s="2">
        <v>43160</v>
      </c>
      <c r="L6" s="4">
        <v>8955450</v>
      </c>
      <c r="M6" s="3">
        <v>0</v>
      </c>
      <c r="N6" s="4">
        <v>8955450</v>
      </c>
      <c r="O6" s="3">
        <v>96</v>
      </c>
      <c r="P6" s="3">
        <v>0</v>
      </c>
      <c r="Q6" s="3">
        <v>96</v>
      </c>
    </row>
    <row r="7" spans="1:17" ht="15" customHeight="1" x14ac:dyDescent="0.25">
      <c r="B7" s="30"/>
      <c r="C7" s="4">
        <f>SUBTOTAL(109,Table5[Nilai Jual])</f>
        <v>44569613</v>
      </c>
      <c r="D7" s="4">
        <f>SUBTOTAL(109,Table5[Nilai Retur])</f>
        <v>3048506</v>
      </c>
      <c r="E7" s="4">
        <f>SUBTOTAL(109,Table5[Jual Net])</f>
        <v>41521107</v>
      </c>
      <c r="F7" s="4">
        <f>SUBTOTAL(109,Table5[Jumlah Jual])</f>
        <v>440</v>
      </c>
      <c r="G7" s="4">
        <f>SUBTOTAL(109,Table5[Jumlah Retur])</f>
        <v>10</v>
      </c>
      <c r="H7" s="4">
        <f>SUBTOTAL(109,Table5[Jual Net2])</f>
        <v>430</v>
      </c>
      <c r="K7" s="30"/>
      <c r="L7" s="4">
        <f>SUBTOTAL(109,Table6[Nilai Jual])</f>
        <v>25528213</v>
      </c>
      <c r="M7" s="4">
        <f>SUBTOTAL(109,Table6[Nilai Retur])</f>
        <v>312375</v>
      </c>
      <c r="N7" s="4">
        <f>SUBTOTAL(109,Table6[Jual Net])</f>
        <v>25215838</v>
      </c>
      <c r="O7" s="4">
        <f>SUBTOTAL(109,Table6[Jumlah Jual])</f>
        <v>270</v>
      </c>
      <c r="P7" s="4">
        <f>SUBTOTAL(109,Table6[Jumlah Retur])</f>
        <v>2</v>
      </c>
      <c r="Q7" s="4">
        <f>SUBTOTAL(109,Table6[Jual Net2])</f>
        <v>268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2.7109375" customWidth="1"/>
    <col min="2" max="2" width="12.28515625" bestFit="1" customWidth="1"/>
    <col min="3" max="3" width="13.5703125" bestFit="1" customWidth="1"/>
    <col min="4" max="4" width="15" bestFit="1" customWidth="1"/>
    <col min="5" max="5" width="12.7109375" bestFit="1" customWidth="1"/>
    <col min="6" max="6" width="15.7109375" bestFit="1" customWidth="1"/>
    <col min="7" max="7" width="17.140625" bestFit="1" customWidth="1"/>
    <col min="8" max="8" width="13.7109375" bestFit="1" customWidth="1"/>
    <col min="11" max="11" width="12.28515625" bestFit="1" customWidth="1"/>
    <col min="12" max="12" width="13.5703125" bestFit="1" customWidth="1"/>
    <col min="13" max="13" width="15" bestFit="1" customWidth="1"/>
    <col min="14" max="14" width="12.7109375" bestFit="1" customWidth="1"/>
    <col min="15" max="15" width="15.7109375" bestFit="1" customWidth="1"/>
    <col min="16" max="16" width="17.140625" bestFit="1" customWidth="1"/>
    <col min="17" max="17" width="13.7109375" bestFit="1" customWidth="1"/>
  </cols>
  <sheetData>
    <row r="1" spans="1:17" ht="30" x14ac:dyDescent="0.25">
      <c r="A1" s="28" t="s">
        <v>21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16590613</v>
      </c>
      <c r="D4" s="4">
        <v>577063</v>
      </c>
      <c r="E4" s="4">
        <v>16013550</v>
      </c>
      <c r="F4" s="3">
        <v>144</v>
      </c>
      <c r="G4" s="3">
        <v>5</v>
      </c>
      <c r="H4" s="3">
        <v>139</v>
      </c>
      <c r="K4" s="2">
        <v>43101</v>
      </c>
      <c r="L4" s="4">
        <v>23343950</v>
      </c>
      <c r="M4" s="4">
        <v>328125</v>
      </c>
      <c r="N4" s="4">
        <v>23015825</v>
      </c>
      <c r="O4" s="3">
        <v>211</v>
      </c>
      <c r="P4" s="3">
        <v>4</v>
      </c>
      <c r="Q4" s="3">
        <v>207</v>
      </c>
    </row>
    <row r="5" spans="1:17" ht="15" customHeight="1" x14ac:dyDescent="0.25">
      <c r="B5" s="2">
        <v>42767</v>
      </c>
      <c r="C5" s="4">
        <v>23860200</v>
      </c>
      <c r="D5" s="4">
        <v>371925</v>
      </c>
      <c r="E5" s="4">
        <v>23488275</v>
      </c>
      <c r="F5" s="3">
        <v>197</v>
      </c>
      <c r="G5" s="3">
        <v>3</v>
      </c>
      <c r="H5" s="3">
        <v>194</v>
      </c>
      <c r="K5" s="2">
        <v>43132</v>
      </c>
      <c r="L5" s="4">
        <v>19204238</v>
      </c>
      <c r="M5" s="4">
        <v>1678838</v>
      </c>
      <c r="N5" s="4">
        <v>17525400</v>
      </c>
      <c r="O5" s="3">
        <v>167</v>
      </c>
      <c r="P5" s="3">
        <v>13</v>
      </c>
      <c r="Q5" s="3">
        <v>154</v>
      </c>
    </row>
    <row r="6" spans="1:17" ht="15" customHeight="1" x14ac:dyDescent="0.25">
      <c r="B6" s="2">
        <v>42795</v>
      </c>
      <c r="C6" s="4">
        <v>24631250</v>
      </c>
      <c r="D6" s="4">
        <v>609700</v>
      </c>
      <c r="E6" s="4">
        <v>24021550</v>
      </c>
      <c r="F6" s="3">
        <v>214</v>
      </c>
      <c r="G6" s="3">
        <v>5</v>
      </c>
      <c r="H6" s="3">
        <v>209</v>
      </c>
      <c r="K6" s="2">
        <v>43160</v>
      </c>
      <c r="L6" s="4">
        <v>13209700</v>
      </c>
      <c r="M6" s="4">
        <v>1058925</v>
      </c>
      <c r="N6" s="4">
        <v>12150775</v>
      </c>
      <c r="O6" s="3">
        <v>118</v>
      </c>
      <c r="P6" s="3">
        <v>14</v>
      </c>
      <c r="Q6" s="3">
        <v>104</v>
      </c>
    </row>
    <row r="7" spans="1:17" ht="15" customHeight="1" x14ac:dyDescent="0.25">
      <c r="B7" s="30"/>
      <c r="C7" s="4">
        <f>SUBTOTAL(109,Table7[Nilai Jual])</f>
        <v>65082063</v>
      </c>
      <c r="D7" s="4">
        <f>SUBTOTAL(109,Table7[Nilai Retur])</f>
        <v>1558688</v>
      </c>
      <c r="E7" s="4">
        <f>SUBTOTAL(109,Table7[Jual Net])</f>
        <v>63523375</v>
      </c>
      <c r="F7" s="4">
        <f>SUBTOTAL(109,Table7[Jumlah Jual])</f>
        <v>555</v>
      </c>
      <c r="G7" s="4">
        <f>SUBTOTAL(109,Table7[Jumlah Retur])</f>
        <v>13</v>
      </c>
      <c r="H7" s="4">
        <f>SUBTOTAL(109,Table7[Jual Net2])</f>
        <v>542</v>
      </c>
      <c r="K7" s="30"/>
      <c r="L7" s="4">
        <f>SUBTOTAL(109,Table8[Nilai Jual])</f>
        <v>55757888</v>
      </c>
      <c r="M7" s="4">
        <f>SUBTOTAL(109,Table8[Nilai Retur])</f>
        <v>3065888</v>
      </c>
      <c r="N7" s="4">
        <f>SUBTOTAL(109,Table8[Jual Net])</f>
        <v>52692000</v>
      </c>
      <c r="O7" s="4">
        <f>SUBTOTAL(109,Table8[Jumlah Jual])</f>
        <v>496</v>
      </c>
      <c r="P7" s="4">
        <f>SUBTOTAL(109,Table8[Jumlah Retur])</f>
        <v>31</v>
      </c>
      <c r="Q7" s="4">
        <f>SUBTOTAL(109,Table8[Jual Net2])</f>
        <v>465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L7" sqref="L7:Q7"/>
    </sheetView>
  </sheetViews>
  <sheetFormatPr defaultRowHeight="15" x14ac:dyDescent="0.25"/>
  <cols>
    <col min="1" max="1" width="17.71093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13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26015700</v>
      </c>
      <c r="D4" s="4">
        <v>10835988</v>
      </c>
      <c r="E4" s="4">
        <v>15179713</v>
      </c>
      <c r="F4" s="3">
        <v>247</v>
      </c>
      <c r="G4" s="3">
        <v>94</v>
      </c>
      <c r="H4" s="3">
        <v>153</v>
      </c>
      <c r="K4" s="2">
        <v>43101</v>
      </c>
      <c r="L4" s="4">
        <v>12627400</v>
      </c>
      <c r="M4" s="4">
        <v>4059800</v>
      </c>
      <c r="N4" s="4">
        <v>8567600</v>
      </c>
      <c r="O4" s="3">
        <v>101</v>
      </c>
      <c r="P4" s="3">
        <v>33</v>
      </c>
      <c r="Q4" s="3">
        <v>68</v>
      </c>
    </row>
    <row r="5" spans="1:17" ht="15" customHeight="1" x14ac:dyDescent="0.25">
      <c r="B5" s="2">
        <v>42767</v>
      </c>
      <c r="C5" s="4">
        <v>16264900</v>
      </c>
      <c r="D5" s="4">
        <v>5119900</v>
      </c>
      <c r="E5" s="4">
        <v>11145000</v>
      </c>
      <c r="F5" s="3">
        <v>130</v>
      </c>
      <c r="G5" s="3">
        <v>40</v>
      </c>
      <c r="H5" s="3">
        <v>90</v>
      </c>
      <c r="K5" s="2">
        <v>43132</v>
      </c>
      <c r="L5" s="4">
        <v>6292400</v>
      </c>
      <c r="M5" s="4">
        <v>1817600</v>
      </c>
      <c r="N5" s="4">
        <v>4474800</v>
      </c>
      <c r="O5" s="3">
        <v>53</v>
      </c>
      <c r="P5" s="3">
        <v>15</v>
      </c>
      <c r="Q5" s="3">
        <v>38</v>
      </c>
    </row>
    <row r="6" spans="1:17" ht="15" customHeight="1" x14ac:dyDescent="0.25">
      <c r="B6" s="2">
        <v>42795</v>
      </c>
      <c r="C6" s="4">
        <v>54977000</v>
      </c>
      <c r="D6" s="4">
        <v>7856800</v>
      </c>
      <c r="E6" s="4">
        <v>47120200</v>
      </c>
      <c r="F6" s="3">
        <v>464</v>
      </c>
      <c r="G6" s="3">
        <v>61</v>
      </c>
      <c r="H6" s="3">
        <v>403</v>
      </c>
      <c r="K6" s="2">
        <v>43160</v>
      </c>
      <c r="L6" s="4">
        <v>10672200</v>
      </c>
      <c r="M6" s="4">
        <v>2341688</v>
      </c>
      <c r="N6" s="4">
        <v>8330513</v>
      </c>
      <c r="O6" s="3">
        <v>89</v>
      </c>
      <c r="P6" s="3">
        <v>20</v>
      </c>
      <c r="Q6" s="3">
        <v>69</v>
      </c>
    </row>
    <row r="7" spans="1:17" ht="15" customHeight="1" x14ac:dyDescent="0.25">
      <c r="B7" s="30"/>
      <c r="C7" s="4">
        <f>SUBTOTAL(109,Table9[Nilai Jual])</f>
        <v>97257600</v>
      </c>
      <c r="D7" s="4">
        <f>SUBTOTAL(109,Table9[Nilai Retur])</f>
        <v>23812688</v>
      </c>
      <c r="E7" s="4">
        <f>SUBTOTAL(109,Table9[Jual Net])</f>
        <v>73444913</v>
      </c>
      <c r="F7" s="4">
        <f>SUBTOTAL(109,Table9[Jumlah Jual])</f>
        <v>841</v>
      </c>
      <c r="G7" s="4">
        <f>SUBTOTAL(109,Table9[Jumlah Retur])</f>
        <v>195</v>
      </c>
      <c r="H7" s="4">
        <f>SUBTOTAL(109,Table9[Jual Net2])</f>
        <v>646</v>
      </c>
      <c r="K7" s="30"/>
      <c r="L7" s="4">
        <f>SUBTOTAL(109,Table10[Nilai Jual])</f>
        <v>29592000</v>
      </c>
      <c r="M7" s="4">
        <f>SUBTOTAL(109,Table10[Nilai Retur])</f>
        <v>8219088</v>
      </c>
      <c r="N7" s="4">
        <f>SUBTOTAL(109,Table10[Jual Net])</f>
        <v>21372913</v>
      </c>
      <c r="O7" s="4">
        <f>SUBTOTAL(109,Table10[Jumlah Jual])</f>
        <v>243</v>
      </c>
      <c r="P7" s="4">
        <f>SUBTOTAL(109,Table10[Jumlah Retur])</f>
        <v>68</v>
      </c>
      <c r="Q7" s="4">
        <f>SUBTOTAL(109,Table10[Jual Net2])</f>
        <v>175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defaultRowHeight="15" x14ac:dyDescent="0.25"/>
  <cols>
    <col min="1" max="1" width="18.425781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</cols>
  <sheetData>
    <row r="1" spans="1:19" ht="30" x14ac:dyDescent="0.25">
      <c r="A1" s="28" t="s">
        <v>14</v>
      </c>
      <c r="B1" s="52">
        <v>2017</v>
      </c>
      <c r="C1" s="52"/>
      <c r="D1" s="52"/>
      <c r="E1" s="52"/>
      <c r="F1" s="52"/>
      <c r="G1" s="52"/>
      <c r="H1" s="52"/>
    </row>
    <row r="3" spans="1:19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</row>
    <row r="4" spans="1:19" ht="15" customHeight="1" x14ac:dyDescent="0.25">
      <c r="B4" s="2">
        <v>42736</v>
      </c>
      <c r="C4" s="4">
        <v>19274238</v>
      </c>
      <c r="D4" s="4">
        <v>5105800</v>
      </c>
      <c r="E4" s="4">
        <v>14168438</v>
      </c>
      <c r="F4" s="3">
        <v>194</v>
      </c>
      <c r="G4" s="3">
        <v>53</v>
      </c>
      <c r="H4" s="3">
        <v>141</v>
      </c>
      <c r="K4" s="1" t="s">
        <v>1</v>
      </c>
      <c r="L4" s="2"/>
      <c r="M4" s="3"/>
      <c r="N4" s="4"/>
      <c r="O4" s="4"/>
      <c r="P4" s="4"/>
      <c r="Q4" s="3"/>
      <c r="R4" s="3"/>
      <c r="S4" s="3"/>
    </row>
    <row r="5" spans="1:19" ht="15" customHeight="1" x14ac:dyDescent="0.25">
      <c r="B5" s="2">
        <v>42767</v>
      </c>
      <c r="C5" s="4">
        <v>27351363</v>
      </c>
      <c r="D5" s="4">
        <v>5133713</v>
      </c>
      <c r="E5" s="4">
        <v>22217650</v>
      </c>
      <c r="F5" s="3">
        <v>276</v>
      </c>
      <c r="G5" s="3">
        <v>50</v>
      </c>
      <c r="H5" s="3">
        <v>226</v>
      </c>
      <c r="K5" s="1" t="s">
        <v>1</v>
      </c>
    </row>
    <row r="6" spans="1:19" ht="15" customHeight="1" x14ac:dyDescent="0.25">
      <c r="B6" s="2">
        <v>42795</v>
      </c>
      <c r="C6" s="4">
        <v>56435925</v>
      </c>
      <c r="D6" s="4">
        <v>6790613</v>
      </c>
      <c r="E6" s="4">
        <v>49645313</v>
      </c>
      <c r="F6" s="3">
        <v>539</v>
      </c>
      <c r="G6" s="3">
        <v>67</v>
      </c>
      <c r="H6" s="3">
        <v>472</v>
      </c>
      <c r="K6" s="1" t="s">
        <v>1</v>
      </c>
    </row>
  </sheetData>
  <mergeCells count="1">
    <mergeCell ref="B1:H1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P11" sqref="P11"/>
    </sheetView>
  </sheetViews>
  <sheetFormatPr defaultRowHeight="15" x14ac:dyDescent="0.25"/>
  <cols>
    <col min="1" max="1" width="14" bestFit="1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18" t="s">
        <v>15</v>
      </c>
      <c r="B1" s="52">
        <v>2017</v>
      </c>
      <c r="C1" s="52"/>
      <c r="D1" s="52"/>
      <c r="E1" s="52"/>
      <c r="F1" s="52"/>
      <c r="G1" s="52"/>
      <c r="H1" s="52"/>
      <c r="K1" s="52">
        <v>2018</v>
      </c>
      <c r="L1" s="52"/>
      <c r="M1" s="52"/>
      <c r="N1" s="52"/>
      <c r="O1" s="52"/>
      <c r="P1" s="52"/>
      <c r="Q1" s="52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13187475</v>
      </c>
      <c r="D4" s="4">
        <v>422800</v>
      </c>
      <c r="E4" s="4">
        <v>12764675</v>
      </c>
      <c r="F4" s="3">
        <v>115</v>
      </c>
      <c r="G4" s="3">
        <v>4</v>
      </c>
      <c r="H4" s="3">
        <v>111</v>
      </c>
      <c r="K4" s="2">
        <v>43101</v>
      </c>
      <c r="L4" s="4">
        <v>11544925</v>
      </c>
      <c r="M4" s="3">
        <v>0</v>
      </c>
      <c r="N4" s="4">
        <v>11544925</v>
      </c>
      <c r="O4" s="3">
        <v>109</v>
      </c>
      <c r="P4" s="3">
        <v>0</v>
      </c>
      <c r="Q4" s="3">
        <v>109</v>
      </c>
    </row>
    <row r="5" spans="1:17" ht="15" customHeight="1" x14ac:dyDescent="0.25">
      <c r="B5" s="2">
        <v>42767</v>
      </c>
      <c r="C5" s="4">
        <v>27518313</v>
      </c>
      <c r="D5" s="4">
        <v>497875</v>
      </c>
      <c r="E5" s="4">
        <v>27020438</v>
      </c>
      <c r="F5" s="3">
        <v>240</v>
      </c>
      <c r="G5" s="3">
        <v>5</v>
      </c>
      <c r="H5" s="3">
        <v>235</v>
      </c>
      <c r="K5" s="2">
        <v>43132</v>
      </c>
      <c r="L5" s="4">
        <v>19589850</v>
      </c>
      <c r="M5" s="4">
        <v>498663</v>
      </c>
      <c r="N5" s="4">
        <v>19091188</v>
      </c>
      <c r="O5" s="3">
        <v>179</v>
      </c>
      <c r="P5" s="3">
        <v>5</v>
      </c>
      <c r="Q5" s="3">
        <v>174</v>
      </c>
    </row>
    <row r="6" spans="1:17" ht="15" customHeight="1" x14ac:dyDescent="0.25">
      <c r="B6" s="2">
        <v>42795</v>
      </c>
      <c r="C6" s="4">
        <v>42126000</v>
      </c>
      <c r="D6" s="4">
        <v>1024013</v>
      </c>
      <c r="E6" s="4">
        <v>41101988</v>
      </c>
      <c r="F6" s="3">
        <v>371</v>
      </c>
      <c r="G6" s="3">
        <v>10</v>
      </c>
      <c r="H6" s="3">
        <v>361</v>
      </c>
      <c r="K6" s="2">
        <v>43160</v>
      </c>
      <c r="L6" s="4">
        <v>20616138</v>
      </c>
      <c r="M6" s="4">
        <v>0</v>
      </c>
      <c r="N6" s="4">
        <v>20616138</v>
      </c>
      <c r="O6" s="3">
        <v>186</v>
      </c>
      <c r="P6" s="3">
        <v>0</v>
      </c>
      <c r="Q6" s="3">
        <v>186</v>
      </c>
    </row>
    <row r="7" spans="1:17" ht="15" customHeight="1" x14ac:dyDescent="0.25">
      <c r="B7" s="30"/>
      <c r="C7" s="4">
        <f>SUBTOTAL(109,Table12[Nilai Jual])</f>
        <v>82831788</v>
      </c>
      <c r="D7" s="4">
        <f>SUBTOTAL(109,Table12[Nilai Retur])</f>
        <v>1944688</v>
      </c>
      <c r="E7" s="4">
        <f>SUBTOTAL(109,Table12[Jual Net])</f>
        <v>80887101</v>
      </c>
      <c r="F7" s="4">
        <f>SUBTOTAL(109,Table12[Jumlah Jual])</f>
        <v>726</v>
      </c>
      <c r="G7" s="4">
        <f>SUBTOTAL(109,Table12[Jumlah Retur])</f>
        <v>19</v>
      </c>
      <c r="H7" s="4">
        <f>SUBTOTAL(109,Table12[Jual Net2])</f>
        <v>707</v>
      </c>
      <c r="K7" s="30"/>
      <c r="L7" s="4">
        <f>SUBTOTAL(109,Table13[Nilai Jual])</f>
        <v>51750913</v>
      </c>
      <c r="M7" s="4">
        <f>SUBTOTAL(109,Table13[Nilai Retur])</f>
        <v>498663</v>
      </c>
      <c r="N7" s="4">
        <f>SUBTOTAL(109,Table13[Jual Net])</f>
        <v>51252251</v>
      </c>
      <c r="O7" s="4">
        <f>SUBTOTAL(109,Table13[Jumlah Jual])</f>
        <v>474</v>
      </c>
      <c r="P7" s="4">
        <f>SUBTOTAL(109,Table13[Jumlah Retur])</f>
        <v>5</v>
      </c>
      <c r="Q7" s="4">
        <f>SUBTOTAL(109,Table13[Jual Net2])</f>
        <v>469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Atlantis</vt:lpstr>
      <vt:lpstr>Bandros</vt:lpstr>
      <vt:lpstr>Taufik</vt:lpstr>
      <vt:lpstr>Anip</vt:lpstr>
      <vt:lpstr>Puja</vt:lpstr>
      <vt:lpstr>Ade Gilang</vt:lpstr>
      <vt:lpstr>JM</vt:lpstr>
      <vt:lpstr>Kurnia Eka Jaya</vt:lpstr>
      <vt:lpstr>Wenpi</vt:lpstr>
      <vt:lpstr>Samsul Bahri</vt:lpstr>
      <vt:lpstr>Imas Jub</vt:lpstr>
      <vt:lpstr>Dedi K</vt:lpstr>
      <vt:lpstr>Muh Irfan</vt:lpstr>
      <vt:lpstr>Indra F</vt:lpstr>
      <vt:lpstr>Yuan</vt:lpstr>
      <vt:lpstr>Martin</vt:lpstr>
      <vt:lpstr>Misbah</vt:lpstr>
      <vt:lpstr>Chandra</vt:lpstr>
      <vt:lpstr>Asep Fahmi</vt:lpstr>
      <vt:lpstr>Takur</vt:lpstr>
      <vt:lpstr>Meki</vt:lpstr>
      <vt:lpstr>Dede M</vt:lpstr>
      <vt:lpstr>Mulana R</vt:lpstr>
      <vt:lpstr>Nillam</vt:lpstr>
      <vt:lpstr>Agus And</vt:lpstr>
      <vt:lpstr>Ligart</vt:lpstr>
      <vt:lpstr>Narnia</vt:lpstr>
      <vt:lpstr>Irmayanti</vt:lpstr>
      <vt:lpstr>Gunanjar</vt:lpstr>
      <vt:lpstr>Dirwan</vt:lpstr>
      <vt:lpstr>Asep Jenal</vt:lpstr>
      <vt:lpstr>LPM</vt:lpstr>
      <vt:lpstr>Bojes</vt:lpstr>
      <vt:lpstr>Mulyana</vt:lpstr>
      <vt:lpstr>Feri D</vt:lpstr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2018-03-15T07:31:59Z</dcterms:created>
  <dcterms:modified xsi:type="dcterms:W3CDTF">2018-03-31T04:04:22Z</dcterms:modified>
</cp:coreProperties>
</file>