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0.xml" ContentType="application/vnd.openxmlformats-officedocument.drawing+xml"/>
  <Override PartName="/xl/tables/table18.xml" ContentType="application/vnd.openxmlformats-officedocument.spreadsheetml.tabl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6.xml" ContentType="application/vnd.openxmlformats-officedocument.drawing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7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8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9.xml" ContentType="application/vnd.openxmlformats-officedocument.drawing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20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21.xml" ContentType="application/vnd.openxmlformats-officedocument.drawing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2.xml" ContentType="application/vnd.openxmlformats-officedocument.drawing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23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drawings/drawing24.xml" ContentType="application/vnd.openxmlformats-officedocument.drawing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25.xml" ContentType="application/vnd.openxmlformats-officedocument.drawing+xml"/>
  <Override PartName="/xl/tables/table47.xml" ContentType="application/vnd.openxmlformats-officedocument.spreadsheetml.table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6.xml" ContentType="application/vnd.openxmlformats-officedocument.drawing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27.xml" ContentType="application/vnd.openxmlformats-officedocument.drawingml.chartshapes+xml"/>
  <Override PartName="/xl/charts/chart96.xml" ContentType="application/vnd.openxmlformats-officedocument.drawingml.chart+xml"/>
  <Override PartName="/xl/drawings/drawing28.xml" ContentType="application/vnd.openxmlformats-officedocument.drawing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9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30.xml" ContentType="application/vnd.openxmlformats-officedocument.drawing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31.xml" ContentType="application/vnd.openxmlformats-officedocument.drawing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32.xml" ContentType="application/vnd.openxmlformats-officedocument.drawing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33.xml" ContentType="application/vnd.openxmlformats-officedocument.drawing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34.xml" ContentType="application/vnd.openxmlformats-officedocument.drawing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drawings/drawing35.xml" ContentType="application/vnd.openxmlformats-officedocument.drawing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drawings/drawing36.xml" ContentType="application/vnd.openxmlformats-officedocument.drawing+xml"/>
  <Override PartName="/xl/charts/chart1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tabRatio="741" firstSheet="26" activeTab="36"/>
  </bookViews>
  <sheets>
    <sheet name="Atlantis" sheetId="1" r:id="rId1"/>
    <sheet name="Bandros" sheetId="2" r:id="rId2"/>
    <sheet name="Taufik" sheetId="3" r:id="rId3"/>
    <sheet name="Anip" sheetId="4" r:id="rId4"/>
    <sheet name="Puja" sheetId="5" r:id="rId5"/>
    <sheet name="Ade Gilang" sheetId="6" r:id="rId6"/>
    <sheet name="JM" sheetId="7" r:id="rId7"/>
    <sheet name="Kurnia Eka Jaya" sheetId="8" r:id="rId8"/>
    <sheet name="Wenpi" sheetId="9" r:id="rId9"/>
    <sheet name="Samsul Bahri" sheetId="10" r:id="rId10"/>
    <sheet name="Imas Jub" sheetId="11" r:id="rId11"/>
    <sheet name="Dedi K" sheetId="12" r:id="rId12"/>
    <sheet name="Muh Irfan" sheetId="13" r:id="rId13"/>
    <sheet name="Indra F" sheetId="14" r:id="rId14"/>
    <sheet name="Yuan" sheetId="15" r:id="rId15"/>
    <sheet name="Martin" sheetId="16" r:id="rId16"/>
    <sheet name="Misbah" sheetId="17" r:id="rId17"/>
    <sheet name="Chandra" sheetId="18" r:id="rId18"/>
    <sheet name="Asep Fahmi" sheetId="19" r:id="rId19"/>
    <sheet name="Takur" sheetId="20" r:id="rId20"/>
    <sheet name="Meki" sheetId="21" r:id="rId21"/>
    <sheet name="Dede M" sheetId="22" r:id="rId22"/>
    <sheet name="Mulana R" sheetId="23" r:id="rId23"/>
    <sheet name="Nillam" sheetId="24" r:id="rId24"/>
    <sheet name="Agus And" sheetId="25" r:id="rId25"/>
    <sheet name="Ligart" sheetId="26" r:id="rId26"/>
    <sheet name="Narnia" sheetId="27" r:id="rId27"/>
    <sheet name="Irmayanti" sheetId="28" r:id="rId28"/>
    <sheet name="Gunanjar" sheetId="29" r:id="rId29"/>
    <sheet name="Dirwan" sheetId="30" r:id="rId30"/>
    <sheet name="Asep Jenal" sheetId="31" r:id="rId31"/>
    <sheet name="LPM" sheetId="32" r:id="rId32"/>
    <sheet name="Bojes" sheetId="33" r:id="rId33"/>
    <sheet name="Mulyana" sheetId="34" r:id="rId34"/>
    <sheet name="Feri D" sheetId="35" r:id="rId35"/>
    <sheet name="Ttl 2017-2018" sheetId="36" r:id="rId36"/>
    <sheet name="Total" sheetId="39" r:id="rId37"/>
    <sheet name="April" sheetId="37" r:id="rId38"/>
    <sheet name="Mei" sheetId="38" r:id="rId39"/>
    <sheet name="Juni" sheetId="40" r:id="rId40"/>
    <sheet name="Juli" sheetId="41" r:id="rId41"/>
  </sheets>
  <calcPr calcId="144525"/>
</workbook>
</file>

<file path=xl/calcChain.xml><?xml version="1.0" encoding="utf-8"?>
<calcChain xmlns="http://schemas.openxmlformats.org/spreadsheetml/2006/main">
  <c r="BM34" i="39" l="1"/>
  <c r="AW45" i="39" l="1"/>
  <c r="BE45" i="39" s="1"/>
  <c r="AW44" i="39"/>
  <c r="BE44" i="39" s="1"/>
  <c r="AW43" i="39"/>
  <c r="BE43" i="39" s="1"/>
  <c r="AW42" i="39"/>
  <c r="BE42" i="39" s="1"/>
  <c r="AW41" i="39"/>
  <c r="BE41" i="39" s="1"/>
  <c r="AW40" i="39"/>
  <c r="BE40" i="39" s="1"/>
  <c r="AW39" i="39"/>
  <c r="BE39" i="39" s="1"/>
  <c r="AW38" i="39"/>
  <c r="BE38" i="39" s="1"/>
  <c r="AW37" i="39"/>
  <c r="BE37" i="39" s="1"/>
  <c r="AW36" i="39"/>
  <c r="BE36" i="39" s="1"/>
  <c r="AW35" i="39"/>
  <c r="BE35" i="39" s="1"/>
  <c r="AW34" i="39"/>
  <c r="BE34" i="39" s="1"/>
  <c r="AW33" i="39"/>
  <c r="BE33" i="39" s="1"/>
  <c r="AW32" i="39"/>
  <c r="BE32" i="39" s="1"/>
  <c r="AW31" i="39"/>
  <c r="BE31" i="39" s="1"/>
  <c r="AW30" i="39"/>
  <c r="BE30" i="39" s="1"/>
  <c r="AW29" i="39"/>
  <c r="BE29" i="39" s="1"/>
  <c r="AW28" i="39"/>
  <c r="BE28" i="39" s="1"/>
  <c r="AW27" i="39"/>
  <c r="BE27" i="39" s="1"/>
  <c r="AW26" i="39"/>
  <c r="BE26" i="39" s="1"/>
  <c r="AW25" i="39"/>
  <c r="BE25" i="39" s="1"/>
  <c r="AW24" i="39"/>
  <c r="BE24" i="39" s="1"/>
  <c r="AW23" i="39"/>
  <c r="BE23" i="39" s="1"/>
  <c r="AW22" i="39"/>
  <c r="BE22" i="39" s="1"/>
  <c r="AW21" i="39"/>
  <c r="BE21" i="39" s="1"/>
  <c r="AW20" i="39"/>
  <c r="BE20" i="39" s="1"/>
  <c r="AW19" i="39"/>
  <c r="BE19" i="39" s="1"/>
  <c r="AW18" i="39"/>
  <c r="BE18" i="39" s="1"/>
  <c r="AW17" i="39"/>
  <c r="BE17" i="39" s="1"/>
  <c r="AW16" i="39"/>
  <c r="BE16" i="39" s="1"/>
  <c r="AW15" i="39"/>
  <c r="BE15" i="39" s="1"/>
  <c r="AW14" i="39"/>
  <c r="BE14" i="39" s="1"/>
  <c r="AW13" i="39"/>
  <c r="BE13" i="39" s="1"/>
  <c r="AW12" i="39"/>
  <c r="BE12" i="39" s="1"/>
  <c r="AW11" i="39"/>
  <c r="BE11" i="39" s="1"/>
  <c r="AW10" i="39"/>
  <c r="BE10" i="39" s="1"/>
  <c r="AW9" i="39"/>
  <c r="BE9" i="39" s="1"/>
  <c r="AW8" i="39"/>
  <c r="BE8" i="39" s="1"/>
  <c r="AW7" i="39"/>
  <c r="BE7" i="39" s="1"/>
  <c r="AW6" i="39"/>
  <c r="BE6" i="39" s="1"/>
  <c r="AM45" i="39" l="1"/>
  <c r="AU45" i="39" s="1"/>
  <c r="BC45" i="39" s="1"/>
  <c r="BK45" i="39" s="1"/>
  <c r="AL45" i="39"/>
  <c r="AT45" i="39" s="1"/>
  <c r="BB45" i="39" s="1"/>
  <c r="BJ45" i="39" s="1"/>
  <c r="AK45" i="39"/>
  <c r="AS45" i="39" s="1"/>
  <c r="BA45" i="39" s="1"/>
  <c r="BI45" i="39" s="1"/>
  <c r="AJ45" i="39"/>
  <c r="AR45" i="39" s="1"/>
  <c r="AZ45" i="39" s="1"/>
  <c r="BH45" i="39" s="1"/>
  <c r="AI45" i="39"/>
  <c r="AQ45" i="39" s="1"/>
  <c r="AY45" i="39" s="1"/>
  <c r="BG45" i="39" s="1"/>
  <c r="AM44" i="39"/>
  <c r="AU44" i="39" s="1"/>
  <c r="BC44" i="39" s="1"/>
  <c r="BK44" i="39" s="1"/>
  <c r="AL44" i="39"/>
  <c r="AT44" i="39" s="1"/>
  <c r="BB44" i="39" s="1"/>
  <c r="BJ44" i="39" s="1"/>
  <c r="AK44" i="39"/>
  <c r="AS44" i="39" s="1"/>
  <c r="BA44" i="39" s="1"/>
  <c r="BI44" i="39" s="1"/>
  <c r="AJ44" i="39"/>
  <c r="AR44" i="39" s="1"/>
  <c r="AZ44" i="39" s="1"/>
  <c r="BH44" i="39" s="1"/>
  <c r="AI44" i="39"/>
  <c r="AQ44" i="39" s="1"/>
  <c r="AY44" i="39" s="1"/>
  <c r="BG44" i="39" s="1"/>
  <c r="AM43" i="39"/>
  <c r="AU43" i="39" s="1"/>
  <c r="BC43" i="39" s="1"/>
  <c r="BK43" i="39" s="1"/>
  <c r="AL43" i="39"/>
  <c r="AT43" i="39" s="1"/>
  <c r="BB43" i="39" s="1"/>
  <c r="BJ43" i="39" s="1"/>
  <c r="AK43" i="39"/>
  <c r="AS43" i="39" s="1"/>
  <c r="BA43" i="39" s="1"/>
  <c r="BI43" i="39" s="1"/>
  <c r="AJ43" i="39"/>
  <c r="AR43" i="39" s="1"/>
  <c r="AZ43" i="39" s="1"/>
  <c r="BH43" i="39" s="1"/>
  <c r="AI43" i="39"/>
  <c r="AQ43" i="39" s="1"/>
  <c r="AY43" i="39" s="1"/>
  <c r="BG43" i="39" s="1"/>
  <c r="AM42" i="39"/>
  <c r="AU42" i="39" s="1"/>
  <c r="BC42" i="39" s="1"/>
  <c r="BK42" i="39" s="1"/>
  <c r="AL42" i="39"/>
  <c r="AT42" i="39" s="1"/>
  <c r="BB42" i="39" s="1"/>
  <c r="BJ42" i="39" s="1"/>
  <c r="AK42" i="39"/>
  <c r="AS42" i="39" s="1"/>
  <c r="BA42" i="39" s="1"/>
  <c r="BI42" i="39" s="1"/>
  <c r="AJ42" i="39"/>
  <c r="AR42" i="39" s="1"/>
  <c r="AZ42" i="39" s="1"/>
  <c r="BH42" i="39" s="1"/>
  <c r="AI42" i="39"/>
  <c r="AQ42" i="39" s="1"/>
  <c r="AY42" i="39" s="1"/>
  <c r="BG42" i="39" s="1"/>
  <c r="AM41" i="39"/>
  <c r="AU41" i="39" s="1"/>
  <c r="BC41" i="39" s="1"/>
  <c r="BK41" i="39" s="1"/>
  <c r="AL41" i="39"/>
  <c r="AT41" i="39" s="1"/>
  <c r="BB41" i="39" s="1"/>
  <c r="BJ41" i="39" s="1"/>
  <c r="AK41" i="39"/>
  <c r="AS41" i="39" s="1"/>
  <c r="BA41" i="39" s="1"/>
  <c r="BI41" i="39" s="1"/>
  <c r="AJ41" i="39"/>
  <c r="AR41" i="39" s="1"/>
  <c r="AZ41" i="39" s="1"/>
  <c r="BH41" i="39" s="1"/>
  <c r="AI41" i="39"/>
  <c r="AQ41" i="39" s="1"/>
  <c r="AY41" i="39" s="1"/>
  <c r="BG41" i="39" s="1"/>
  <c r="AM40" i="39"/>
  <c r="AU40" i="39" s="1"/>
  <c r="BC40" i="39" s="1"/>
  <c r="BK40" i="39" s="1"/>
  <c r="AL40" i="39"/>
  <c r="AT40" i="39" s="1"/>
  <c r="BB40" i="39" s="1"/>
  <c r="BJ40" i="39" s="1"/>
  <c r="AK40" i="39"/>
  <c r="AS40" i="39" s="1"/>
  <c r="BA40" i="39" s="1"/>
  <c r="BI40" i="39" s="1"/>
  <c r="AJ40" i="39"/>
  <c r="AR40" i="39" s="1"/>
  <c r="AZ40" i="39" s="1"/>
  <c r="BH40" i="39" s="1"/>
  <c r="AI40" i="39"/>
  <c r="AQ40" i="39" s="1"/>
  <c r="AY40" i="39" s="1"/>
  <c r="BG40" i="39" s="1"/>
  <c r="AM39" i="39"/>
  <c r="AU39" i="39" s="1"/>
  <c r="BC39" i="39" s="1"/>
  <c r="BK39" i="39" s="1"/>
  <c r="AL39" i="39"/>
  <c r="AT39" i="39" s="1"/>
  <c r="BB39" i="39" s="1"/>
  <c r="BJ39" i="39" s="1"/>
  <c r="AK39" i="39"/>
  <c r="AS39" i="39" s="1"/>
  <c r="BA39" i="39" s="1"/>
  <c r="BI39" i="39" s="1"/>
  <c r="AJ39" i="39"/>
  <c r="AR39" i="39" s="1"/>
  <c r="AZ39" i="39" s="1"/>
  <c r="BH39" i="39" s="1"/>
  <c r="AI39" i="39"/>
  <c r="AQ39" i="39" s="1"/>
  <c r="AY39" i="39" s="1"/>
  <c r="BG39" i="39" s="1"/>
  <c r="AM38" i="39"/>
  <c r="AU38" i="39" s="1"/>
  <c r="BC38" i="39" s="1"/>
  <c r="BK38" i="39" s="1"/>
  <c r="AL38" i="39"/>
  <c r="AT38" i="39" s="1"/>
  <c r="BB38" i="39" s="1"/>
  <c r="BJ38" i="39" s="1"/>
  <c r="AK38" i="39"/>
  <c r="AS38" i="39" s="1"/>
  <c r="BA38" i="39" s="1"/>
  <c r="BI38" i="39" s="1"/>
  <c r="AJ38" i="39"/>
  <c r="AR38" i="39" s="1"/>
  <c r="AZ38" i="39" s="1"/>
  <c r="BH38" i="39" s="1"/>
  <c r="AI38" i="39"/>
  <c r="AQ38" i="39" s="1"/>
  <c r="AY38" i="39" s="1"/>
  <c r="BG38" i="39" s="1"/>
  <c r="AM37" i="39"/>
  <c r="AU37" i="39" s="1"/>
  <c r="BC37" i="39" s="1"/>
  <c r="BK37" i="39" s="1"/>
  <c r="AL37" i="39"/>
  <c r="AT37" i="39" s="1"/>
  <c r="BB37" i="39" s="1"/>
  <c r="BJ37" i="39" s="1"/>
  <c r="AK37" i="39"/>
  <c r="AS37" i="39" s="1"/>
  <c r="BA37" i="39" s="1"/>
  <c r="BI37" i="39" s="1"/>
  <c r="AJ37" i="39"/>
  <c r="AR37" i="39" s="1"/>
  <c r="AZ37" i="39" s="1"/>
  <c r="BH37" i="39" s="1"/>
  <c r="AI37" i="39"/>
  <c r="AQ37" i="39" s="1"/>
  <c r="AY37" i="39" s="1"/>
  <c r="BG37" i="39" s="1"/>
  <c r="AM36" i="39"/>
  <c r="AU36" i="39" s="1"/>
  <c r="BC36" i="39" s="1"/>
  <c r="BK36" i="39" s="1"/>
  <c r="AL36" i="39"/>
  <c r="AT36" i="39" s="1"/>
  <c r="BB36" i="39" s="1"/>
  <c r="BJ36" i="39" s="1"/>
  <c r="AK36" i="39"/>
  <c r="AS36" i="39" s="1"/>
  <c r="BA36" i="39" s="1"/>
  <c r="BI36" i="39" s="1"/>
  <c r="AJ36" i="39"/>
  <c r="AR36" i="39" s="1"/>
  <c r="AZ36" i="39" s="1"/>
  <c r="BH36" i="39" s="1"/>
  <c r="AI36" i="39"/>
  <c r="AQ36" i="39" s="1"/>
  <c r="AY36" i="39" s="1"/>
  <c r="BG36" i="39" s="1"/>
  <c r="AM35" i="39"/>
  <c r="AU35" i="39" s="1"/>
  <c r="BC35" i="39" s="1"/>
  <c r="BK35" i="39" s="1"/>
  <c r="AL35" i="39"/>
  <c r="AT35" i="39" s="1"/>
  <c r="BB35" i="39" s="1"/>
  <c r="BJ35" i="39" s="1"/>
  <c r="AK35" i="39"/>
  <c r="AS35" i="39" s="1"/>
  <c r="BA35" i="39" s="1"/>
  <c r="BI35" i="39" s="1"/>
  <c r="AJ35" i="39"/>
  <c r="AR35" i="39" s="1"/>
  <c r="AZ35" i="39" s="1"/>
  <c r="BH35" i="39" s="1"/>
  <c r="AI35" i="39"/>
  <c r="AQ35" i="39" s="1"/>
  <c r="AY35" i="39" s="1"/>
  <c r="BG35" i="39" s="1"/>
  <c r="AM34" i="39"/>
  <c r="AU34" i="39" s="1"/>
  <c r="BC34" i="39" s="1"/>
  <c r="BK34" i="39" s="1"/>
  <c r="AL34" i="39"/>
  <c r="AT34" i="39" s="1"/>
  <c r="BB34" i="39" s="1"/>
  <c r="BJ34" i="39" s="1"/>
  <c r="AK34" i="39"/>
  <c r="AS34" i="39" s="1"/>
  <c r="BA34" i="39" s="1"/>
  <c r="BI34" i="39" s="1"/>
  <c r="AJ34" i="39"/>
  <c r="AR34" i="39" s="1"/>
  <c r="AZ34" i="39" s="1"/>
  <c r="BH34" i="39" s="1"/>
  <c r="AI34" i="39"/>
  <c r="AQ34" i="39" s="1"/>
  <c r="AY34" i="39" s="1"/>
  <c r="BG34" i="39" s="1"/>
  <c r="AM33" i="39"/>
  <c r="AU33" i="39" s="1"/>
  <c r="BC33" i="39" s="1"/>
  <c r="BK33" i="39" s="1"/>
  <c r="AL33" i="39"/>
  <c r="AT33" i="39" s="1"/>
  <c r="BB33" i="39" s="1"/>
  <c r="BJ33" i="39" s="1"/>
  <c r="AK33" i="39"/>
  <c r="AS33" i="39" s="1"/>
  <c r="BA33" i="39" s="1"/>
  <c r="BI33" i="39" s="1"/>
  <c r="AJ33" i="39"/>
  <c r="AR33" i="39" s="1"/>
  <c r="AZ33" i="39" s="1"/>
  <c r="BH33" i="39" s="1"/>
  <c r="AI33" i="39"/>
  <c r="AQ33" i="39" s="1"/>
  <c r="AY33" i="39" s="1"/>
  <c r="BG33" i="39" s="1"/>
  <c r="AM32" i="39"/>
  <c r="AU32" i="39" s="1"/>
  <c r="BC32" i="39" s="1"/>
  <c r="BK32" i="39" s="1"/>
  <c r="AL32" i="39"/>
  <c r="AT32" i="39" s="1"/>
  <c r="BB32" i="39" s="1"/>
  <c r="BJ32" i="39" s="1"/>
  <c r="AK32" i="39"/>
  <c r="AS32" i="39" s="1"/>
  <c r="BA32" i="39" s="1"/>
  <c r="BI32" i="39" s="1"/>
  <c r="AJ32" i="39"/>
  <c r="AR32" i="39" s="1"/>
  <c r="AZ32" i="39" s="1"/>
  <c r="BH32" i="39" s="1"/>
  <c r="AI32" i="39"/>
  <c r="AQ32" i="39" s="1"/>
  <c r="AY32" i="39" s="1"/>
  <c r="BG32" i="39" s="1"/>
  <c r="AM31" i="39"/>
  <c r="AU31" i="39" s="1"/>
  <c r="BC31" i="39" s="1"/>
  <c r="BK31" i="39" s="1"/>
  <c r="AL31" i="39"/>
  <c r="AT31" i="39" s="1"/>
  <c r="BB31" i="39" s="1"/>
  <c r="BJ31" i="39" s="1"/>
  <c r="AK31" i="39"/>
  <c r="AS31" i="39" s="1"/>
  <c r="BA31" i="39" s="1"/>
  <c r="BI31" i="39" s="1"/>
  <c r="AJ31" i="39"/>
  <c r="AR31" i="39" s="1"/>
  <c r="AZ31" i="39" s="1"/>
  <c r="BH31" i="39" s="1"/>
  <c r="AI31" i="39"/>
  <c r="AQ31" i="39" s="1"/>
  <c r="AY31" i="39" s="1"/>
  <c r="BG31" i="39" s="1"/>
  <c r="AM30" i="39"/>
  <c r="AU30" i="39" s="1"/>
  <c r="BC30" i="39" s="1"/>
  <c r="BK30" i="39" s="1"/>
  <c r="AL30" i="39"/>
  <c r="AT30" i="39" s="1"/>
  <c r="BB30" i="39" s="1"/>
  <c r="BJ30" i="39" s="1"/>
  <c r="AK30" i="39"/>
  <c r="AS30" i="39" s="1"/>
  <c r="BA30" i="39" s="1"/>
  <c r="BI30" i="39" s="1"/>
  <c r="AJ30" i="39"/>
  <c r="AR30" i="39" s="1"/>
  <c r="AZ30" i="39" s="1"/>
  <c r="BH30" i="39" s="1"/>
  <c r="AI30" i="39"/>
  <c r="AQ30" i="39" s="1"/>
  <c r="AY30" i="39" s="1"/>
  <c r="BG30" i="39" s="1"/>
  <c r="AM29" i="39"/>
  <c r="AU29" i="39" s="1"/>
  <c r="BC29" i="39" s="1"/>
  <c r="BK29" i="39" s="1"/>
  <c r="AL29" i="39"/>
  <c r="AT29" i="39" s="1"/>
  <c r="BB29" i="39" s="1"/>
  <c r="BJ29" i="39" s="1"/>
  <c r="AK29" i="39"/>
  <c r="AS29" i="39" s="1"/>
  <c r="BA29" i="39" s="1"/>
  <c r="BI29" i="39" s="1"/>
  <c r="AJ29" i="39"/>
  <c r="AR29" i="39" s="1"/>
  <c r="AZ29" i="39" s="1"/>
  <c r="BH29" i="39" s="1"/>
  <c r="AI29" i="39"/>
  <c r="AQ29" i="39" s="1"/>
  <c r="AY29" i="39" s="1"/>
  <c r="BG29" i="39" s="1"/>
  <c r="AM28" i="39"/>
  <c r="AU28" i="39" s="1"/>
  <c r="BC28" i="39" s="1"/>
  <c r="BK28" i="39" s="1"/>
  <c r="AL28" i="39"/>
  <c r="AT28" i="39" s="1"/>
  <c r="BB28" i="39" s="1"/>
  <c r="BJ28" i="39" s="1"/>
  <c r="AK28" i="39"/>
  <c r="AS28" i="39" s="1"/>
  <c r="BA28" i="39" s="1"/>
  <c r="BI28" i="39" s="1"/>
  <c r="AJ28" i="39"/>
  <c r="AR28" i="39" s="1"/>
  <c r="AZ28" i="39" s="1"/>
  <c r="BH28" i="39" s="1"/>
  <c r="AI28" i="39"/>
  <c r="AQ28" i="39" s="1"/>
  <c r="AY28" i="39" s="1"/>
  <c r="BG28" i="39" s="1"/>
  <c r="AM27" i="39"/>
  <c r="AU27" i="39" s="1"/>
  <c r="BC27" i="39" s="1"/>
  <c r="BK27" i="39" s="1"/>
  <c r="AL27" i="39"/>
  <c r="AT27" i="39" s="1"/>
  <c r="BB27" i="39" s="1"/>
  <c r="BJ27" i="39" s="1"/>
  <c r="AK27" i="39"/>
  <c r="AS27" i="39" s="1"/>
  <c r="BA27" i="39" s="1"/>
  <c r="BI27" i="39" s="1"/>
  <c r="AJ27" i="39"/>
  <c r="AR27" i="39" s="1"/>
  <c r="AZ27" i="39" s="1"/>
  <c r="BH27" i="39" s="1"/>
  <c r="AI27" i="39"/>
  <c r="AQ27" i="39" s="1"/>
  <c r="AY27" i="39" s="1"/>
  <c r="BG27" i="39" s="1"/>
  <c r="AM26" i="39"/>
  <c r="AU26" i="39" s="1"/>
  <c r="BC26" i="39" s="1"/>
  <c r="BK26" i="39" s="1"/>
  <c r="AL26" i="39"/>
  <c r="AT26" i="39" s="1"/>
  <c r="BB26" i="39" s="1"/>
  <c r="BJ26" i="39" s="1"/>
  <c r="AK26" i="39"/>
  <c r="AS26" i="39" s="1"/>
  <c r="BA26" i="39" s="1"/>
  <c r="BI26" i="39" s="1"/>
  <c r="AJ26" i="39"/>
  <c r="AR26" i="39" s="1"/>
  <c r="AZ26" i="39" s="1"/>
  <c r="BH26" i="39" s="1"/>
  <c r="AI26" i="39"/>
  <c r="AQ26" i="39" s="1"/>
  <c r="AY26" i="39" s="1"/>
  <c r="BG26" i="39" s="1"/>
  <c r="AM25" i="39"/>
  <c r="AU25" i="39" s="1"/>
  <c r="BC25" i="39" s="1"/>
  <c r="BK25" i="39" s="1"/>
  <c r="AL25" i="39"/>
  <c r="AT25" i="39" s="1"/>
  <c r="BB25" i="39" s="1"/>
  <c r="BJ25" i="39" s="1"/>
  <c r="AK25" i="39"/>
  <c r="AS25" i="39" s="1"/>
  <c r="BA25" i="39" s="1"/>
  <c r="BI25" i="39" s="1"/>
  <c r="AJ25" i="39"/>
  <c r="AR25" i="39" s="1"/>
  <c r="AZ25" i="39" s="1"/>
  <c r="BH25" i="39" s="1"/>
  <c r="AI25" i="39"/>
  <c r="AQ25" i="39" s="1"/>
  <c r="AY25" i="39" s="1"/>
  <c r="BG25" i="39" s="1"/>
  <c r="AM24" i="39"/>
  <c r="AU24" i="39" s="1"/>
  <c r="BC24" i="39" s="1"/>
  <c r="BK24" i="39" s="1"/>
  <c r="AL24" i="39"/>
  <c r="AT24" i="39" s="1"/>
  <c r="BB24" i="39" s="1"/>
  <c r="BJ24" i="39" s="1"/>
  <c r="AK24" i="39"/>
  <c r="AS24" i="39" s="1"/>
  <c r="BA24" i="39" s="1"/>
  <c r="BI24" i="39" s="1"/>
  <c r="AJ24" i="39"/>
  <c r="AR24" i="39" s="1"/>
  <c r="AZ24" i="39" s="1"/>
  <c r="BH24" i="39" s="1"/>
  <c r="AI24" i="39"/>
  <c r="AQ24" i="39" s="1"/>
  <c r="AY24" i="39" s="1"/>
  <c r="BG24" i="39" s="1"/>
  <c r="AM23" i="39"/>
  <c r="AU23" i="39" s="1"/>
  <c r="BC23" i="39" s="1"/>
  <c r="BK23" i="39" s="1"/>
  <c r="AL23" i="39"/>
  <c r="AT23" i="39" s="1"/>
  <c r="BB23" i="39" s="1"/>
  <c r="BJ23" i="39" s="1"/>
  <c r="AK23" i="39"/>
  <c r="AS23" i="39" s="1"/>
  <c r="BA23" i="39" s="1"/>
  <c r="BI23" i="39" s="1"/>
  <c r="AJ23" i="39"/>
  <c r="AR23" i="39" s="1"/>
  <c r="AZ23" i="39" s="1"/>
  <c r="BH23" i="39" s="1"/>
  <c r="AI23" i="39"/>
  <c r="AQ23" i="39" s="1"/>
  <c r="AY23" i="39" s="1"/>
  <c r="BG23" i="39" s="1"/>
  <c r="AM22" i="39"/>
  <c r="AU22" i="39" s="1"/>
  <c r="BC22" i="39" s="1"/>
  <c r="BK22" i="39" s="1"/>
  <c r="AL22" i="39"/>
  <c r="AT22" i="39" s="1"/>
  <c r="BB22" i="39" s="1"/>
  <c r="BJ22" i="39" s="1"/>
  <c r="AK22" i="39"/>
  <c r="AS22" i="39" s="1"/>
  <c r="BA22" i="39" s="1"/>
  <c r="BI22" i="39" s="1"/>
  <c r="AJ22" i="39"/>
  <c r="AR22" i="39" s="1"/>
  <c r="AZ22" i="39" s="1"/>
  <c r="BH22" i="39" s="1"/>
  <c r="AI22" i="39"/>
  <c r="AQ22" i="39" s="1"/>
  <c r="AY22" i="39" s="1"/>
  <c r="BG22" i="39" s="1"/>
  <c r="AM21" i="39"/>
  <c r="AU21" i="39" s="1"/>
  <c r="BC21" i="39" s="1"/>
  <c r="BK21" i="39" s="1"/>
  <c r="AL21" i="39"/>
  <c r="AT21" i="39" s="1"/>
  <c r="BB21" i="39" s="1"/>
  <c r="BJ21" i="39" s="1"/>
  <c r="AK21" i="39"/>
  <c r="AS21" i="39" s="1"/>
  <c r="BA21" i="39" s="1"/>
  <c r="BI21" i="39" s="1"/>
  <c r="AJ21" i="39"/>
  <c r="AR21" i="39" s="1"/>
  <c r="AZ21" i="39" s="1"/>
  <c r="BH21" i="39" s="1"/>
  <c r="AI21" i="39"/>
  <c r="AQ21" i="39" s="1"/>
  <c r="AY21" i="39" s="1"/>
  <c r="BG21" i="39" s="1"/>
  <c r="AM20" i="39"/>
  <c r="AU20" i="39" s="1"/>
  <c r="BC20" i="39" s="1"/>
  <c r="BK20" i="39" s="1"/>
  <c r="AL20" i="39"/>
  <c r="AT20" i="39" s="1"/>
  <c r="BB20" i="39" s="1"/>
  <c r="BJ20" i="39" s="1"/>
  <c r="AK20" i="39"/>
  <c r="AS20" i="39" s="1"/>
  <c r="BA20" i="39" s="1"/>
  <c r="BI20" i="39" s="1"/>
  <c r="AJ20" i="39"/>
  <c r="AR20" i="39" s="1"/>
  <c r="AZ20" i="39" s="1"/>
  <c r="BH20" i="39" s="1"/>
  <c r="AI20" i="39"/>
  <c r="AQ20" i="39" s="1"/>
  <c r="AY20" i="39" s="1"/>
  <c r="BG20" i="39" s="1"/>
  <c r="AM19" i="39"/>
  <c r="AU19" i="39" s="1"/>
  <c r="BC19" i="39" s="1"/>
  <c r="BK19" i="39" s="1"/>
  <c r="AL19" i="39"/>
  <c r="AT19" i="39" s="1"/>
  <c r="BB19" i="39" s="1"/>
  <c r="BJ19" i="39" s="1"/>
  <c r="AK19" i="39"/>
  <c r="AS19" i="39" s="1"/>
  <c r="BA19" i="39" s="1"/>
  <c r="BI19" i="39" s="1"/>
  <c r="AJ19" i="39"/>
  <c r="AR19" i="39" s="1"/>
  <c r="AZ19" i="39" s="1"/>
  <c r="BH19" i="39" s="1"/>
  <c r="AI19" i="39"/>
  <c r="AQ19" i="39" s="1"/>
  <c r="AY19" i="39" s="1"/>
  <c r="BG19" i="39" s="1"/>
  <c r="AM18" i="39"/>
  <c r="AU18" i="39" s="1"/>
  <c r="BC18" i="39" s="1"/>
  <c r="BK18" i="39" s="1"/>
  <c r="AL18" i="39"/>
  <c r="AT18" i="39" s="1"/>
  <c r="BB18" i="39" s="1"/>
  <c r="BJ18" i="39" s="1"/>
  <c r="AK18" i="39"/>
  <c r="AS18" i="39" s="1"/>
  <c r="BA18" i="39" s="1"/>
  <c r="BI18" i="39" s="1"/>
  <c r="AJ18" i="39"/>
  <c r="AR18" i="39" s="1"/>
  <c r="AZ18" i="39" s="1"/>
  <c r="BH18" i="39" s="1"/>
  <c r="AI18" i="39"/>
  <c r="AQ18" i="39" s="1"/>
  <c r="AY18" i="39" s="1"/>
  <c r="BG18" i="39" s="1"/>
  <c r="AM17" i="39"/>
  <c r="AU17" i="39" s="1"/>
  <c r="BC17" i="39" s="1"/>
  <c r="BK17" i="39" s="1"/>
  <c r="AL17" i="39"/>
  <c r="AT17" i="39" s="1"/>
  <c r="BB17" i="39" s="1"/>
  <c r="BJ17" i="39" s="1"/>
  <c r="AK17" i="39"/>
  <c r="AS17" i="39" s="1"/>
  <c r="BA17" i="39" s="1"/>
  <c r="BI17" i="39" s="1"/>
  <c r="AJ17" i="39"/>
  <c r="AR17" i="39" s="1"/>
  <c r="AZ17" i="39" s="1"/>
  <c r="BH17" i="39" s="1"/>
  <c r="AI17" i="39"/>
  <c r="AQ17" i="39" s="1"/>
  <c r="AY17" i="39" s="1"/>
  <c r="BG17" i="39" s="1"/>
  <c r="AM16" i="39"/>
  <c r="AU16" i="39" s="1"/>
  <c r="BC16" i="39" s="1"/>
  <c r="BK16" i="39" s="1"/>
  <c r="AL16" i="39"/>
  <c r="AT16" i="39" s="1"/>
  <c r="BB16" i="39" s="1"/>
  <c r="BJ16" i="39" s="1"/>
  <c r="AK16" i="39"/>
  <c r="AS16" i="39" s="1"/>
  <c r="BA16" i="39" s="1"/>
  <c r="BI16" i="39" s="1"/>
  <c r="AJ16" i="39"/>
  <c r="AR16" i="39" s="1"/>
  <c r="AZ16" i="39" s="1"/>
  <c r="BH16" i="39" s="1"/>
  <c r="AI16" i="39"/>
  <c r="AQ16" i="39" s="1"/>
  <c r="AY16" i="39" s="1"/>
  <c r="BG16" i="39" s="1"/>
  <c r="AM15" i="39"/>
  <c r="AU15" i="39" s="1"/>
  <c r="BC15" i="39" s="1"/>
  <c r="BK15" i="39" s="1"/>
  <c r="AL15" i="39"/>
  <c r="AT15" i="39" s="1"/>
  <c r="BB15" i="39" s="1"/>
  <c r="BJ15" i="39" s="1"/>
  <c r="AK15" i="39"/>
  <c r="AS15" i="39" s="1"/>
  <c r="BA15" i="39" s="1"/>
  <c r="BI15" i="39" s="1"/>
  <c r="AJ15" i="39"/>
  <c r="AR15" i="39" s="1"/>
  <c r="AZ15" i="39" s="1"/>
  <c r="BH15" i="39" s="1"/>
  <c r="AI15" i="39"/>
  <c r="AQ15" i="39" s="1"/>
  <c r="AY15" i="39" s="1"/>
  <c r="BG15" i="39" s="1"/>
  <c r="AM14" i="39"/>
  <c r="AU14" i="39" s="1"/>
  <c r="BC14" i="39" s="1"/>
  <c r="BK14" i="39" s="1"/>
  <c r="AL14" i="39"/>
  <c r="AT14" i="39" s="1"/>
  <c r="BB14" i="39" s="1"/>
  <c r="BJ14" i="39" s="1"/>
  <c r="AK14" i="39"/>
  <c r="AS14" i="39" s="1"/>
  <c r="BA14" i="39" s="1"/>
  <c r="BI14" i="39" s="1"/>
  <c r="AJ14" i="39"/>
  <c r="AR14" i="39" s="1"/>
  <c r="AZ14" i="39" s="1"/>
  <c r="BH14" i="39" s="1"/>
  <c r="AI14" i="39"/>
  <c r="AQ14" i="39" s="1"/>
  <c r="AY14" i="39" s="1"/>
  <c r="BG14" i="39" s="1"/>
  <c r="AM13" i="39"/>
  <c r="AU13" i="39" s="1"/>
  <c r="BC13" i="39" s="1"/>
  <c r="BK13" i="39" s="1"/>
  <c r="AL13" i="39"/>
  <c r="AT13" i="39" s="1"/>
  <c r="BB13" i="39" s="1"/>
  <c r="BJ13" i="39" s="1"/>
  <c r="AK13" i="39"/>
  <c r="AS13" i="39" s="1"/>
  <c r="BA13" i="39" s="1"/>
  <c r="BI13" i="39" s="1"/>
  <c r="AJ13" i="39"/>
  <c r="AR13" i="39" s="1"/>
  <c r="AZ13" i="39" s="1"/>
  <c r="BH13" i="39" s="1"/>
  <c r="AI13" i="39"/>
  <c r="AQ13" i="39" s="1"/>
  <c r="AY13" i="39" s="1"/>
  <c r="BG13" i="39" s="1"/>
  <c r="AM12" i="39"/>
  <c r="AU12" i="39" s="1"/>
  <c r="BC12" i="39" s="1"/>
  <c r="BK12" i="39" s="1"/>
  <c r="AL12" i="39"/>
  <c r="AT12" i="39" s="1"/>
  <c r="BB12" i="39" s="1"/>
  <c r="BJ12" i="39" s="1"/>
  <c r="AK12" i="39"/>
  <c r="AS12" i="39" s="1"/>
  <c r="BA12" i="39" s="1"/>
  <c r="BI12" i="39" s="1"/>
  <c r="AJ12" i="39"/>
  <c r="AR12" i="39" s="1"/>
  <c r="AZ12" i="39" s="1"/>
  <c r="BH12" i="39" s="1"/>
  <c r="AI12" i="39"/>
  <c r="AQ12" i="39" s="1"/>
  <c r="AY12" i="39" s="1"/>
  <c r="BG12" i="39" s="1"/>
  <c r="AM11" i="39"/>
  <c r="AU11" i="39" s="1"/>
  <c r="BC11" i="39" s="1"/>
  <c r="BK11" i="39" s="1"/>
  <c r="AL11" i="39"/>
  <c r="AT11" i="39" s="1"/>
  <c r="BB11" i="39" s="1"/>
  <c r="BJ11" i="39" s="1"/>
  <c r="AK11" i="39"/>
  <c r="AS11" i="39" s="1"/>
  <c r="BA11" i="39" s="1"/>
  <c r="BI11" i="39" s="1"/>
  <c r="AJ11" i="39"/>
  <c r="AR11" i="39" s="1"/>
  <c r="AZ11" i="39" s="1"/>
  <c r="BH11" i="39" s="1"/>
  <c r="AI11" i="39"/>
  <c r="AQ11" i="39" s="1"/>
  <c r="AY11" i="39" s="1"/>
  <c r="BG11" i="39" s="1"/>
  <c r="AM10" i="39"/>
  <c r="AU10" i="39" s="1"/>
  <c r="BC10" i="39" s="1"/>
  <c r="BK10" i="39" s="1"/>
  <c r="AL10" i="39"/>
  <c r="AT10" i="39" s="1"/>
  <c r="BB10" i="39" s="1"/>
  <c r="BJ10" i="39" s="1"/>
  <c r="AK10" i="39"/>
  <c r="AS10" i="39" s="1"/>
  <c r="BA10" i="39" s="1"/>
  <c r="BI10" i="39" s="1"/>
  <c r="AJ10" i="39"/>
  <c r="AR10" i="39" s="1"/>
  <c r="AZ10" i="39" s="1"/>
  <c r="BH10" i="39" s="1"/>
  <c r="AI10" i="39"/>
  <c r="AQ10" i="39" s="1"/>
  <c r="AY10" i="39" s="1"/>
  <c r="BG10" i="39" s="1"/>
  <c r="AM9" i="39"/>
  <c r="AU9" i="39" s="1"/>
  <c r="BC9" i="39" s="1"/>
  <c r="BK9" i="39" s="1"/>
  <c r="AL9" i="39"/>
  <c r="AT9" i="39" s="1"/>
  <c r="BB9" i="39" s="1"/>
  <c r="BJ9" i="39" s="1"/>
  <c r="AK9" i="39"/>
  <c r="AS9" i="39" s="1"/>
  <c r="BA9" i="39" s="1"/>
  <c r="BI9" i="39" s="1"/>
  <c r="AJ9" i="39"/>
  <c r="AR9" i="39" s="1"/>
  <c r="AZ9" i="39" s="1"/>
  <c r="BH9" i="39" s="1"/>
  <c r="AI9" i="39"/>
  <c r="AQ9" i="39" s="1"/>
  <c r="AY9" i="39" s="1"/>
  <c r="BG9" i="39" s="1"/>
  <c r="AM8" i="39"/>
  <c r="AU8" i="39" s="1"/>
  <c r="BC8" i="39" s="1"/>
  <c r="BK8" i="39" s="1"/>
  <c r="AL8" i="39"/>
  <c r="AT8" i="39" s="1"/>
  <c r="BB8" i="39" s="1"/>
  <c r="BJ8" i="39" s="1"/>
  <c r="AK8" i="39"/>
  <c r="AS8" i="39" s="1"/>
  <c r="BA8" i="39" s="1"/>
  <c r="BI8" i="39" s="1"/>
  <c r="AJ8" i="39"/>
  <c r="AR8" i="39" s="1"/>
  <c r="AZ8" i="39" s="1"/>
  <c r="BH8" i="39" s="1"/>
  <c r="AI8" i="39"/>
  <c r="AQ8" i="39" s="1"/>
  <c r="AY8" i="39" s="1"/>
  <c r="BG8" i="39" s="1"/>
  <c r="AM7" i="39"/>
  <c r="AU7" i="39" s="1"/>
  <c r="BC7" i="39" s="1"/>
  <c r="BK7" i="39" s="1"/>
  <c r="AL7" i="39"/>
  <c r="AT7" i="39" s="1"/>
  <c r="BB7" i="39" s="1"/>
  <c r="BJ7" i="39" s="1"/>
  <c r="AK7" i="39"/>
  <c r="AS7" i="39" s="1"/>
  <c r="BA7" i="39" s="1"/>
  <c r="BI7" i="39" s="1"/>
  <c r="AJ7" i="39"/>
  <c r="AR7" i="39" s="1"/>
  <c r="AZ7" i="39" s="1"/>
  <c r="BH7" i="39" s="1"/>
  <c r="AI7" i="39"/>
  <c r="AQ7" i="39" s="1"/>
  <c r="AY7" i="39" s="1"/>
  <c r="BG7" i="39" s="1"/>
  <c r="AM6" i="39"/>
  <c r="AU6" i="39" s="1"/>
  <c r="BC6" i="39" s="1"/>
  <c r="BK6" i="39" s="1"/>
  <c r="AL6" i="39"/>
  <c r="AT6" i="39" s="1"/>
  <c r="BB6" i="39" s="1"/>
  <c r="BJ6" i="39" s="1"/>
  <c r="AK6" i="39"/>
  <c r="AS6" i="39" s="1"/>
  <c r="BA6" i="39" s="1"/>
  <c r="BI6" i="39" s="1"/>
  <c r="AJ6" i="39"/>
  <c r="AR6" i="39" s="1"/>
  <c r="AZ6" i="39" s="1"/>
  <c r="BH6" i="39" s="1"/>
  <c r="AI6" i="39"/>
  <c r="AQ6" i="39" s="1"/>
  <c r="AY6" i="39" s="1"/>
  <c r="BG6" i="39" s="1"/>
  <c r="AH45" i="39"/>
  <c r="AP45" i="39" s="1"/>
  <c r="AX45" i="39" s="1"/>
  <c r="BF45" i="39" s="1"/>
  <c r="AH44" i="39"/>
  <c r="AP44" i="39" s="1"/>
  <c r="AX44" i="39" s="1"/>
  <c r="BF44" i="39" s="1"/>
  <c r="AH43" i="39"/>
  <c r="AP43" i="39" s="1"/>
  <c r="AX43" i="39" s="1"/>
  <c r="BF43" i="39" s="1"/>
  <c r="AH42" i="39"/>
  <c r="AP42" i="39" s="1"/>
  <c r="AX42" i="39" s="1"/>
  <c r="BF42" i="39" s="1"/>
  <c r="AH41" i="39"/>
  <c r="AP41" i="39" s="1"/>
  <c r="AX41" i="39" s="1"/>
  <c r="BF41" i="39" s="1"/>
  <c r="AH40" i="39"/>
  <c r="AP40" i="39" s="1"/>
  <c r="AX40" i="39" s="1"/>
  <c r="BF40" i="39" s="1"/>
  <c r="AH39" i="39"/>
  <c r="AP39" i="39" s="1"/>
  <c r="AX39" i="39" s="1"/>
  <c r="BF39" i="39" s="1"/>
  <c r="AH38" i="39"/>
  <c r="AP38" i="39" s="1"/>
  <c r="AX38" i="39" s="1"/>
  <c r="BF38" i="39" s="1"/>
  <c r="AH37" i="39"/>
  <c r="AP37" i="39" s="1"/>
  <c r="AX37" i="39" s="1"/>
  <c r="BF37" i="39" s="1"/>
  <c r="AH36" i="39"/>
  <c r="AP36" i="39" s="1"/>
  <c r="AX36" i="39" s="1"/>
  <c r="BF36" i="39" s="1"/>
  <c r="AH35" i="39"/>
  <c r="AP35" i="39" s="1"/>
  <c r="AX35" i="39" s="1"/>
  <c r="BF35" i="39" s="1"/>
  <c r="AH34" i="39"/>
  <c r="AP34" i="39" s="1"/>
  <c r="AX34" i="39" s="1"/>
  <c r="BF34" i="39" s="1"/>
  <c r="AH33" i="39"/>
  <c r="AP33" i="39" s="1"/>
  <c r="AX33" i="39" s="1"/>
  <c r="BF33" i="39" s="1"/>
  <c r="AH32" i="39"/>
  <c r="AP32" i="39" s="1"/>
  <c r="AX32" i="39" s="1"/>
  <c r="BF32" i="39" s="1"/>
  <c r="AH31" i="39"/>
  <c r="AP31" i="39" s="1"/>
  <c r="AX31" i="39" s="1"/>
  <c r="BF31" i="39" s="1"/>
  <c r="AH30" i="39"/>
  <c r="AP30" i="39" s="1"/>
  <c r="AX30" i="39" s="1"/>
  <c r="BF30" i="39" s="1"/>
  <c r="AH29" i="39"/>
  <c r="AP29" i="39" s="1"/>
  <c r="AX29" i="39" s="1"/>
  <c r="BF29" i="39" s="1"/>
  <c r="AH28" i="39"/>
  <c r="AP28" i="39" s="1"/>
  <c r="AX28" i="39" s="1"/>
  <c r="BF28" i="39" s="1"/>
  <c r="AH27" i="39"/>
  <c r="AP27" i="39" s="1"/>
  <c r="AX27" i="39" s="1"/>
  <c r="BF27" i="39" s="1"/>
  <c r="AH26" i="39"/>
  <c r="AP26" i="39" s="1"/>
  <c r="AX26" i="39" s="1"/>
  <c r="BF26" i="39" s="1"/>
  <c r="AH25" i="39"/>
  <c r="AP25" i="39" s="1"/>
  <c r="AX25" i="39" s="1"/>
  <c r="BF25" i="39" s="1"/>
  <c r="AH24" i="39"/>
  <c r="AP24" i="39" s="1"/>
  <c r="AX24" i="39" s="1"/>
  <c r="BF24" i="39" s="1"/>
  <c r="AH23" i="39"/>
  <c r="AP23" i="39" s="1"/>
  <c r="AX23" i="39" s="1"/>
  <c r="BF23" i="39" s="1"/>
  <c r="AH22" i="39"/>
  <c r="AP22" i="39" s="1"/>
  <c r="AX22" i="39" s="1"/>
  <c r="BF22" i="39" s="1"/>
  <c r="AH21" i="39"/>
  <c r="AP21" i="39" s="1"/>
  <c r="AX21" i="39" s="1"/>
  <c r="BF21" i="39" s="1"/>
  <c r="AH20" i="39"/>
  <c r="AP20" i="39" s="1"/>
  <c r="AX20" i="39" s="1"/>
  <c r="BF20" i="39" s="1"/>
  <c r="AH19" i="39"/>
  <c r="AP19" i="39" s="1"/>
  <c r="AX19" i="39" s="1"/>
  <c r="BF19" i="39" s="1"/>
  <c r="AH18" i="39"/>
  <c r="AP18" i="39" s="1"/>
  <c r="AX18" i="39" s="1"/>
  <c r="BF18" i="39" s="1"/>
  <c r="AH17" i="39"/>
  <c r="AP17" i="39" s="1"/>
  <c r="AX17" i="39" s="1"/>
  <c r="BF17" i="39" s="1"/>
  <c r="AH16" i="39"/>
  <c r="AP16" i="39" s="1"/>
  <c r="AX16" i="39" s="1"/>
  <c r="BF16" i="39" s="1"/>
  <c r="AH15" i="39"/>
  <c r="AP15" i="39" s="1"/>
  <c r="AX15" i="39" s="1"/>
  <c r="BF15" i="39" s="1"/>
  <c r="AH14" i="39"/>
  <c r="AP14" i="39" s="1"/>
  <c r="AX14" i="39" s="1"/>
  <c r="BF14" i="39" s="1"/>
  <c r="AH13" i="39"/>
  <c r="AP13" i="39" s="1"/>
  <c r="AX13" i="39" s="1"/>
  <c r="BF13" i="39" s="1"/>
  <c r="AH12" i="39"/>
  <c r="AP12" i="39" s="1"/>
  <c r="AX12" i="39" s="1"/>
  <c r="BF12" i="39" s="1"/>
  <c r="AH11" i="39"/>
  <c r="AP11" i="39" s="1"/>
  <c r="AX11" i="39" s="1"/>
  <c r="BF11" i="39" s="1"/>
  <c r="AH10" i="39"/>
  <c r="AP10" i="39" s="1"/>
  <c r="AX10" i="39" s="1"/>
  <c r="BF10" i="39" s="1"/>
  <c r="AH9" i="39"/>
  <c r="AP9" i="39" s="1"/>
  <c r="AX9" i="39" s="1"/>
  <c r="BF9" i="39" s="1"/>
  <c r="AH8" i="39"/>
  <c r="AP8" i="39" s="1"/>
  <c r="AX8" i="39" s="1"/>
  <c r="BF8" i="39" s="1"/>
  <c r="AH7" i="39"/>
  <c r="AP7" i="39" s="1"/>
  <c r="AX7" i="39" s="1"/>
  <c r="BF7" i="39" s="1"/>
  <c r="AH6" i="39"/>
  <c r="AP6" i="39" s="1"/>
  <c r="AX6" i="39" s="1"/>
  <c r="BF6" i="39" s="1"/>
  <c r="T45" i="39"/>
  <c r="S45" i="39"/>
  <c r="R45" i="39"/>
  <c r="T44" i="39"/>
  <c r="S44" i="39"/>
  <c r="R44" i="39"/>
  <c r="T43" i="39"/>
  <c r="S43" i="39"/>
  <c r="R43" i="39"/>
  <c r="T42" i="39"/>
  <c r="S42" i="39"/>
  <c r="R42" i="39"/>
  <c r="T41" i="39"/>
  <c r="S41" i="39"/>
  <c r="R41" i="39"/>
  <c r="T40" i="39"/>
  <c r="S40" i="39"/>
  <c r="R40" i="39"/>
  <c r="T39" i="39"/>
  <c r="S39" i="39"/>
  <c r="R39" i="39"/>
  <c r="T38" i="39"/>
  <c r="S38" i="39"/>
  <c r="R38" i="39"/>
  <c r="T37" i="39"/>
  <c r="S37" i="39"/>
  <c r="R37" i="39"/>
  <c r="T36" i="39"/>
  <c r="S36" i="39"/>
  <c r="R36" i="39"/>
  <c r="T35" i="39"/>
  <c r="S35" i="39"/>
  <c r="R35" i="39"/>
  <c r="T34" i="39"/>
  <c r="S34" i="39"/>
  <c r="R34" i="39"/>
  <c r="T33" i="39"/>
  <c r="S33" i="39"/>
  <c r="R33" i="39"/>
  <c r="T32" i="39"/>
  <c r="S32" i="39"/>
  <c r="R32" i="39"/>
  <c r="T31" i="39"/>
  <c r="S31" i="39"/>
  <c r="R31" i="39"/>
  <c r="T30" i="39"/>
  <c r="S30" i="39"/>
  <c r="R30" i="39"/>
  <c r="T29" i="39"/>
  <c r="S29" i="39"/>
  <c r="R29" i="39"/>
  <c r="T28" i="39"/>
  <c r="S28" i="39"/>
  <c r="R28" i="39"/>
  <c r="T27" i="39"/>
  <c r="S27" i="39"/>
  <c r="R27" i="39"/>
  <c r="T26" i="39"/>
  <c r="S26" i="39"/>
  <c r="R26" i="39"/>
  <c r="T25" i="39"/>
  <c r="S25" i="39"/>
  <c r="R25" i="39"/>
  <c r="T24" i="39"/>
  <c r="S24" i="39"/>
  <c r="R24" i="39"/>
  <c r="T23" i="39"/>
  <c r="S23" i="39"/>
  <c r="R23" i="39"/>
  <c r="T22" i="39"/>
  <c r="S22" i="39"/>
  <c r="R22" i="39"/>
  <c r="T21" i="39"/>
  <c r="S21" i="39"/>
  <c r="R21" i="39"/>
  <c r="T20" i="39"/>
  <c r="S20" i="39"/>
  <c r="R20" i="39"/>
  <c r="T19" i="39"/>
  <c r="S19" i="39"/>
  <c r="R19" i="39"/>
  <c r="T18" i="39"/>
  <c r="S18" i="39"/>
  <c r="R18" i="39"/>
  <c r="T17" i="39"/>
  <c r="S17" i="39"/>
  <c r="R17" i="39"/>
  <c r="T16" i="39"/>
  <c r="S16" i="39"/>
  <c r="R16" i="39"/>
  <c r="T15" i="39"/>
  <c r="S15" i="39"/>
  <c r="R15" i="39"/>
  <c r="T14" i="39"/>
  <c r="S14" i="39"/>
  <c r="R14" i="39"/>
  <c r="T13" i="39"/>
  <c r="S13" i="39"/>
  <c r="R13" i="39"/>
  <c r="T12" i="39"/>
  <c r="S12" i="39"/>
  <c r="R12" i="39"/>
  <c r="T11" i="39"/>
  <c r="S11" i="39"/>
  <c r="R11" i="39"/>
  <c r="T10" i="39"/>
  <c r="S10" i="39"/>
  <c r="R10" i="39"/>
  <c r="T9" i="39"/>
  <c r="S9" i="39"/>
  <c r="R9" i="39"/>
  <c r="T8" i="39"/>
  <c r="S8" i="39"/>
  <c r="R8" i="39"/>
  <c r="T7" i="39"/>
  <c r="S7" i="39"/>
  <c r="R7" i="39"/>
  <c r="T6" i="39"/>
  <c r="S6" i="39"/>
  <c r="R6" i="39"/>
  <c r="Q45" i="39"/>
  <c r="Q44" i="39"/>
  <c r="Q43" i="39"/>
  <c r="Q42" i="39"/>
  <c r="Q41" i="39"/>
  <c r="Q40" i="39"/>
  <c r="Q39" i="39"/>
  <c r="Q38" i="39"/>
  <c r="Q37" i="39"/>
  <c r="Q36" i="39"/>
  <c r="Q35" i="39"/>
  <c r="Q34" i="39"/>
  <c r="Q33" i="39"/>
  <c r="Q32" i="39"/>
  <c r="Q31" i="39"/>
  <c r="Q30" i="39"/>
  <c r="Q29" i="39"/>
  <c r="Q28" i="39"/>
  <c r="Q27" i="39"/>
  <c r="Q26" i="39"/>
  <c r="Q25" i="39"/>
  <c r="Q24" i="39"/>
  <c r="Q23" i="39"/>
  <c r="Q22" i="39"/>
  <c r="Q21" i="39"/>
  <c r="Q20" i="39"/>
  <c r="Q19" i="39"/>
  <c r="Q18" i="39"/>
  <c r="Q17" i="39"/>
  <c r="Q16" i="39"/>
  <c r="Q15" i="39"/>
  <c r="Q14" i="39"/>
  <c r="Q13" i="39"/>
  <c r="Q12" i="39"/>
  <c r="Q11" i="39"/>
  <c r="Q10" i="39"/>
  <c r="Q9" i="39"/>
  <c r="Q8" i="39"/>
  <c r="Q7" i="39"/>
  <c r="Q6" i="39"/>
  <c r="P45" i="39"/>
  <c r="P44" i="39"/>
  <c r="P43" i="39"/>
  <c r="P42" i="39"/>
  <c r="P41" i="39"/>
  <c r="P40" i="39"/>
  <c r="P39" i="39"/>
  <c r="P38" i="39"/>
  <c r="P37" i="39"/>
  <c r="P36" i="39"/>
  <c r="P35" i="39"/>
  <c r="P34" i="39"/>
  <c r="P33" i="39"/>
  <c r="P32" i="39"/>
  <c r="P31" i="39"/>
  <c r="P30" i="39"/>
  <c r="P29" i="39"/>
  <c r="P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O7" i="39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1" i="39"/>
  <c r="O42" i="39"/>
  <c r="O43" i="39"/>
  <c r="O44" i="39"/>
  <c r="O45" i="39"/>
  <c r="O6" i="39"/>
  <c r="M7" i="30" l="1"/>
  <c r="N7" i="30"/>
  <c r="O7" i="30"/>
  <c r="P7" i="30"/>
  <c r="Q7" i="30"/>
  <c r="L7" i="30"/>
  <c r="D7" i="30"/>
  <c r="E7" i="30"/>
  <c r="F7" i="30"/>
  <c r="G7" i="30"/>
  <c r="H7" i="30"/>
  <c r="C7" i="30"/>
  <c r="M7" i="29"/>
  <c r="N7" i="29"/>
  <c r="O7" i="29"/>
  <c r="P7" i="29"/>
  <c r="Q7" i="29"/>
  <c r="L7" i="29"/>
  <c r="D7" i="29"/>
  <c r="E7" i="29"/>
  <c r="F7" i="29"/>
  <c r="G7" i="29"/>
  <c r="H7" i="29"/>
  <c r="C7" i="29"/>
  <c r="M7" i="34"/>
  <c r="N7" i="34"/>
  <c r="O7" i="34"/>
  <c r="P7" i="34"/>
  <c r="Q7" i="34"/>
  <c r="L7" i="34"/>
  <c r="D7" i="34"/>
  <c r="E7" i="34"/>
  <c r="F7" i="34"/>
  <c r="G7" i="34"/>
  <c r="H7" i="34"/>
  <c r="C7" i="34"/>
  <c r="M7" i="33"/>
  <c r="N7" i="33"/>
  <c r="O7" i="33"/>
  <c r="P7" i="33"/>
  <c r="Q7" i="33"/>
  <c r="L7" i="33"/>
  <c r="D7" i="33"/>
  <c r="E7" i="33"/>
  <c r="F7" i="33"/>
  <c r="G7" i="33"/>
  <c r="H7" i="33"/>
  <c r="C7" i="33"/>
  <c r="M7" i="32"/>
  <c r="N7" i="32"/>
  <c r="O7" i="32"/>
  <c r="P7" i="32"/>
  <c r="Q7" i="32"/>
  <c r="L7" i="32"/>
  <c r="D7" i="32"/>
  <c r="E7" i="32"/>
  <c r="F7" i="32"/>
  <c r="G7" i="32"/>
  <c r="H7" i="32"/>
  <c r="C7" i="32"/>
  <c r="M7" i="31"/>
  <c r="N7" i="31"/>
  <c r="O7" i="31"/>
  <c r="P7" i="31"/>
  <c r="Q7" i="31"/>
  <c r="L7" i="31"/>
  <c r="D7" i="31"/>
  <c r="E7" i="31"/>
  <c r="F7" i="31"/>
  <c r="G7" i="31"/>
  <c r="H7" i="31"/>
  <c r="C7" i="31"/>
  <c r="M7" i="28"/>
  <c r="N7" i="28"/>
  <c r="O7" i="28"/>
  <c r="P7" i="28"/>
  <c r="Q7" i="28"/>
  <c r="L7" i="28"/>
  <c r="D7" i="28"/>
  <c r="E7" i="28"/>
  <c r="F7" i="28"/>
  <c r="G7" i="28"/>
  <c r="H7" i="28"/>
  <c r="C7" i="28"/>
  <c r="M7" i="27"/>
  <c r="N7" i="27"/>
  <c r="O7" i="27"/>
  <c r="P7" i="27"/>
  <c r="Q7" i="27"/>
  <c r="L7" i="27"/>
  <c r="D7" i="27"/>
  <c r="E7" i="27"/>
  <c r="F7" i="27"/>
  <c r="G7" i="27"/>
  <c r="H7" i="27"/>
  <c r="C7" i="27"/>
  <c r="M7" i="25"/>
  <c r="N7" i="25"/>
  <c r="O7" i="25"/>
  <c r="P7" i="25"/>
  <c r="Q7" i="25"/>
  <c r="L7" i="25"/>
  <c r="D7" i="25"/>
  <c r="E7" i="25"/>
  <c r="F7" i="25"/>
  <c r="G7" i="25"/>
  <c r="H7" i="25"/>
  <c r="C7" i="25"/>
  <c r="M7" i="24"/>
  <c r="N7" i="24"/>
  <c r="O7" i="24"/>
  <c r="P7" i="24"/>
  <c r="Q7" i="24"/>
  <c r="L7" i="24"/>
  <c r="D7" i="24"/>
  <c r="E7" i="24"/>
  <c r="F7" i="24"/>
  <c r="G7" i="24"/>
  <c r="H7" i="24"/>
  <c r="C7" i="24"/>
  <c r="M7" i="23"/>
  <c r="N7" i="23"/>
  <c r="O7" i="23"/>
  <c r="P7" i="23"/>
  <c r="Q7" i="23"/>
  <c r="L7" i="23"/>
  <c r="D7" i="23"/>
  <c r="E7" i="23"/>
  <c r="F7" i="23"/>
  <c r="G7" i="23"/>
  <c r="H7" i="23"/>
  <c r="C7" i="23"/>
  <c r="M7" i="21"/>
  <c r="N7" i="21"/>
  <c r="O7" i="21"/>
  <c r="P7" i="21"/>
  <c r="Q7" i="21"/>
  <c r="L7" i="21"/>
  <c r="D7" i="21"/>
  <c r="E7" i="21"/>
  <c r="F7" i="21"/>
  <c r="G7" i="21"/>
  <c r="H7" i="21"/>
  <c r="C7" i="21"/>
  <c r="M7" i="20"/>
  <c r="N7" i="20"/>
  <c r="O7" i="20"/>
  <c r="P7" i="20"/>
  <c r="Q7" i="20"/>
  <c r="L7" i="20"/>
  <c r="D7" i="20"/>
  <c r="E7" i="20"/>
  <c r="F7" i="20"/>
  <c r="G7" i="20"/>
  <c r="H7" i="20"/>
  <c r="C7" i="20"/>
  <c r="M7" i="19"/>
  <c r="N7" i="19"/>
  <c r="O7" i="19"/>
  <c r="P7" i="19"/>
  <c r="Q7" i="19"/>
  <c r="L7" i="19"/>
  <c r="D7" i="19"/>
  <c r="E7" i="19"/>
  <c r="F7" i="19"/>
  <c r="G7" i="19"/>
  <c r="H7" i="19"/>
  <c r="C7" i="19"/>
  <c r="M7" i="18"/>
  <c r="N7" i="18"/>
  <c r="O7" i="18"/>
  <c r="P7" i="18"/>
  <c r="Q7" i="18"/>
  <c r="L7" i="18"/>
  <c r="D7" i="18"/>
  <c r="E7" i="18"/>
  <c r="F7" i="18"/>
  <c r="G7" i="18"/>
  <c r="H7" i="18"/>
  <c r="C7" i="18"/>
  <c r="M7" i="17"/>
  <c r="N7" i="17"/>
  <c r="O7" i="17"/>
  <c r="P7" i="17"/>
  <c r="Q7" i="17"/>
  <c r="L7" i="17"/>
  <c r="D7" i="17"/>
  <c r="E7" i="17"/>
  <c r="F7" i="17"/>
  <c r="G7" i="17"/>
  <c r="H7" i="17"/>
  <c r="C7" i="17"/>
  <c r="M7" i="16"/>
  <c r="N7" i="16"/>
  <c r="O7" i="16"/>
  <c r="P7" i="16"/>
  <c r="Q7" i="16"/>
  <c r="L7" i="16"/>
  <c r="D7" i="16"/>
  <c r="E7" i="16"/>
  <c r="F7" i="16"/>
  <c r="G7" i="16"/>
  <c r="H7" i="16"/>
  <c r="C7" i="16"/>
  <c r="M7" i="15"/>
  <c r="N7" i="15"/>
  <c r="O7" i="15"/>
  <c r="P7" i="15"/>
  <c r="Q7" i="15"/>
  <c r="L7" i="15"/>
  <c r="D7" i="15"/>
  <c r="E7" i="15"/>
  <c r="F7" i="15"/>
  <c r="G7" i="15"/>
  <c r="H7" i="15"/>
  <c r="C7" i="15"/>
  <c r="M7" i="14"/>
  <c r="N7" i="14"/>
  <c r="O7" i="14"/>
  <c r="P7" i="14"/>
  <c r="Q7" i="14"/>
  <c r="L7" i="14"/>
  <c r="D7" i="14"/>
  <c r="E7" i="14"/>
  <c r="F7" i="14"/>
  <c r="G7" i="14"/>
  <c r="H7" i="14"/>
  <c r="C7" i="14"/>
  <c r="M7" i="13"/>
  <c r="N7" i="13"/>
  <c r="O7" i="13"/>
  <c r="P7" i="13"/>
  <c r="Q7" i="13"/>
  <c r="L7" i="13"/>
  <c r="D7" i="13"/>
  <c r="E7" i="13"/>
  <c r="F7" i="13"/>
  <c r="G7" i="13"/>
  <c r="H7" i="13"/>
  <c r="C7" i="13"/>
  <c r="M7" i="12"/>
  <c r="N7" i="12"/>
  <c r="O7" i="12"/>
  <c r="P7" i="12"/>
  <c r="Q7" i="12"/>
  <c r="L7" i="12"/>
  <c r="D7" i="12"/>
  <c r="E7" i="12"/>
  <c r="F7" i="12"/>
  <c r="G7" i="12"/>
  <c r="H7" i="12"/>
  <c r="C7" i="12"/>
  <c r="M7" i="11"/>
  <c r="N7" i="11"/>
  <c r="O7" i="11"/>
  <c r="P7" i="11"/>
  <c r="Q7" i="11"/>
  <c r="L7" i="11"/>
  <c r="D7" i="11"/>
  <c r="E7" i="11"/>
  <c r="F7" i="11"/>
  <c r="G7" i="11"/>
  <c r="H7" i="11"/>
  <c r="C7" i="11"/>
  <c r="M7" i="9"/>
  <c r="N7" i="9"/>
  <c r="O7" i="9"/>
  <c r="P7" i="9"/>
  <c r="Q7" i="9"/>
  <c r="L7" i="9"/>
  <c r="D7" i="9"/>
  <c r="E7" i="9"/>
  <c r="F7" i="9"/>
  <c r="G7" i="9"/>
  <c r="H7" i="9"/>
  <c r="C7" i="9"/>
  <c r="M7" i="7"/>
  <c r="N7" i="7"/>
  <c r="O7" i="7"/>
  <c r="P7" i="7"/>
  <c r="Q7" i="7"/>
  <c r="L7" i="7"/>
  <c r="D7" i="7"/>
  <c r="E7" i="7"/>
  <c r="F7" i="7"/>
  <c r="G7" i="7"/>
  <c r="H7" i="7"/>
  <c r="C7" i="7"/>
  <c r="M7" i="6"/>
  <c r="N7" i="6"/>
  <c r="O7" i="6"/>
  <c r="P7" i="6"/>
  <c r="Q7" i="6"/>
  <c r="L7" i="6"/>
  <c r="D7" i="6"/>
  <c r="E7" i="6"/>
  <c r="F7" i="6"/>
  <c r="G7" i="6"/>
  <c r="H7" i="6"/>
  <c r="C7" i="6"/>
  <c r="M7" i="5"/>
  <c r="N7" i="5"/>
  <c r="O7" i="5"/>
  <c r="P7" i="5"/>
  <c r="Q7" i="5"/>
  <c r="L7" i="5"/>
  <c r="D7" i="5"/>
  <c r="E7" i="5"/>
  <c r="F7" i="5"/>
  <c r="G7" i="5"/>
  <c r="H7" i="5"/>
  <c r="C7" i="5"/>
  <c r="D7" i="4"/>
  <c r="E7" i="4"/>
  <c r="F7" i="4"/>
  <c r="G7" i="4"/>
  <c r="H7" i="4"/>
  <c r="C7" i="4"/>
  <c r="M7" i="3"/>
  <c r="N7" i="3"/>
  <c r="O7" i="3"/>
  <c r="P7" i="3"/>
  <c r="Q7" i="3"/>
  <c r="L7" i="3"/>
  <c r="D7" i="3"/>
  <c r="E7" i="3"/>
  <c r="F7" i="3"/>
  <c r="G7" i="3"/>
  <c r="H7" i="3"/>
  <c r="C7" i="3"/>
  <c r="M7" i="2"/>
  <c r="N7" i="2"/>
  <c r="O7" i="2"/>
  <c r="P7" i="2"/>
  <c r="Q7" i="2"/>
  <c r="L7" i="2"/>
  <c r="D7" i="2"/>
  <c r="E7" i="2"/>
  <c r="F7" i="2"/>
  <c r="G7" i="2"/>
  <c r="H7" i="2"/>
  <c r="C7" i="2"/>
  <c r="M7" i="1"/>
  <c r="N7" i="1"/>
  <c r="O7" i="1"/>
  <c r="P7" i="1"/>
  <c r="Q7" i="1"/>
  <c r="L7" i="1"/>
  <c r="F7" i="1"/>
  <c r="G7" i="1"/>
  <c r="H7" i="1"/>
  <c r="D7" i="1"/>
  <c r="E7" i="1"/>
  <c r="C7" i="1"/>
</calcChain>
</file>

<file path=xl/sharedStrings.xml><?xml version="1.0" encoding="utf-8"?>
<sst xmlns="http://schemas.openxmlformats.org/spreadsheetml/2006/main" count="1534" uniqueCount="146">
  <si>
    <t>TAUFIK ST</t>
  </si>
  <si>
    <t>off</t>
  </si>
  <si>
    <t>Tanggal</t>
  </si>
  <si>
    <t>Pelanggan</t>
  </si>
  <si>
    <t>Nilai Jual</t>
  </si>
  <si>
    <t>Nilai Retur</t>
  </si>
  <si>
    <t>Jual Net</t>
  </si>
  <si>
    <t>Jumlah Jual</t>
  </si>
  <si>
    <t>Jumlah Retur</t>
  </si>
  <si>
    <t>Periode</t>
  </si>
  <si>
    <t>ANIP SANATA (ASSUNAH MART)</t>
  </si>
  <si>
    <t>Jual Net2</t>
  </si>
  <si>
    <t>Puja-Arcamanik</t>
  </si>
  <si>
    <t>Jaya Mandiri/ Asep Radjis</t>
  </si>
  <si>
    <t>Kurnia/ Eka Jaya (Cikarang)</t>
  </si>
  <si>
    <t>Wenpi Saragih</t>
  </si>
  <si>
    <t>Samsul Bahri (Ghaisan Collection)</t>
  </si>
  <si>
    <t>Imas Jubaedah - Kopo</t>
  </si>
  <si>
    <t>Dedei Kurniadi</t>
  </si>
  <si>
    <t>Muh Irfan Al Anshari</t>
  </si>
  <si>
    <t>Indra Fashion Bandung</t>
  </si>
  <si>
    <t>Ade Gilang Ramadhan</t>
  </si>
  <si>
    <t>Yuan Perdana</t>
  </si>
  <si>
    <t>Martin Sukiyono</t>
  </si>
  <si>
    <t>Misbah-Cibuntu</t>
  </si>
  <si>
    <t>Candra Bandung Store</t>
  </si>
  <si>
    <t>Asep Fahmi (Dian Jaya)</t>
  </si>
  <si>
    <t>Takur (Taufik Kurniawan)</t>
  </si>
  <si>
    <t>Meki Sandi Roliansyah</t>
  </si>
  <si>
    <t>Dede Mulyadi/ Pamulang</t>
  </si>
  <si>
    <t>Maulana Rohimat</t>
  </si>
  <si>
    <t>Nilam Collection</t>
  </si>
  <si>
    <t>Agus Andrianto</t>
  </si>
  <si>
    <t>Ligart Jaya</t>
  </si>
  <si>
    <t>Narnia</t>
  </si>
  <si>
    <t>Irmayati</t>
  </si>
  <si>
    <t>Gunanjar Ari Setiawan</t>
  </si>
  <si>
    <t>Dirwan</t>
  </si>
  <si>
    <t>Asep Jenal M</t>
  </si>
  <si>
    <t>Ledi Putra Mandiri (LPM)</t>
  </si>
  <si>
    <t>Bojes Kuningan</t>
  </si>
  <si>
    <t>Feri D Wahyudi</t>
  </si>
  <si>
    <t>Atlantis</t>
  </si>
  <si>
    <t>Arif Juliansyah (bandros)</t>
  </si>
  <si>
    <t>Mulyana Pamulang</t>
  </si>
  <si>
    <t>Bandros</t>
  </si>
  <si>
    <t>Taufik ST</t>
  </si>
  <si>
    <t>Puja</t>
  </si>
  <si>
    <t>Ade Gilang</t>
  </si>
  <si>
    <t>JM Sukabumi</t>
  </si>
  <si>
    <t>Wenpi</t>
  </si>
  <si>
    <t>Imas Jubaedah</t>
  </si>
  <si>
    <t>Dedi Kurniadi</t>
  </si>
  <si>
    <t>Indra Fashion</t>
  </si>
  <si>
    <t>Muh Irfan</t>
  </si>
  <si>
    <t>Yuan</t>
  </si>
  <si>
    <t>Martin</t>
  </si>
  <si>
    <t>Misbah</t>
  </si>
  <si>
    <t>Dian Jaya</t>
  </si>
  <si>
    <t>Chandra</t>
  </si>
  <si>
    <t>Takur</t>
  </si>
  <si>
    <t>Meki</t>
  </si>
  <si>
    <t>Mulana</t>
  </si>
  <si>
    <t>Nillam</t>
  </si>
  <si>
    <t>Irmayanti</t>
  </si>
  <si>
    <t>Gunanjar</t>
  </si>
  <si>
    <t>Asep Jenal</t>
  </si>
  <si>
    <t>LPM</t>
  </si>
  <si>
    <t>Bojes</t>
  </si>
  <si>
    <t>Mulyana</t>
  </si>
  <si>
    <t>No</t>
  </si>
  <si>
    <t>Tahun</t>
  </si>
  <si>
    <t>Jual Net 2017</t>
  </si>
  <si>
    <t>Jual Net 2018</t>
  </si>
  <si>
    <t>PERIODE APRIL 2018</t>
  </si>
  <si>
    <t>ATLANTIS</t>
  </si>
  <si>
    <t>ARIF JULIANSAH (BANDROS)</t>
  </si>
  <si>
    <t>JAYA MANDIRI | ASEP RADJIS</t>
  </si>
  <si>
    <t>KURNIA | EKA JAYA (CIKARANG)</t>
  </si>
  <si>
    <t>NILAM COLLECTION</t>
  </si>
  <si>
    <t>WENPI SARAGIH</t>
  </si>
  <si>
    <t>ASEP JENAL M</t>
  </si>
  <si>
    <t>SAMSUL BAHRI (GHAISAN COLLECTION)</t>
  </si>
  <si>
    <t>AGUS ANDRIANTO</t>
  </si>
  <si>
    <t>INDRA FASHION BANDUNG</t>
  </si>
  <si>
    <t>DIRWAN</t>
  </si>
  <si>
    <t>NINA MUTMAINAH - SUKAWANGI</t>
  </si>
  <si>
    <t>BOJES KUNINGAN</t>
  </si>
  <si>
    <t>ARIF RAHMAN HAKIM</t>
  </si>
  <si>
    <t>ASEP FAHMI (DIAN JAYA)</t>
  </si>
  <si>
    <t>ANIP  SANATA (ASSUNAH MART)</t>
  </si>
  <si>
    <t>TAKUR (TAUFIK KURNIAWAN)</t>
  </si>
  <si>
    <t>LIGART JAYA  </t>
  </si>
  <si>
    <t>MISBAH - CIBUNTU</t>
  </si>
  <si>
    <t>FERI D WAHYUDI</t>
  </si>
  <si>
    <t>DEDI KURNIADI</t>
  </si>
  <si>
    <t>ADE GILANG RAMADHAN</t>
  </si>
  <si>
    <t>IMAS JUBAEDAH - KOPO</t>
  </si>
  <si>
    <t>MULYANA - PAMULANG</t>
  </si>
  <si>
    <t>YANYAN HERYANA</t>
  </si>
  <si>
    <t>PUJA-ARCAMANIK</t>
  </si>
  <si>
    <t>MEKI SANDI ROLIANSYAH</t>
  </si>
  <si>
    <t>LEDI PUTRA MANDIRI (LPM)</t>
  </si>
  <si>
    <t>PP - PRIMA PERKASA</t>
  </si>
  <si>
    <t>YUAN PERDANA</t>
  </si>
  <si>
    <t>GUNANJAR ARI SETIAWAN</t>
  </si>
  <si>
    <t>DWI HARYANTO</t>
  </si>
  <si>
    <t>NARNIA</t>
  </si>
  <si>
    <t>CANDRA BANDUNG STORE</t>
  </si>
  <si>
    <t>MUH IRFAN AL ANSHARI</t>
  </si>
  <si>
    <t>HW FASHION BANDUNG</t>
  </si>
  <si>
    <t>IRMAYANTI</t>
  </si>
  <si>
    <t>MULANA ROHIMAT</t>
  </si>
  <si>
    <t>MARTIN SUKIYONO</t>
  </si>
  <si>
    <t>PERIODE APRIL 2017</t>
  </si>
  <si>
    <t>ANIP SANATA (WE PLAZA)</t>
  </si>
  <si>
    <t>UPDATE</t>
  </si>
  <si>
    <t>TOTAL SAMPAI APRIL 2017</t>
  </si>
  <si>
    <t>TOTAL SAMPAI APRIL 2018</t>
  </si>
  <si>
    <t>ENDAH ISKANDAR | JAYA MANDIRI BDG</t>
  </si>
  <si>
    <t>PERIODE MINGGU 2 APRIL 2018</t>
  </si>
  <si>
    <t>PERIODE MINGGU 1 APRIL 2018</t>
  </si>
  <si>
    <t>PERIODE MINGGU 3 APRIL 2018</t>
  </si>
  <si>
    <t>AL MUMTAZ - ASEP JUNAIDI</t>
  </si>
  <si>
    <t>FEBRIANSYAH</t>
  </si>
  <si>
    <t>ELVANA JAYA - AANG</t>
  </si>
  <si>
    <t>CV. BENTANG FASHION</t>
  </si>
  <si>
    <t>M RIZKI</t>
  </si>
  <si>
    <t>PT AZALEA SEJAHTERA MANDIRI</t>
  </si>
  <si>
    <t>PURNAMA GANJAR</t>
  </si>
  <si>
    <t>JENAL ARIPIN  (KARAWANG)</t>
  </si>
  <si>
    <t>SARIP HIDAYAT-KARAWNG</t>
  </si>
  <si>
    <t>RENDY - SUBANG</t>
  </si>
  <si>
    <t>YOSSI RAHMAWATI TANGSEL</t>
  </si>
  <si>
    <t>SANUSI - BABAKAN CIPARAY</t>
  </si>
  <si>
    <t>CENGCENG MISBAH | HDR</t>
  </si>
  <si>
    <t>PERIODE MINGGU 4 APRIL 2018</t>
  </si>
  <si>
    <t>IWAN HERMAWAN - CIPETIR</t>
  </si>
  <si>
    <t>IVAN SETIAWAN</t>
  </si>
  <si>
    <t>DEDE MULYADI | PAMULANG</t>
  </si>
  <si>
    <t>PERIODE MEI 2017</t>
  </si>
  <si>
    <t>PERIODE JUNI 2017</t>
  </si>
  <si>
    <t>AGUS DEPRIANTO</t>
  </si>
  <si>
    <t>MUSTAMA  | FAJAR MULYA</t>
  </si>
  <si>
    <t>PERIODE JULI 2017</t>
  </si>
  <si>
    <t>PERIODE JUNI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</si>
</sst>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mmm/yy"/>
  </numFmts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7" fontId="0" fillId="0" borderId="3" xfId="0" applyNumberForma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/>
    </xf>
    <xf numFmtId="17" fontId="0" fillId="0" borderId="0" xfId="0" applyNumberFormat="1"/>
    <xf numFmtId="3" fontId="0" fillId="0" borderId="4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0" fillId="0" borderId="8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41" fontId="0" fillId="0" borderId="0" xfId="1" applyFont="1"/>
    <xf numFmtId="3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41" fontId="6" fillId="0" borderId="0" xfId="1" applyFont="1" applyBorder="1" applyAlignment="1">
      <alignment vertical="center" wrapText="1"/>
    </xf>
    <xf numFmtId="41" fontId="6" fillId="0" borderId="0" xfId="1" applyFo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13" xfId="0" applyBorder="1"/>
    <xf numFmtId="41" fontId="0" fillId="0" borderId="0" xfId="1" applyFont="1" applyBorder="1"/>
    <xf numFmtId="41" fontId="0" fillId="0" borderId="14" xfId="1" applyFont="1" applyBorder="1"/>
    <xf numFmtId="41" fontId="6" fillId="0" borderId="14" xfId="1" applyFont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41" fontId="0" fillId="0" borderId="16" xfId="1" applyFont="1" applyBorder="1"/>
    <xf numFmtId="41" fontId="0" fillId="0" borderId="17" xfId="1" applyFont="1" applyBorder="1"/>
    <xf numFmtId="41" fontId="0" fillId="0" borderId="13" xfId="1" applyFont="1" applyBorder="1"/>
    <xf numFmtId="0" fontId="0" fillId="0" borderId="0" xfId="1" applyNumberFormat="1" applyFont="1" applyBorder="1"/>
    <xf numFmtId="41" fontId="0" fillId="0" borderId="15" xfId="1" applyFont="1" applyBorder="1"/>
    <xf numFmtId="0" fontId="0" fillId="0" borderId="16" xfId="1" applyNumberFormat="1" applyFont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3" borderId="0" xfId="0" applyFill="1" applyBorder="1" applyAlignment="1">
      <alignment horizontal="center"/>
    </xf>
    <xf numFmtId="0" fontId="9" fillId="0" borderId="0" xfId="0" applyFont="1" applyAlignment="1">
      <alignment horizontal="right"/>
    </xf>
    <xf numFmtId="15" fontId="9" fillId="0" borderId="0" xfId="0" applyNumberFormat="1" applyFont="1" applyAlignment="1">
      <alignment horizontal="right"/>
    </xf>
    <xf numFmtId="41" fontId="0" fillId="0" borderId="1" xfId="0" applyNumberFormat="1" applyBorder="1"/>
    <xf numFmtId="0" fontId="8" fillId="0" borderId="0" xfId="0" applyFont="1" applyAlignment="1">
      <alignment horizontal="center"/>
    </xf>
    <xf numFmtId="3" fontId="0" fillId="0" borderId="1" xfId="0" applyNumberFormat="1" applyBorder="1"/>
    <xf numFmtId="0" fontId="8" fillId="0" borderId="0" xfId="0" applyFont="1" applyAlignment="1">
      <alignment horizontal="center"/>
    </xf>
    <xf numFmtId="3" fontId="0" fillId="0" borderId="0" xfId="0" applyNumberFormat="1" applyBorder="1"/>
    <xf numFmtId="0" fontId="0" fillId="0" borderId="0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991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mmm/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numFmt numFmtId="164" formatCode="mmm/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Atlantis!$C$3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Atlantis!$C$4:$C$6</c:f>
              <c:numCache>
                <c:formatCode>#,##0</c:formatCode>
                <c:ptCount val="3"/>
                <c:pt idx="0">
                  <c:v>143851488</c:v>
                </c:pt>
                <c:pt idx="1">
                  <c:v>169420913</c:v>
                </c:pt>
                <c:pt idx="2">
                  <c:v>273012425</c:v>
                </c:pt>
              </c:numCache>
            </c:numRef>
          </c:val>
        </c:ser>
        <c:ser>
          <c:idx val="1"/>
          <c:order val="1"/>
          <c:tx>
            <c:strRef>
              <c:f>Atlantis!$D$3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Atlantis!$D$4:$D$6</c:f>
              <c:numCache>
                <c:formatCode>#,##0</c:formatCode>
                <c:ptCount val="3"/>
                <c:pt idx="0">
                  <c:v>17109838</c:v>
                </c:pt>
                <c:pt idx="1">
                  <c:v>29690325</c:v>
                </c:pt>
                <c:pt idx="2">
                  <c:v>58608638</c:v>
                </c:pt>
              </c:numCache>
            </c:numRef>
          </c:val>
        </c:ser>
        <c:ser>
          <c:idx val="2"/>
          <c:order val="2"/>
          <c:tx>
            <c:strRef>
              <c:f>Atlantis!$E$3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Atlantis!$E$4:$E$6</c:f>
              <c:numCache>
                <c:formatCode>#,##0</c:formatCode>
                <c:ptCount val="3"/>
                <c:pt idx="0">
                  <c:v>126741650</c:v>
                </c:pt>
                <c:pt idx="1">
                  <c:v>139730588</c:v>
                </c:pt>
                <c:pt idx="2">
                  <c:v>214403788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302976"/>
        <c:axId val="114304512"/>
      </c:barChart>
      <c:dateAx>
        <c:axId val="1143029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304512"/>
        <c:crosses val="autoZero"/>
        <c:auto val="1"/>
        <c:lblOffset val="100"/>
        <c:baseTimeUnit val="months"/>
      </c:dateAx>
      <c:valAx>
        <c:axId val="1143045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302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Taufik!$L$3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Taufik!$L$4:$L$6</c:f>
              <c:numCache>
                <c:formatCode>#,##0</c:formatCode>
                <c:ptCount val="3"/>
                <c:pt idx="0">
                  <c:v>26641563</c:v>
                </c:pt>
                <c:pt idx="1">
                  <c:v>57203475</c:v>
                </c:pt>
                <c:pt idx="2">
                  <c:v>57623300</c:v>
                </c:pt>
              </c:numCache>
            </c:numRef>
          </c:val>
        </c:ser>
        <c:ser>
          <c:idx val="1"/>
          <c:order val="1"/>
          <c:tx>
            <c:strRef>
              <c:f>Taufik!$M$3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Taufik!$M$4:$M$6</c:f>
              <c:numCache>
                <c:formatCode>#,##0</c:formatCode>
                <c:ptCount val="3"/>
                <c:pt idx="0">
                  <c:v>2324000</c:v>
                </c:pt>
                <c:pt idx="1">
                  <c:v>5999525</c:v>
                </c:pt>
                <c:pt idx="2">
                  <c:v>6706000</c:v>
                </c:pt>
              </c:numCache>
            </c:numRef>
          </c:val>
        </c:ser>
        <c:ser>
          <c:idx val="2"/>
          <c:order val="2"/>
          <c:tx>
            <c:strRef>
              <c:f>Taufik!$N$3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Taufik!$N$4:$N$6</c:f>
              <c:numCache>
                <c:formatCode>#,##0</c:formatCode>
                <c:ptCount val="3"/>
                <c:pt idx="0">
                  <c:v>24317563</c:v>
                </c:pt>
                <c:pt idx="1">
                  <c:v>51203950</c:v>
                </c:pt>
                <c:pt idx="2">
                  <c:v>50917300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592832"/>
        <c:axId val="117594368"/>
      </c:barChart>
      <c:dateAx>
        <c:axId val="1175928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594368"/>
        <c:crosses val="autoZero"/>
        <c:auto val="1"/>
        <c:lblOffset val="100"/>
        <c:baseTimeUnit val="months"/>
      </c:dateAx>
      <c:valAx>
        <c:axId val="1175943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759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Irmayanti!$O$3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Irmayanti!$O$4:$O$6</c:f>
              <c:numCache>
                <c:formatCode>General</c:formatCode>
                <c:ptCount val="3"/>
                <c:pt idx="0">
                  <c:v>107</c:v>
                </c:pt>
                <c:pt idx="1">
                  <c:v>81</c:v>
                </c:pt>
                <c:pt idx="2">
                  <c:v>94</c:v>
                </c:pt>
              </c:numCache>
            </c:numRef>
          </c:val>
        </c:ser>
        <c:ser>
          <c:idx val="4"/>
          <c:order val="1"/>
          <c:tx>
            <c:strRef>
              <c:f>Irmayanti!$P$3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Irmayanti!$P$4:$P$6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Irmayanti!$Q$3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Irmayanti!$Q$4:$Q$6</c:f>
              <c:numCache>
                <c:formatCode>General</c:formatCode>
                <c:ptCount val="3"/>
                <c:pt idx="0">
                  <c:v>93</c:v>
                </c:pt>
                <c:pt idx="1">
                  <c:v>81</c:v>
                </c:pt>
                <c:pt idx="2">
                  <c:v>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863552"/>
        <c:axId val="181865088"/>
      </c:barChart>
      <c:dateAx>
        <c:axId val="1818635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865088"/>
        <c:crosses val="autoZero"/>
        <c:auto val="1"/>
        <c:lblOffset val="100"/>
        <c:baseTimeUnit val="months"/>
      </c:dateAx>
      <c:valAx>
        <c:axId val="18186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863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Gunanjar!$C$3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Gunanjar!$C$4:$C$6</c:f>
              <c:numCache>
                <c:formatCode>#,##0</c:formatCode>
                <c:ptCount val="3"/>
                <c:pt idx="0">
                  <c:v>5567538</c:v>
                </c:pt>
                <c:pt idx="1">
                  <c:v>8262188</c:v>
                </c:pt>
                <c:pt idx="2">
                  <c:v>16824675</c:v>
                </c:pt>
              </c:numCache>
            </c:numRef>
          </c:val>
        </c:ser>
        <c:ser>
          <c:idx val="1"/>
          <c:order val="1"/>
          <c:tx>
            <c:strRef>
              <c:f>Gunanjar!$D$3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Gunanjar!$D$4:$D$6</c:f>
              <c:numCache>
                <c:formatCode>#,##0</c:formatCode>
                <c:ptCount val="3"/>
                <c:pt idx="0">
                  <c:v>308875</c:v>
                </c:pt>
                <c:pt idx="1">
                  <c:v>794938</c:v>
                </c:pt>
                <c:pt idx="2">
                  <c:v>1037788</c:v>
                </c:pt>
              </c:numCache>
            </c:numRef>
          </c:val>
        </c:ser>
        <c:ser>
          <c:idx val="2"/>
          <c:order val="2"/>
          <c:tx>
            <c:strRef>
              <c:f>Gunanjar!$E$3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Gunanjar!$E$4:$E$6</c:f>
              <c:numCache>
                <c:formatCode>#,##0</c:formatCode>
                <c:ptCount val="3"/>
                <c:pt idx="0">
                  <c:v>5258663</c:v>
                </c:pt>
                <c:pt idx="1">
                  <c:v>7467250</c:v>
                </c:pt>
                <c:pt idx="2">
                  <c:v>15786888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640192"/>
        <c:axId val="181650176"/>
      </c:barChart>
      <c:dateAx>
        <c:axId val="1816401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650176"/>
        <c:crosses val="autoZero"/>
        <c:auto val="1"/>
        <c:lblOffset val="100"/>
        <c:baseTimeUnit val="months"/>
      </c:dateAx>
      <c:valAx>
        <c:axId val="1816501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1640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Gunanjar!$L$3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Gunanjar!$L$4:$L$6</c:f>
              <c:numCache>
                <c:formatCode>#,##0</c:formatCode>
                <c:ptCount val="3"/>
                <c:pt idx="0">
                  <c:v>11663400</c:v>
                </c:pt>
                <c:pt idx="1">
                  <c:v>15793838</c:v>
                </c:pt>
                <c:pt idx="2">
                  <c:v>37774713</c:v>
                </c:pt>
              </c:numCache>
            </c:numRef>
          </c:val>
        </c:ser>
        <c:ser>
          <c:idx val="1"/>
          <c:order val="1"/>
          <c:tx>
            <c:strRef>
              <c:f>Gunanjar!$M$3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Gunanjar!$M$4:$M$6</c:f>
              <c:numCache>
                <c:formatCode>#,##0</c:formatCode>
                <c:ptCount val="3"/>
                <c:pt idx="0">
                  <c:v>875088</c:v>
                </c:pt>
                <c:pt idx="1">
                  <c:v>429975</c:v>
                </c:pt>
                <c:pt idx="2">
                  <c:v>2279550</c:v>
                </c:pt>
              </c:numCache>
            </c:numRef>
          </c:val>
        </c:ser>
        <c:ser>
          <c:idx val="2"/>
          <c:order val="2"/>
          <c:tx>
            <c:strRef>
              <c:f>Gunanjar!$N$3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Gunanjar!$N$4:$N$6</c:f>
              <c:numCache>
                <c:formatCode>#,##0</c:formatCode>
                <c:ptCount val="3"/>
                <c:pt idx="0">
                  <c:v>10788313</c:v>
                </c:pt>
                <c:pt idx="1">
                  <c:v>15363863</c:v>
                </c:pt>
                <c:pt idx="2">
                  <c:v>35495163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753536"/>
        <c:axId val="178755072"/>
      </c:barChart>
      <c:dateAx>
        <c:axId val="17875353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755072"/>
        <c:crosses val="autoZero"/>
        <c:auto val="1"/>
        <c:lblOffset val="100"/>
        <c:baseTimeUnit val="months"/>
      </c:dateAx>
      <c:valAx>
        <c:axId val="1787550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875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Gunanjar!$F$3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Gunanjar!$F$4:$F$6</c:f>
              <c:numCache>
                <c:formatCode>General</c:formatCode>
                <c:ptCount val="3"/>
                <c:pt idx="0">
                  <c:v>55</c:v>
                </c:pt>
                <c:pt idx="1">
                  <c:v>77</c:v>
                </c:pt>
                <c:pt idx="2">
                  <c:v>156</c:v>
                </c:pt>
              </c:numCache>
            </c:numRef>
          </c:val>
        </c:ser>
        <c:ser>
          <c:idx val="4"/>
          <c:order val="1"/>
          <c:tx>
            <c:strRef>
              <c:f>Gunanjar!$G$3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Gunanjar!$G$4:$G$6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Gunanjar!$H$3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Gunanjar!$B$4:$B$6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Gunanjar!$H$4:$H$6</c:f>
              <c:numCache>
                <c:formatCode>General</c:formatCode>
                <c:ptCount val="3"/>
                <c:pt idx="0">
                  <c:v>52</c:v>
                </c:pt>
                <c:pt idx="1">
                  <c:v>70</c:v>
                </c:pt>
                <c:pt idx="2">
                  <c:v>146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75776"/>
        <c:axId val="12077312"/>
      </c:barChart>
      <c:dateAx>
        <c:axId val="120757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077312"/>
        <c:crosses val="autoZero"/>
        <c:auto val="1"/>
        <c:lblOffset val="100"/>
        <c:baseTimeUnit val="months"/>
      </c:dateAx>
      <c:valAx>
        <c:axId val="1207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7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Gunanjar!$O$3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Gunanjar!$O$4:$O$6</c:f>
              <c:numCache>
                <c:formatCode>General</c:formatCode>
                <c:ptCount val="3"/>
                <c:pt idx="0">
                  <c:v>102</c:v>
                </c:pt>
                <c:pt idx="1">
                  <c:v>137</c:v>
                </c:pt>
                <c:pt idx="2">
                  <c:v>302</c:v>
                </c:pt>
              </c:numCache>
            </c:numRef>
          </c:val>
        </c:ser>
        <c:ser>
          <c:idx val="4"/>
          <c:order val="1"/>
          <c:tx>
            <c:strRef>
              <c:f>Gunanjar!$P$3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Gunanjar!$P$4:$P$6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</c:ser>
        <c:ser>
          <c:idx val="5"/>
          <c:order val="2"/>
          <c:tx>
            <c:strRef>
              <c:f>Gunanjar!$Q$3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Gunanjar!$K$4:$K$6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Gunanjar!$Q$4:$Q$6</c:f>
              <c:numCache>
                <c:formatCode>General</c:formatCode>
                <c:ptCount val="3"/>
                <c:pt idx="0">
                  <c:v>94</c:v>
                </c:pt>
                <c:pt idx="1">
                  <c:v>134</c:v>
                </c:pt>
                <c:pt idx="2">
                  <c:v>285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21600"/>
        <c:axId val="12123136"/>
      </c:barChart>
      <c:dateAx>
        <c:axId val="121216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2123136"/>
        <c:crosses val="autoZero"/>
        <c:auto val="1"/>
        <c:lblOffset val="100"/>
        <c:baseTimeUnit val="months"/>
      </c:dateAx>
      <c:valAx>
        <c:axId val="1212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2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Dirwan!$L$3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Dirwan!$L$4:$L$6</c:f>
              <c:numCache>
                <c:formatCode>#,##0</c:formatCode>
                <c:ptCount val="3"/>
                <c:pt idx="0">
                  <c:v>2409925</c:v>
                </c:pt>
                <c:pt idx="1">
                  <c:v>6429938</c:v>
                </c:pt>
                <c:pt idx="2">
                  <c:v>4586225</c:v>
                </c:pt>
              </c:numCache>
            </c:numRef>
          </c:val>
        </c:ser>
        <c:ser>
          <c:idx val="1"/>
          <c:order val="1"/>
          <c:tx>
            <c:strRef>
              <c:f>Dirwan!$M$3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Dirwan!$M$4:$M$6</c:f>
              <c:numCache>
                <c:formatCode>#,##0</c:formatCode>
                <c:ptCount val="3"/>
                <c:pt idx="0">
                  <c:v>506538</c:v>
                </c:pt>
                <c:pt idx="1">
                  <c:v>1013150</c:v>
                </c:pt>
                <c:pt idx="2">
                  <c:v>1211000</c:v>
                </c:pt>
              </c:numCache>
            </c:numRef>
          </c:val>
        </c:ser>
        <c:ser>
          <c:idx val="2"/>
          <c:order val="2"/>
          <c:tx>
            <c:strRef>
              <c:f>Dirwan!$N$3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Dirwan!$N$4:$N$6</c:f>
              <c:numCache>
                <c:formatCode>#,##0</c:formatCode>
                <c:ptCount val="3"/>
                <c:pt idx="0">
                  <c:v>1903388</c:v>
                </c:pt>
                <c:pt idx="1">
                  <c:v>5416788</c:v>
                </c:pt>
                <c:pt idx="2">
                  <c:v>3375225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332800"/>
        <c:axId val="182342784"/>
      </c:barChart>
      <c:dateAx>
        <c:axId val="1823328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342784"/>
        <c:crosses val="autoZero"/>
        <c:auto val="1"/>
        <c:lblOffset val="100"/>
        <c:baseTimeUnit val="months"/>
      </c:dateAx>
      <c:valAx>
        <c:axId val="1823427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2332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Dirwan!$C$3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Dirwan!$C$4:$C$5</c:f>
              <c:numCache>
                <c:formatCode>#,##0</c:formatCode>
                <c:ptCount val="2"/>
                <c:pt idx="0">
                  <c:v>24623288</c:v>
                </c:pt>
                <c:pt idx="1">
                  <c:v>45146938</c:v>
                </c:pt>
              </c:numCache>
            </c:numRef>
          </c:val>
        </c:ser>
        <c:ser>
          <c:idx val="1"/>
          <c:order val="1"/>
          <c:tx>
            <c:strRef>
              <c:f>Dirwan!$D$3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Dirwan!$D$4:$D$5</c:f>
              <c:numCache>
                <c:formatCode>#,##0</c:formatCode>
                <c:ptCount val="2"/>
                <c:pt idx="0">
                  <c:v>2825311</c:v>
                </c:pt>
                <c:pt idx="1">
                  <c:v>12013417</c:v>
                </c:pt>
              </c:numCache>
            </c:numRef>
          </c:val>
        </c:ser>
        <c:ser>
          <c:idx val="2"/>
          <c:order val="2"/>
          <c:tx>
            <c:strRef>
              <c:f>Dirwan!$E$3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Dirwan!$E$4:$E$5</c:f>
              <c:numCache>
                <c:formatCode>#,##0</c:formatCode>
                <c:ptCount val="2"/>
                <c:pt idx="0">
                  <c:v>21797977</c:v>
                </c:pt>
                <c:pt idx="1">
                  <c:v>33133521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387072"/>
        <c:axId val="182388608"/>
      </c:barChart>
      <c:dateAx>
        <c:axId val="1823870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388608"/>
        <c:crosses val="autoZero"/>
        <c:auto val="1"/>
        <c:lblOffset val="100"/>
        <c:baseTimeUnit val="months"/>
      </c:dateAx>
      <c:valAx>
        <c:axId val="1823886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2387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Dirwan!$F$3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Dirwan!$F$4:$F$5</c:f>
              <c:numCache>
                <c:formatCode>General</c:formatCode>
                <c:ptCount val="2"/>
                <c:pt idx="0">
                  <c:v>226</c:v>
                </c:pt>
                <c:pt idx="1">
                  <c:v>423</c:v>
                </c:pt>
              </c:numCache>
            </c:numRef>
          </c:val>
        </c:ser>
        <c:ser>
          <c:idx val="4"/>
          <c:order val="1"/>
          <c:tx>
            <c:strRef>
              <c:f>Dirwan!$G$3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Dirwan!$G$4:$G$5</c:f>
              <c:numCache>
                <c:formatCode>General</c:formatCode>
                <c:ptCount val="2"/>
                <c:pt idx="0">
                  <c:v>42</c:v>
                </c:pt>
                <c:pt idx="1">
                  <c:v>82</c:v>
                </c:pt>
              </c:numCache>
            </c:numRef>
          </c:val>
        </c:ser>
        <c:ser>
          <c:idx val="5"/>
          <c:order val="2"/>
          <c:tx>
            <c:strRef>
              <c:f>Dirwan!$H$3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Dirwan!$B$4:$B$5</c:f>
              <c:numCache>
                <c:formatCode>mmm\-yy</c:formatCode>
                <c:ptCount val="2"/>
                <c:pt idx="0">
                  <c:v>42736</c:v>
                </c:pt>
                <c:pt idx="1">
                  <c:v>42795</c:v>
                </c:pt>
              </c:numCache>
            </c:numRef>
          </c:cat>
          <c:val>
            <c:numRef>
              <c:f>Dirwan!$H$4:$H$5</c:f>
              <c:numCache>
                <c:formatCode>General</c:formatCode>
                <c:ptCount val="2"/>
                <c:pt idx="0">
                  <c:v>184</c:v>
                </c:pt>
                <c:pt idx="1">
                  <c:v>341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436992"/>
        <c:axId val="182438528"/>
      </c:barChart>
      <c:dateAx>
        <c:axId val="1824369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438528"/>
        <c:crosses val="autoZero"/>
        <c:auto val="1"/>
        <c:lblOffset val="100"/>
        <c:baseTimeUnit val="months"/>
      </c:dateAx>
      <c:valAx>
        <c:axId val="1824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43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Dirwan!$O$3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Dirwan!$O$4:$O$6</c:f>
              <c:numCache>
                <c:formatCode>General</c:formatCode>
                <c:ptCount val="3"/>
                <c:pt idx="0">
                  <c:v>24</c:v>
                </c:pt>
                <c:pt idx="1">
                  <c:v>67</c:v>
                </c:pt>
                <c:pt idx="2">
                  <c:v>46</c:v>
                </c:pt>
              </c:numCache>
            </c:numRef>
          </c:val>
        </c:ser>
        <c:ser>
          <c:idx val="4"/>
          <c:order val="1"/>
          <c:tx>
            <c:strRef>
              <c:f>Dirwan!$P$3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Dirwan!$P$4:$P$6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16</c:v>
                </c:pt>
              </c:numCache>
            </c:numRef>
          </c:val>
        </c:ser>
        <c:ser>
          <c:idx val="5"/>
          <c:order val="2"/>
          <c:tx>
            <c:strRef>
              <c:f>Dirwan!$Q$3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Dirwan!$K$4:$K$6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Dirwan!$Q$4:$Q$6</c:f>
              <c:numCache>
                <c:formatCode>General</c:formatCode>
                <c:ptCount val="3"/>
                <c:pt idx="0">
                  <c:v>20</c:v>
                </c:pt>
                <c:pt idx="1">
                  <c:v>56</c:v>
                </c:pt>
                <c:pt idx="2">
                  <c:v>30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728576"/>
        <c:axId val="182730112"/>
      </c:barChart>
      <c:dateAx>
        <c:axId val="1827285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730112"/>
        <c:crosses val="autoZero"/>
        <c:auto val="1"/>
        <c:lblOffset val="100"/>
        <c:baseTimeUnit val="months"/>
      </c:dateAx>
      <c:valAx>
        <c:axId val="18273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72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</a:t>
            </a:r>
            <a:r>
              <a:rPr lang="en-US" baseline="0"/>
              <a:t>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Jenal'!$C$3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Jenal'!$C$4:$C$6</c:f>
              <c:numCache>
                <c:formatCode>#,##0</c:formatCode>
                <c:ptCount val="3"/>
                <c:pt idx="0">
                  <c:v>3146675</c:v>
                </c:pt>
                <c:pt idx="1">
                  <c:v>20210488</c:v>
                </c:pt>
                <c:pt idx="2">
                  <c:v>44961613</c:v>
                </c:pt>
              </c:numCache>
            </c:numRef>
          </c:val>
        </c:ser>
        <c:ser>
          <c:idx val="1"/>
          <c:order val="1"/>
          <c:tx>
            <c:strRef>
              <c:f>'Asep Jenal'!$D$3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Jenal'!$D$4:$D$6</c:f>
              <c:numCache>
                <c:formatCode>#,##0</c:formatCode>
                <c:ptCount val="3"/>
                <c:pt idx="0">
                  <c:v>712950</c:v>
                </c:pt>
                <c:pt idx="1">
                  <c:v>921663</c:v>
                </c:pt>
                <c:pt idx="2">
                  <c:v>6261325</c:v>
                </c:pt>
              </c:numCache>
            </c:numRef>
          </c:val>
        </c:ser>
        <c:ser>
          <c:idx val="2"/>
          <c:order val="2"/>
          <c:tx>
            <c:strRef>
              <c:f>'Asep Jenal'!$E$3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Jenal'!$E$4:$E$6</c:f>
              <c:numCache>
                <c:formatCode>#,##0</c:formatCode>
                <c:ptCount val="3"/>
                <c:pt idx="0">
                  <c:v>2433725</c:v>
                </c:pt>
                <c:pt idx="1">
                  <c:v>19288825</c:v>
                </c:pt>
                <c:pt idx="2">
                  <c:v>38700288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009856"/>
        <c:axId val="182011392"/>
      </c:barChart>
      <c:dateAx>
        <c:axId val="1820098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011392"/>
        <c:crosses val="autoZero"/>
        <c:auto val="1"/>
        <c:lblOffset val="100"/>
        <c:baseTimeUnit val="months"/>
      </c:dateAx>
      <c:valAx>
        <c:axId val="1820113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2009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Taufik!$F$3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Taufik!$F$4:$F$8</c:f>
              <c:numCache>
                <c:formatCode>General</c:formatCode>
                <c:ptCount val="5"/>
                <c:pt idx="0">
                  <c:v>439</c:v>
                </c:pt>
                <c:pt idx="1">
                  <c:v>648</c:v>
                </c:pt>
                <c:pt idx="2">
                  <c:v>942</c:v>
                </c:pt>
                <c:pt idx="3" formatCode="#,##0">
                  <c:v>2029</c:v>
                </c:pt>
              </c:numCache>
            </c:numRef>
          </c:val>
        </c:ser>
        <c:ser>
          <c:idx val="4"/>
          <c:order val="1"/>
          <c:tx>
            <c:strRef>
              <c:f>Taufik!$G$3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Taufik!$G$4:$G$8</c:f>
              <c:numCache>
                <c:formatCode>General</c:formatCode>
                <c:ptCount val="5"/>
                <c:pt idx="0">
                  <c:v>67</c:v>
                </c:pt>
                <c:pt idx="1">
                  <c:v>83</c:v>
                </c:pt>
                <c:pt idx="2">
                  <c:v>169</c:v>
                </c:pt>
                <c:pt idx="3" formatCode="#,##0">
                  <c:v>319</c:v>
                </c:pt>
              </c:numCache>
            </c:numRef>
          </c:val>
        </c:ser>
        <c:ser>
          <c:idx val="5"/>
          <c:order val="2"/>
          <c:tx>
            <c:strRef>
              <c:f>Taufik!$H$3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Taufik!$H$4:$H$8</c:f>
              <c:numCache>
                <c:formatCode>General</c:formatCode>
                <c:ptCount val="5"/>
                <c:pt idx="0">
                  <c:v>372</c:v>
                </c:pt>
                <c:pt idx="1">
                  <c:v>565</c:v>
                </c:pt>
                <c:pt idx="2">
                  <c:v>773</c:v>
                </c:pt>
                <c:pt idx="3" formatCode="#,##0">
                  <c:v>1710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626368"/>
        <c:axId val="117627904"/>
      </c:barChart>
      <c:dateAx>
        <c:axId val="1176263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627904"/>
        <c:crosses val="autoZero"/>
        <c:auto val="1"/>
        <c:lblOffset val="100"/>
        <c:baseTimeUnit val="months"/>
      </c:dateAx>
      <c:valAx>
        <c:axId val="11762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7626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Jenal'!$L$3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Jenal'!$L$4:$L$6</c:f>
              <c:numCache>
                <c:formatCode>#,##0</c:formatCode>
                <c:ptCount val="3"/>
                <c:pt idx="0">
                  <c:v>6872950</c:v>
                </c:pt>
                <c:pt idx="1">
                  <c:v>14620463</c:v>
                </c:pt>
                <c:pt idx="2">
                  <c:v>32090363</c:v>
                </c:pt>
              </c:numCache>
            </c:numRef>
          </c:val>
        </c:ser>
        <c:ser>
          <c:idx val="1"/>
          <c:order val="1"/>
          <c:tx>
            <c:strRef>
              <c:f>'Asep Jenal'!$M$3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Jenal'!$M$4:$M$6</c:f>
              <c:numCache>
                <c:formatCode>#,##0</c:formatCode>
                <c:ptCount val="3"/>
                <c:pt idx="0">
                  <c:v>1908975</c:v>
                </c:pt>
                <c:pt idx="1">
                  <c:v>1478750</c:v>
                </c:pt>
                <c:pt idx="2">
                  <c:v>5673138</c:v>
                </c:pt>
              </c:numCache>
            </c:numRef>
          </c:val>
        </c:ser>
        <c:ser>
          <c:idx val="2"/>
          <c:order val="2"/>
          <c:tx>
            <c:strRef>
              <c:f>'Asep Jenal'!$N$3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Jenal'!$N$4:$N$6</c:f>
              <c:numCache>
                <c:formatCode>#,##0</c:formatCode>
                <c:ptCount val="3"/>
                <c:pt idx="0">
                  <c:v>4963975</c:v>
                </c:pt>
                <c:pt idx="1">
                  <c:v>13141713</c:v>
                </c:pt>
                <c:pt idx="2">
                  <c:v>26417225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047488"/>
        <c:axId val="182049024"/>
      </c:barChart>
      <c:dateAx>
        <c:axId val="1820474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049024"/>
        <c:crosses val="autoZero"/>
        <c:auto val="1"/>
        <c:lblOffset val="100"/>
        <c:baseTimeUnit val="months"/>
      </c:dateAx>
      <c:valAx>
        <c:axId val="1820490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2047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Jenal'!$F$3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Jenal'!$F$4:$F$6</c:f>
              <c:numCache>
                <c:formatCode>General</c:formatCode>
                <c:ptCount val="3"/>
                <c:pt idx="0">
                  <c:v>34</c:v>
                </c:pt>
                <c:pt idx="1">
                  <c:v>183</c:v>
                </c:pt>
                <c:pt idx="2">
                  <c:v>413</c:v>
                </c:pt>
              </c:numCache>
            </c:numRef>
          </c:val>
        </c:ser>
        <c:ser>
          <c:idx val="4"/>
          <c:order val="1"/>
          <c:tx>
            <c:strRef>
              <c:f>'Asep Jenal'!$G$3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Jenal'!$G$4:$G$6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52</c:v>
                </c:pt>
              </c:numCache>
            </c:numRef>
          </c:val>
        </c:ser>
        <c:ser>
          <c:idx val="5"/>
          <c:order val="2"/>
          <c:tx>
            <c:strRef>
              <c:f>'Asep Jenal'!$H$3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Jenal'!$B$4:$B$6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Jenal'!$H$4:$H$6</c:f>
              <c:numCache>
                <c:formatCode>General</c:formatCode>
                <c:ptCount val="3"/>
                <c:pt idx="0">
                  <c:v>26</c:v>
                </c:pt>
                <c:pt idx="1">
                  <c:v>175</c:v>
                </c:pt>
                <c:pt idx="2">
                  <c:v>361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187520"/>
        <c:axId val="182189056"/>
      </c:barChart>
      <c:dateAx>
        <c:axId val="1821875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189056"/>
        <c:crosses val="autoZero"/>
        <c:auto val="1"/>
        <c:lblOffset val="100"/>
        <c:baseTimeUnit val="months"/>
      </c:dateAx>
      <c:valAx>
        <c:axId val="18218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18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Jenal'!$O$3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Jenal'!$O$4:$O$6</c:f>
              <c:numCache>
                <c:formatCode>General</c:formatCode>
                <c:ptCount val="3"/>
                <c:pt idx="0">
                  <c:v>76</c:v>
                </c:pt>
                <c:pt idx="1">
                  <c:v>134</c:v>
                </c:pt>
                <c:pt idx="2">
                  <c:v>294</c:v>
                </c:pt>
              </c:numCache>
            </c:numRef>
          </c:val>
        </c:ser>
        <c:ser>
          <c:idx val="4"/>
          <c:order val="1"/>
          <c:tx>
            <c:strRef>
              <c:f>'Asep Jenal'!$P$3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Jenal'!$P$4:$P$6</c:f>
              <c:numCache>
                <c:formatCode>General</c:formatCode>
                <c:ptCount val="3"/>
                <c:pt idx="0">
                  <c:v>19</c:v>
                </c:pt>
                <c:pt idx="1">
                  <c:v>15</c:v>
                </c:pt>
                <c:pt idx="2">
                  <c:v>50</c:v>
                </c:pt>
              </c:numCache>
            </c:numRef>
          </c:val>
        </c:ser>
        <c:ser>
          <c:idx val="5"/>
          <c:order val="2"/>
          <c:tx>
            <c:strRef>
              <c:f>'Asep Jenal'!$Q$3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Jenal'!$K$4:$K$6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Jenal'!$Q$4:$Q$6</c:f>
              <c:numCache>
                <c:formatCode>General</c:formatCode>
                <c:ptCount val="3"/>
                <c:pt idx="0">
                  <c:v>57</c:v>
                </c:pt>
                <c:pt idx="1">
                  <c:v>119</c:v>
                </c:pt>
                <c:pt idx="2">
                  <c:v>244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089408"/>
        <c:axId val="183099392"/>
      </c:barChart>
      <c:dateAx>
        <c:axId val="1830894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099392"/>
        <c:crosses val="autoZero"/>
        <c:auto val="1"/>
        <c:lblOffset val="100"/>
        <c:baseTimeUnit val="months"/>
      </c:dateAx>
      <c:valAx>
        <c:axId val="18309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8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LPM!$C$3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LPM!$C$4:$C$6</c:f>
              <c:numCache>
                <c:formatCode>#,##0</c:formatCode>
                <c:ptCount val="3"/>
                <c:pt idx="0">
                  <c:v>4833200</c:v>
                </c:pt>
                <c:pt idx="1">
                  <c:v>10282800</c:v>
                </c:pt>
                <c:pt idx="2">
                  <c:v>17309800</c:v>
                </c:pt>
              </c:numCache>
            </c:numRef>
          </c:val>
        </c:ser>
        <c:ser>
          <c:idx val="1"/>
          <c:order val="1"/>
          <c:tx>
            <c:strRef>
              <c:f>LPM!$D$3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LPM!$D$4:$D$6</c:f>
              <c:numCache>
                <c:formatCode>#,##0</c:formatCode>
                <c:ptCount val="3"/>
                <c:pt idx="0">
                  <c:v>1075600</c:v>
                </c:pt>
                <c:pt idx="1">
                  <c:v>718100</c:v>
                </c:pt>
                <c:pt idx="2">
                  <c:v>3194300</c:v>
                </c:pt>
              </c:numCache>
            </c:numRef>
          </c:val>
        </c:ser>
        <c:ser>
          <c:idx val="2"/>
          <c:order val="2"/>
          <c:tx>
            <c:strRef>
              <c:f>LPM!$E$3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LPM!$E$4:$E$6</c:f>
              <c:numCache>
                <c:formatCode>#,##0</c:formatCode>
                <c:ptCount val="3"/>
                <c:pt idx="0">
                  <c:v>3757600</c:v>
                </c:pt>
                <c:pt idx="1">
                  <c:v>9564700</c:v>
                </c:pt>
                <c:pt idx="2">
                  <c:v>14115500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899072"/>
        <c:axId val="182900608"/>
      </c:barChart>
      <c:dateAx>
        <c:axId val="1828990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900608"/>
        <c:crosses val="autoZero"/>
        <c:auto val="1"/>
        <c:lblOffset val="100"/>
        <c:baseTimeUnit val="months"/>
      </c:dateAx>
      <c:valAx>
        <c:axId val="1829006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2899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LPM!$L$3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LPM!$L$4:$L$6</c:f>
              <c:numCache>
                <c:formatCode>#,##0</c:formatCode>
                <c:ptCount val="3"/>
                <c:pt idx="0">
                  <c:v>5364000</c:v>
                </c:pt>
                <c:pt idx="1">
                  <c:v>4971800</c:v>
                </c:pt>
                <c:pt idx="2">
                  <c:v>4598400</c:v>
                </c:pt>
              </c:numCache>
            </c:numRef>
          </c:val>
        </c:ser>
        <c:ser>
          <c:idx val="1"/>
          <c:order val="1"/>
          <c:tx>
            <c:strRef>
              <c:f>LPM!$M$3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LPM!$M$4:$M$6</c:f>
              <c:numCache>
                <c:formatCode>#,##0</c:formatCode>
                <c:ptCount val="3"/>
                <c:pt idx="0">
                  <c:v>1970000</c:v>
                </c:pt>
                <c:pt idx="1">
                  <c:v>415100</c:v>
                </c:pt>
                <c:pt idx="2">
                  <c:v>814600</c:v>
                </c:pt>
              </c:numCache>
            </c:numRef>
          </c:val>
        </c:ser>
        <c:ser>
          <c:idx val="2"/>
          <c:order val="2"/>
          <c:tx>
            <c:strRef>
              <c:f>LPM!$N$3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LPM!$N$4:$N$6</c:f>
              <c:numCache>
                <c:formatCode>#,##0</c:formatCode>
                <c:ptCount val="3"/>
                <c:pt idx="0">
                  <c:v>3394000</c:v>
                </c:pt>
                <c:pt idx="1">
                  <c:v>4556700</c:v>
                </c:pt>
                <c:pt idx="2">
                  <c:v>3783800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57184"/>
        <c:axId val="182958720"/>
      </c:barChart>
      <c:dateAx>
        <c:axId val="1829571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2958720"/>
        <c:crosses val="autoZero"/>
        <c:auto val="1"/>
        <c:lblOffset val="100"/>
        <c:baseTimeUnit val="months"/>
      </c:dateAx>
      <c:valAx>
        <c:axId val="1829587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295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LPM!$F$3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LPM!$F$4:$F$6</c:f>
              <c:numCache>
                <c:formatCode>General</c:formatCode>
                <c:ptCount val="3"/>
                <c:pt idx="0">
                  <c:v>47</c:v>
                </c:pt>
                <c:pt idx="1">
                  <c:v>83</c:v>
                </c:pt>
                <c:pt idx="2">
                  <c:v>144</c:v>
                </c:pt>
              </c:numCache>
            </c:numRef>
          </c:val>
        </c:ser>
        <c:ser>
          <c:idx val="4"/>
          <c:order val="1"/>
          <c:tx>
            <c:strRef>
              <c:f>LPM!$G$3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LPM!$G$4:$G$6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25</c:v>
                </c:pt>
              </c:numCache>
            </c:numRef>
          </c:val>
        </c:ser>
        <c:ser>
          <c:idx val="5"/>
          <c:order val="2"/>
          <c:tx>
            <c:strRef>
              <c:f>LPM!$H$3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LPM!$B$4:$B$6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LPM!$H$4:$H$6</c:f>
              <c:numCache>
                <c:formatCode>General</c:formatCode>
                <c:ptCount val="3"/>
                <c:pt idx="0">
                  <c:v>38</c:v>
                </c:pt>
                <c:pt idx="1">
                  <c:v>77</c:v>
                </c:pt>
                <c:pt idx="2">
                  <c:v>119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650176"/>
        <c:axId val="183651712"/>
      </c:barChart>
      <c:dateAx>
        <c:axId val="1836501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651712"/>
        <c:crosses val="autoZero"/>
        <c:auto val="1"/>
        <c:lblOffset val="100"/>
        <c:baseTimeUnit val="months"/>
      </c:dateAx>
      <c:valAx>
        <c:axId val="18365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65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LPM!$O$3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LPM!$O$4:$O$6</c:f>
              <c:numCache>
                <c:formatCode>General</c:formatCode>
                <c:ptCount val="3"/>
                <c:pt idx="0">
                  <c:v>49</c:v>
                </c:pt>
                <c:pt idx="1">
                  <c:v>42</c:v>
                </c:pt>
                <c:pt idx="2">
                  <c:v>38</c:v>
                </c:pt>
              </c:numCache>
            </c:numRef>
          </c:val>
        </c:ser>
        <c:ser>
          <c:idx val="4"/>
          <c:order val="1"/>
          <c:tx>
            <c:strRef>
              <c:f>LPM!$P$3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LPM!$P$4:$P$6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11</c:v>
                </c:pt>
              </c:numCache>
            </c:numRef>
          </c:val>
        </c:ser>
        <c:ser>
          <c:idx val="5"/>
          <c:order val="2"/>
          <c:tx>
            <c:strRef>
              <c:f>LPM!$Q$3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LPM!$K$4:$K$6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LPM!$Q$4:$Q$6</c:f>
              <c:numCache>
                <c:formatCode>General</c:formatCode>
                <c:ptCount val="3"/>
                <c:pt idx="0">
                  <c:v>33</c:v>
                </c:pt>
                <c:pt idx="1">
                  <c:v>37</c:v>
                </c:pt>
                <c:pt idx="2">
                  <c:v>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696000"/>
        <c:axId val="183378304"/>
      </c:barChart>
      <c:dateAx>
        <c:axId val="1836960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378304"/>
        <c:crosses val="autoZero"/>
        <c:auto val="1"/>
        <c:lblOffset val="100"/>
        <c:baseTimeUnit val="months"/>
      </c:dateAx>
      <c:valAx>
        <c:axId val="18337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69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Bojes!$C$3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Bojes!$C$4:$C$6</c:f>
              <c:numCache>
                <c:formatCode>#,##0</c:formatCode>
                <c:ptCount val="3"/>
                <c:pt idx="0">
                  <c:v>5017863</c:v>
                </c:pt>
                <c:pt idx="1">
                  <c:v>10587588</c:v>
                </c:pt>
                <c:pt idx="2">
                  <c:v>43376288</c:v>
                </c:pt>
              </c:numCache>
            </c:numRef>
          </c:val>
        </c:ser>
        <c:ser>
          <c:idx val="1"/>
          <c:order val="1"/>
          <c:tx>
            <c:strRef>
              <c:f>Bojes!$D$3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Bojes!$D$4:$D$6</c:f>
              <c:numCache>
                <c:formatCode>#,##0</c:formatCode>
                <c:ptCount val="3"/>
                <c:pt idx="0">
                  <c:v>1970063</c:v>
                </c:pt>
                <c:pt idx="1">
                  <c:v>2531375</c:v>
                </c:pt>
                <c:pt idx="2">
                  <c:v>8443488</c:v>
                </c:pt>
              </c:numCache>
            </c:numRef>
          </c:val>
        </c:ser>
        <c:ser>
          <c:idx val="2"/>
          <c:order val="2"/>
          <c:tx>
            <c:strRef>
              <c:f>Bojes!$E$3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Bojes!$E$4:$E$6</c:f>
              <c:numCache>
                <c:formatCode>#,##0</c:formatCode>
                <c:ptCount val="3"/>
                <c:pt idx="0">
                  <c:v>3047800</c:v>
                </c:pt>
                <c:pt idx="1">
                  <c:v>8056213</c:v>
                </c:pt>
                <c:pt idx="2">
                  <c:v>34932800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165696"/>
        <c:axId val="183167232"/>
      </c:barChart>
      <c:dateAx>
        <c:axId val="1831656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167232"/>
        <c:crosses val="autoZero"/>
        <c:auto val="1"/>
        <c:lblOffset val="100"/>
        <c:baseTimeUnit val="months"/>
      </c:dateAx>
      <c:valAx>
        <c:axId val="1831672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3165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Bojes!$L$3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Bojes!$L$4:$L$6</c:f>
              <c:numCache>
                <c:formatCode>#,##0</c:formatCode>
                <c:ptCount val="3"/>
                <c:pt idx="0">
                  <c:v>6196750</c:v>
                </c:pt>
                <c:pt idx="1">
                  <c:v>14585113</c:v>
                </c:pt>
                <c:pt idx="2">
                  <c:v>16286900</c:v>
                </c:pt>
              </c:numCache>
            </c:numRef>
          </c:val>
        </c:ser>
        <c:ser>
          <c:idx val="1"/>
          <c:order val="1"/>
          <c:tx>
            <c:strRef>
              <c:f>Bojes!$M$3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Bojes!$M$4:$M$6</c:f>
              <c:numCache>
                <c:formatCode>#,##0</c:formatCode>
                <c:ptCount val="3"/>
                <c:pt idx="0">
                  <c:v>1357913</c:v>
                </c:pt>
                <c:pt idx="1">
                  <c:v>5058638</c:v>
                </c:pt>
                <c:pt idx="2">
                  <c:v>4386122</c:v>
                </c:pt>
              </c:numCache>
            </c:numRef>
          </c:val>
        </c:ser>
        <c:ser>
          <c:idx val="2"/>
          <c:order val="2"/>
          <c:tx>
            <c:strRef>
              <c:f>Bojes!$N$3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Bojes!$N$4:$N$6</c:f>
              <c:numCache>
                <c:formatCode>#,##0</c:formatCode>
                <c:ptCount val="3"/>
                <c:pt idx="0">
                  <c:v>4838838</c:v>
                </c:pt>
                <c:pt idx="1">
                  <c:v>9526475</c:v>
                </c:pt>
                <c:pt idx="2">
                  <c:v>11900779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336128"/>
        <c:axId val="180337664"/>
      </c:barChart>
      <c:dateAx>
        <c:axId val="1803361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337664"/>
        <c:crosses val="autoZero"/>
        <c:auto val="1"/>
        <c:lblOffset val="100"/>
        <c:baseTimeUnit val="months"/>
      </c:dateAx>
      <c:valAx>
        <c:axId val="1803376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033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Bojes!$F$3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Bojes!$F$4:$F$6</c:f>
              <c:numCache>
                <c:formatCode>General</c:formatCode>
                <c:ptCount val="3"/>
                <c:pt idx="0">
                  <c:v>51</c:v>
                </c:pt>
                <c:pt idx="1">
                  <c:v>99</c:v>
                </c:pt>
                <c:pt idx="2">
                  <c:v>401</c:v>
                </c:pt>
              </c:numCache>
            </c:numRef>
          </c:val>
        </c:ser>
        <c:ser>
          <c:idx val="4"/>
          <c:order val="1"/>
          <c:tx>
            <c:strRef>
              <c:f>Bojes!$G$3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Bojes!$G$4:$G$6</c:f>
              <c:numCache>
                <c:formatCode>General</c:formatCode>
                <c:ptCount val="3"/>
                <c:pt idx="0">
                  <c:v>17</c:v>
                </c:pt>
                <c:pt idx="1">
                  <c:v>30</c:v>
                </c:pt>
                <c:pt idx="2">
                  <c:v>72</c:v>
                </c:pt>
              </c:numCache>
            </c:numRef>
          </c:val>
        </c:ser>
        <c:ser>
          <c:idx val="5"/>
          <c:order val="2"/>
          <c:tx>
            <c:strRef>
              <c:f>Bojes!$H$3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Bojes!$B$4:$B$6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Bojes!$H$4:$H$6</c:f>
              <c:numCache>
                <c:formatCode>General</c:formatCode>
                <c:ptCount val="3"/>
                <c:pt idx="0">
                  <c:v>34</c:v>
                </c:pt>
                <c:pt idx="1">
                  <c:v>69</c:v>
                </c:pt>
                <c:pt idx="2">
                  <c:v>329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819648"/>
        <c:axId val="181829632"/>
      </c:barChart>
      <c:dateAx>
        <c:axId val="1818196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829632"/>
        <c:crosses val="autoZero"/>
        <c:auto val="1"/>
        <c:lblOffset val="100"/>
        <c:baseTimeUnit val="months"/>
      </c:dateAx>
      <c:valAx>
        <c:axId val="18182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81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Taufik!$O$3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Taufik!$O$4:$O$6</c:f>
              <c:numCache>
                <c:formatCode>General</c:formatCode>
                <c:ptCount val="3"/>
                <c:pt idx="0">
                  <c:v>245</c:v>
                </c:pt>
                <c:pt idx="1">
                  <c:v>560</c:v>
                </c:pt>
                <c:pt idx="2">
                  <c:v>560</c:v>
                </c:pt>
              </c:numCache>
            </c:numRef>
          </c:val>
        </c:ser>
        <c:ser>
          <c:idx val="4"/>
          <c:order val="1"/>
          <c:tx>
            <c:strRef>
              <c:f>Taufik!$P$3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Taufik!$P$4:$P$6</c:f>
              <c:numCache>
                <c:formatCode>General</c:formatCode>
                <c:ptCount val="3"/>
                <c:pt idx="0">
                  <c:v>20</c:v>
                </c:pt>
                <c:pt idx="1">
                  <c:v>58</c:v>
                </c:pt>
                <c:pt idx="2">
                  <c:v>63</c:v>
                </c:pt>
              </c:numCache>
            </c:numRef>
          </c:val>
        </c:ser>
        <c:ser>
          <c:idx val="5"/>
          <c:order val="2"/>
          <c:tx>
            <c:strRef>
              <c:f>Taufik!$Q$3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Taufik!$K$4:$K$6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Taufik!$Q$4:$Q$6</c:f>
              <c:numCache>
                <c:formatCode>General</c:formatCode>
                <c:ptCount val="3"/>
                <c:pt idx="0">
                  <c:v>225</c:v>
                </c:pt>
                <c:pt idx="1">
                  <c:v>502</c:v>
                </c:pt>
                <c:pt idx="2">
                  <c:v>497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274304"/>
        <c:axId val="118280192"/>
      </c:barChart>
      <c:dateAx>
        <c:axId val="1182743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280192"/>
        <c:crosses val="autoZero"/>
        <c:auto val="1"/>
        <c:lblOffset val="100"/>
        <c:baseTimeUnit val="months"/>
      </c:dateAx>
      <c:valAx>
        <c:axId val="118280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827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Bojes!$O$3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Bojes!$O$4:$O$6</c:f>
              <c:numCache>
                <c:formatCode>General</c:formatCode>
                <c:ptCount val="3"/>
                <c:pt idx="0">
                  <c:v>62</c:v>
                </c:pt>
                <c:pt idx="1">
                  <c:v>139</c:v>
                </c:pt>
                <c:pt idx="2">
                  <c:v>141</c:v>
                </c:pt>
              </c:numCache>
            </c:numRef>
          </c:val>
        </c:ser>
        <c:ser>
          <c:idx val="4"/>
          <c:order val="1"/>
          <c:tx>
            <c:strRef>
              <c:f>Bojes!$P$3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Bojes!$P$4:$P$6</c:f>
              <c:numCache>
                <c:formatCode>General</c:formatCode>
                <c:ptCount val="3"/>
                <c:pt idx="0">
                  <c:v>17</c:v>
                </c:pt>
                <c:pt idx="1">
                  <c:v>13</c:v>
                </c:pt>
                <c:pt idx="2">
                  <c:v>37</c:v>
                </c:pt>
              </c:numCache>
            </c:numRef>
          </c:val>
        </c:ser>
        <c:ser>
          <c:idx val="5"/>
          <c:order val="2"/>
          <c:tx>
            <c:strRef>
              <c:f>Bojes!$Q$3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Bojes!$K$4:$K$6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Bojes!$Q$4:$Q$6</c:f>
              <c:numCache>
                <c:formatCode>General</c:formatCode>
                <c:ptCount val="3"/>
                <c:pt idx="0">
                  <c:v>45</c:v>
                </c:pt>
                <c:pt idx="1">
                  <c:v>126</c:v>
                </c:pt>
                <c:pt idx="2">
                  <c:v>104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446528"/>
        <c:axId val="183452416"/>
      </c:barChart>
      <c:dateAx>
        <c:axId val="1834465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452416"/>
        <c:crosses val="autoZero"/>
        <c:auto val="1"/>
        <c:lblOffset val="100"/>
        <c:baseTimeUnit val="months"/>
      </c:dateAx>
      <c:valAx>
        <c:axId val="18345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446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Mulyana!$C$3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Mulyana!$C$4:$C$6</c:f>
              <c:numCache>
                <c:formatCode>#,##0</c:formatCode>
                <c:ptCount val="3"/>
                <c:pt idx="0">
                  <c:v>2654400</c:v>
                </c:pt>
                <c:pt idx="1">
                  <c:v>7767725</c:v>
                </c:pt>
                <c:pt idx="2">
                  <c:v>21988663</c:v>
                </c:pt>
              </c:numCache>
            </c:numRef>
          </c:val>
        </c:ser>
        <c:ser>
          <c:idx val="1"/>
          <c:order val="1"/>
          <c:tx>
            <c:strRef>
              <c:f>Mulyana!$D$3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Mulyana!$D$4:$D$6</c:f>
              <c:numCache>
                <c:formatCode>#,##0</c:formatCode>
                <c:ptCount val="3"/>
                <c:pt idx="0">
                  <c:v>796600</c:v>
                </c:pt>
                <c:pt idx="1">
                  <c:v>1938038</c:v>
                </c:pt>
                <c:pt idx="2">
                  <c:v>1967350</c:v>
                </c:pt>
              </c:numCache>
            </c:numRef>
          </c:val>
        </c:ser>
        <c:ser>
          <c:idx val="2"/>
          <c:order val="2"/>
          <c:tx>
            <c:strRef>
              <c:f>Mulyana!$E$3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Mulyana!$E$4:$E$6</c:f>
              <c:numCache>
                <c:formatCode>#,##0</c:formatCode>
                <c:ptCount val="3"/>
                <c:pt idx="0">
                  <c:v>1857800</c:v>
                </c:pt>
                <c:pt idx="1">
                  <c:v>5829688</c:v>
                </c:pt>
                <c:pt idx="2">
                  <c:v>20021313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600256"/>
        <c:axId val="183601792"/>
      </c:barChart>
      <c:dateAx>
        <c:axId val="1836002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601792"/>
        <c:crosses val="autoZero"/>
        <c:auto val="1"/>
        <c:lblOffset val="100"/>
        <c:baseTimeUnit val="months"/>
      </c:dateAx>
      <c:valAx>
        <c:axId val="1836017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3600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Mulyana!$L$3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Mulyana!$L$4:$L$6</c:f>
              <c:numCache>
                <c:formatCode>#,##0</c:formatCode>
                <c:ptCount val="3"/>
                <c:pt idx="0">
                  <c:v>3241175</c:v>
                </c:pt>
                <c:pt idx="1">
                  <c:v>13294663</c:v>
                </c:pt>
                <c:pt idx="2">
                  <c:v>21549150</c:v>
                </c:pt>
              </c:numCache>
            </c:numRef>
          </c:val>
        </c:ser>
        <c:ser>
          <c:idx val="1"/>
          <c:order val="1"/>
          <c:tx>
            <c:strRef>
              <c:f>Mulyana!$M$3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Mulyana!$M$4:$M$6</c:f>
              <c:numCache>
                <c:formatCode>#,##0</c:formatCode>
                <c:ptCount val="3"/>
                <c:pt idx="0">
                  <c:v>1438063</c:v>
                </c:pt>
                <c:pt idx="1">
                  <c:v>1464838</c:v>
                </c:pt>
                <c:pt idx="2">
                  <c:v>3795450</c:v>
                </c:pt>
              </c:numCache>
            </c:numRef>
          </c:val>
        </c:ser>
        <c:ser>
          <c:idx val="2"/>
          <c:order val="2"/>
          <c:tx>
            <c:strRef>
              <c:f>Mulyana!$N$3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Mulyana!$N$4:$N$6</c:f>
              <c:numCache>
                <c:formatCode>#,##0</c:formatCode>
                <c:ptCount val="3"/>
                <c:pt idx="0">
                  <c:v>1803113</c:v>
                </c:pt>
                <c:pt idx="1">
                  <c:v>11829825</c:v>
                </c:pt>
                <c:pt idx="2">
                  <c:v>17753700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965568"/>
        <c:axId val="183967104"/>
      </c:barChart>
      <c:dateAx>
        <c:axId val="1839655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967104"/>
        <c:crosses val="autoZero"/>
        <c:auto val="1"/>
        <c:lblOffset val="100"/>
        <c:baseTimeUnit val="months"/>
      </c:dateAx>
      <c:valAx>
        <c:axId val="1839671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3965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Mulyana!$F$3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Mulyana!$F$4:$F$6</c:f>
              <c:numCache>
                <c:formatCode>General</c:formatCode>
                <c:ptCount val="3"/>
                <c:pt idx="0">
                  <c:v>26</c:v>
                </c:pt>
                <c:pt idx="1">
                  <c:v>71</c:v>
                </c:pt>
                <c:pt idx="2">
                  <c:v>219</c:v>
                </c:pt>
              </c:numCache>
            </c:numRef>
          </c:val>
        </c:ser>
        <c:ser>
          <c:idx val="4"/>
          <c:order val="1"/>
          <c:tx>
            <c:strRef>
              <c:f>Mulyana!$G$3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Mulyana!$G$4:$G$6</c:f>
              <c:numCache>
                <c:formatCode>General</c:formatCode>
                <c:ptCount val="3"/>
                <c:pt idx="0">
                  <c:v>7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Mulyana!$H$3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Mulyana!$B$4:$B$6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Mulyana!$H$4:$H$6</c:f>
              <c:numCache>
                <c:formatCode>General</c:formatCode>
                <c:ptCount val="3"/>
                <c:pt idx="0">
                  <c:v>19</c:v>
                </c:pt>
                <c:pt idx="1">
                  <c:v>52</c:v>
                </c:pt>
                <c:pt idx="2">
                  <c:v>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019584"/>
        <c:axId val="184091008"/>
      </c:barChart>
      <c:dateAx>
        <c:axId val="1840195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4091008"/>
        <c:crosses val="autoZero"/>
        <c:auto val="1"/>
        <c:lblOffset val="100"/>
        <c:baseTimeUnit val="months"/>
      </c:dateAx>
      <c:valAx>
        <c:axId val="18409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01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Mulyana!$O$3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Mulyana!$O$4:$O$6</c:f>
              <c:numCache>
                <c:formatCode>General</c:formatCode>
                <c:ptCount val="3"/>
                <c:pt idx="0">
                  <c:v>28</c:v>
                </c:pt>
                <c:pt idx="1">
                  <c:v>126</c:v>
                </c:pt>
                <c:pt idx="2">
                  <c:v>204</c:v>
                </c:pt>
              </c:numCache>
            </c:numRef>
          </c:val>
        </c:ser>
        <c:ser>
          <c:idx val="4"/>
          <c:order val="1"/>
          <c:tx>
            <c:strRef>
              <c:f>Mulyana!$P$3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Mulyana!$P$4:$P$6</c:f>
              <c:numCache>
                <c:formatCode>General</c:formatCode>
                <c:ptCount val="3"/>
                <c:pt idx="0">
                  <c:v>12</c:v>
                </c:pt>
                <c:pt idx="1">
                  <c:v>13</c:v>
                </c:pt>
                <c:pt idx="2">
                  <c:v>35</c:v>
                </c:pt>
              </c:numCache>
            </c:numRef>
          </c:val>
        </c:ser>
        <c:ser>
          <c:idx val="5"/>
          <c:order val="2"/>
          <c:tx>
            <c:strRef>
              <c:f>Mulyana!$Q$3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Mulyana!$K$4:$K$6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Mulyana!$Q$4:$Q$6</c:f>
              <c:numCache>
                <c:formatCode>General</c:formatCode>
                <c:ptCount val="3"/>
                <c:pt idx="0">
                  <c:v>16</c:v>
                </c:pt>
                <c:pt idx="1">
                  <c:v>113</c:v>
                </c:pt>
                <c:pt idx="2">
                  <c:v>169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114560"/>
        <c:axId val="184145024"/>
      </c:barChart>
      <c:dateAx>
        <c:axId val="1841145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4145024"/>
        <c:crosses val="autoZero"/>
        <c:auto val="1"/>
        <c:lblOffset val="100"/>
        <c:baseTimeUnit val="months"/>
      </c:dateAx>
      <c:valAx>
        <c:axId val="18414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11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'Feri D'!$C$3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D'!$C$4:$C$6</c:f>
              <c:numCache>
                <c:formatCode>#,##0</c:formatCode>
                <c:ptCount val="3"/>
                <c:pt idx="0">
                  <c:v>3416000</c:v>
                </c:pt>
                <c:pt idx="1">
                  <c:v>4277438</c:v>
                </c:pt>
                <c:pt idx="2">
                  <c:v>20798838</c:v>
                </c:pt>
              </c:numCache>
            </c:numRef>
          </c:val>
        </c:ser>
        <c:ser>
          <c:idx val="1"/>
          <c:order val="1"/>
          <c:tx>
            <c:strRef>
              <c:f>'Feri D'!$D$3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D'!$D$4:$D$6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 formatCode="#,##0">
                  <c:v>-338000</c:v>
                </c:pt>
              </c:numCache>
            </c:numRef>
          </c:val>
        </c:ser>
        <c:ser>
          <c:idx val="2"/>
          <c:order val="2"/>
          <c:tx>
            <c:strRef>
              <c:f>'Feri D'!$E$3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D'!$E$4:$E$6</c:f>
              <c:numCache>
                <c:formatCode>#,##0</c:formatCode>
                <c:ptCount val="3"/>
                <c:pt idx="0">
                  <c:v>3416000</c:v>
                </c:pt>
                <c:pt idx="1">
                  <c:v>4277438</c:v>
                </c:pt>
                <c:pt idx="2">
                  <c:v>21136838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768576"/>
        <c:axId val="183770112"/>
      </c:barChart>
      <c:dateAx>
        <c:axId val="1837685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770112"/>
        <c:crosses val="autoZero"/>
        <c:auto val="1"/>
        <c:lblOffset val="100"/>
        <c:baseTimeUnit val="months"/>
      </c:dateAx>
      <c:valAx>
        <c:axId val="1837701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376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'Feri D'!$L$3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D'!$L$4</c:f>
              <c:numCache>
                <c:formatCode>#,##0</c:formatCode>
                <c:ptCount val="1"/>
                <c:pt idx="0">
                  <c:v>1628550</c:v>
                </c:pt>
              </c:numCache>
            </c:numRef>
          </c:val>
        </c:ser>
        <c:ser>
          <c:idx val="1"/>
          <c:order val="1"/>
          <c:tx>
            <c:strRef>
              <c:f>'Feri D'!$M$3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D'!$M$4</c:f>
              <c:numCache>
                <c:formatCode>#,##0</c:formatCode>
                <c:ptCount val="1"/>
                <c:pt idx="0">
                  <c:v>52452</c:v>
                </c:pt>
              </c:numCache>
            </c:numRef>
          </c:val>
        </c:ser>
        <c:ser>
          <c:idx val="2"/>
          <c:order val="2"/>
          <c:tx>
            <c:strRef>
              <c:f>'Feri D'!$N$3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D'!$N$4</c:f>
              <c:numCache>
                <c:formatCode>#,##0</c:formatCode>
                <c:ptCount val="1"/>
                <c:pt idx="0">
                  <c:v>1576098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843072"/>
        <c:axId val="183844864"/>
      </c:barChart>
      <c:dateAx>
        <c:axId val="1838430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844864"/>
        <c:crosses val="autoZero"/>
        <c:auto val="1"/>
        <c:lblOffset val="100"/>
        <c:baseTimeUnit val="days"/>
      </c:dateAx>
      <c:valAx>
        <c:axId val="183844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3843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'Feri D'!$F$3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D'!$F$4:$F$6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133</c:v>
                </c:pt>
              </c:numCache>
            </c:numRef>
          </c:val>
        </c:ser>
        <c:ser>
          <c:idx val="4"/>
          <c:order val="1"/>
          <c:tx>
            <c:strRef>
              <c:f>'Feri D'!$G$3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'Feri D'!$H$3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'Feri 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'Feri D'!$H$4:$H$6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133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872512"/>
        <c:axId val="183882496"/>
      </c:barChart>
      <c:dateAx>
        <c:axId val="1838725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3882496"/>
        <c:crosses val="autoZero"/>
        <c:auto val="1"/>
        <c:lblOffset val="100"/>
        <c:baseTimeUnit val="months"/>
      </c:dateAx>
      <c:valAx>
        <c:axId val="18388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87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'Feri D'!$O$3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D'!$O$4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1"/>
          <c:tx>
            <c:strRef>
              <c:f>'Feri D'!$P$3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D'!$P$4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2"/>
          <c:tx>
            <c:strRef>
              <c:f>'Feri D'!$Q$3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'Feri D'!$K$4</c:f>
              <c:numCache>
                <c:formatCode>mmm\-yy</c:formatCode>
                <c:ptCount val="1"/>
                <c:pt idx="0">
                  <c:v>43101</c:v>
                </c:pt>
              </c:numCache>
            </c:numRef>
          </c:cat>
          <c:val>
            <c:numRef>
              <c:f>'Feri D'!$Q$4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446976"/>
        <c:axId val="184448512"/>
      </c:barChart>
      <c:dateAx>
        <c:axId val="1844469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4448512"/>
        <c:crosses val="autoZero"/>
        <c:auto val="1"/>
        <c:lblOffset val="100"/>
        <c:baseTimeUnit val="days"/>
      </c:dateAx>
      <c:valAx>
        <c:axId val="18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44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'Ttl 2017-2018'!$F$6</c:f>
              <c:strCache>
                <c:ptCount val="1"/>
                <c:pt idx="0">
                  <c:v>Jual Net 2017</c:v>
                </c:pt>
              </c:strCache>
            </c:strRef>
          </c:tx>
          <c:cat>
            <c:strRef>
              <c:f>'Ttl 2017-2018'!$C$7:$C$35</c:f>
              <c:strCache>
                <c:ptCount val="29"/>
                <c:pt idx="0">
                  <c:v>Atlantis</c:v>
                </c:pt>
                <c:pt idx="1">
                  <c:v>Bandros</c:v>
                </c:pt>
                <c:pt idx="2">
                  <c:v>Taufik ST</c:v>
                </c:pt>
                <c:pt idx="3">
                  <c:v>Puja</c:v>
                </c:pt>
                <c:pt idx="4">
                  <c:v>Ade Gilang</c:v>
                </c:pt>
                <c:pt idx="5">
                  <c:v>JM Sukabumi</c:v>
                </c:pt>
                <c:pt idx="6">
                  <c:v>Wenpi</c:v>
                </c:pt>
                <c:pt idx="7">
                  <c:v>Imas Jubaedah</c:v>
                </c:pt>
                <c:pt idx="8">
                  <c:v>Dedi Kurniadi</c:v>
                </c:pt>
                <c:pt idx="9">
                  <c:v>Muh Irfan</c:v>
                </c:pt>
                <c:pt idx="10">
                  <c:v>Indra Fashion</c:v>
                </c:pt>
                <c:pt idx="11">
                  <c:v>Yuan</c:v>
                </c:pt>
                <c:pt idx="12">
                  <c:v>Martin</c:v>
                </c:pt>
                <c:pt idx="13">
                  <c:v>Misbah</c:v>
                </c:pt>
                <c:pt idx="14">
                  <c:v>Chandra</c:v>
                </c:pt>
                <c:pt idx="15">
                  <c:v>Dian Jaya</c:v>
                </c:pt>
                <c:pt idx="16">
                  <c:v>Takur</c:v>
                </c:pt>
                <c:pt idx="17">
                  <c:v>Meki</c:v>
                </c:pt>
                <c:pt idx="18">
                  <c:v>Mulana</c:v>
                </c:pt>
                <c:pt idx="19">
                  <c:v>Nillam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</c:v>
                </c:pt>
                <c:pt idx="24">
                  <c:v>Dirwan</c:v>
                </c:pt>
                <c:pt idx="25">
                  <c:v>Asep Jenal</c:v>
                </c:pt>
                <c:pt idx="26">
                  <c:v>LPM</c:v>
                </c:pt>
                <c:pt idx="27">
                  <c:v>Bojes</c:v>
                </c:pt>
                <c:pt idx="28">
                  <c:v>Mulyana</c:v>
                </c:pt>
              </c:strCache>
            </c:strRef>
          </c:cat>
          <c:val>
            <c:numRef>
              <c:f>'Ttl 2017-2018'!$F$7:$F$35</c:f>
              <c:numCache>
                <c:formatCode>_(* #,##0_);_(* \(#,##0\);_(* "-"_);_(@_)</c:formatCode>
                <c:ptCount val="29"/>
                <c:pt idx="0">
                  <c:v>480876026</c:v>
                </c:pt>
                <c:pt idx="1">
                  <c:v>419416675</c:v>
                </c:pt>
                <c:pt idx="2">
                  <c:v>177663364</c:v>
                </c:pt>
                <c:pt idx="3">
                  <c:v>41521107</c:v>
                </c:pt>
                <c:pt idx="4">
                  <c:v>63523375</c:v>
                </c:pt>
                <c:pt idx="5">
                  <c:v>73444913</c:v>
                </c:pt>
                <c:pt idx="6">
                  <c:v>80887101</c:v>
                </c:pt>
                <c:pt idx="7">
                  <c:v>46212863</c:v>
                </c:pt>
                <c:pt idx="8">
                  <c:v>57504825</c:v>
                </c:pt>
                <c:pt idx="9">
                  <c:v>46675213</c:v>
                </c:pt>
                <c:pt idx="10">
                  <c:v>94493963</c:v>
                </c:pt>
                <c:pt idx="11">
                  <c:v>40755401</c:v>
                </c:pt>
                <c:pt idx="12">
                  <c:v>33902751</c:v>
                </c:pt>
                <c:pt idx="13">
                  <c:v>39961314</c:v>
                </c:pt>
                <c:pt idx="14">
                  <c:v>29556863</c:v>
                </c:pt>
                <c:pt idx="15">
                  <c:v>32252325</c:v>
                </c:pt>
                <c:pt idx="16">
                  <c:v>39113639</c:v>
                </c:pt>
                <c:pt idx="17">
                  <c:v>35839902</c:v>
                </c:pt>
                <c:pt idx="18">
                  <c:v>23013551</c:v>
                </c:pt>
                <c:pt idx="19">
                  <c:v>73266119</c:v>
                </c:pt>
                <c:pt idx="20">
                  <c:v>58952951</c:v>
                </c:pt>
                <c:pt idx="21">
                  <c:v>28144901</c:v>
                </c:pt>
                <c:pt idx="22">
                  <c:v>16600901</c:v>
                </c:pt>
                <c:pt idx="23">
                  <c:v>28512801</c:v>
                </c:pt>
                <c:pt idx="24">
                  <c:v>88065019</c:v>
                </c:pt>
                <c:pt idx="25">
                  <c:v>60422838</c:v>
                </c:pt>
                <c:pt idx="26">
                  <c:v>27437800</c:v>
                </c:pt>
                <c:pt idx="27">
                  <c:v>46036813</c:v>
                </c:pt>
                <c:pt idx="28">
                  <c:v>27708801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'Ttl 2017-2018'!$Q$6</c:f>
              <c:strCache>
                <c:ptCount val="1"/>
                <c:pt idx="0">
                  <c:v>Jual Net 2018</c:v>
                </c:pt>
              </c:strCache>
            </c:strRef>
          </c:tx>
          <c:cat>
            <c:strRef>
              <c:f>'Ttl 2017-2018'!$C$7:$C$35</c:f>
              <c:strCache>
                <c:ptCount val="29"/>
                <c:pt idx="0">
                  <c:v>Atlantis</c:v>
                </c:pt>
                <c:pt idx="1">
                  <c:v>Bandros</c:v>
                </c:pt>
                <c:pt idx="2">
                  <c:v>Taufik ST</c:v>
                </c:pt>
                <c:pt idx="3">
                  <c:v>Puja</c:v>
                </c:pt>
                <c:pt idx="4">
                  <c:v>Ade Gilang</c:v>
                </c:pt>
                <c:pt idx="5">
                  <c:v>JM Sukabumi</c:v>
                </c:pt>
                <c:pt idx="6">
                  <c:v>Wenpi</c:v>
                </c:pt>
                <c:pt idx="7">
                  <c:v>Imas Jubaedah</c:v>
                </c:pt>
                <c:pt idx="8">
                  <c:v>Dedi Kurniadi</c:v>
                </c:pt>
                <c:pt idx="9">
                  <c:v>Muh Irfan</c:v>
                </c:pt>
                <c:pt idx="10">
                  <c:v>Indra Fashion</c:v>
                </c:pt>
                <c:pt idx="11">
                  <c:v>Yuan</c:v>
                </c:pt>
                <c:pt idx="12">
                  <c:v>Martin</c:v>
                </c:pt>
                <c:pt idx="13">
                  <c:v>Misbah</c:v>
                </c:pt>
                <c:pt idx="14">
                  <c:v>Chandra</c:v>
                </c:pt>
                <c:pt idx="15">
                  <c:v>Dian Jaya</c:v>
                </c:pt>
                <c:pt idx="16">
                  <c:v>Takur</c:v>
                </c:pt>
                <c:pt idx="17">
                  <c:v>Meki</c:v>
                </c:pt>
                <c:pt idx="18">
                  <c:v>Mulana</c:v>
                </c:pt>
                <c:pt idx="19">
                  <c:v>Nillam</c:v>
                </c:pt>
                <c:pt idx="20">
                  <c:v>Agus Andrianto</c:v>
                </c:pt>
                <c:pt idx="21">
                  <c:v>Narnia</c:v>
                </c:pt>
                <c:pt idx="22">
                  <c:v>Irmayanti</c:v>
                </c:pt>
                <c:pt idx="23">
                  <c:v>Gunanjar</c:v>
                </c:pt>
                <c:pt idx="24">
                  <c:v>Dirwan</c:v>
                </c:pt>
                <c:pt idx="25">
                  <c:v>Asep Jenal</c:v>
                </c:pt>
                <c:pt idx="26">
                  <c:v>LPM</c:v>
                </c:pt>
                <c:pt idx="27">
                  <c:v>Bojes</c:v>
                </c:pt>
                <c:pt idx="28">
                  <c:v>Mulyana</c:v>
                </c:pt>
              </c:strCache>
            </c:strRef>
          </c:cat>
          <c:val>
            <c:numRef>
              <c:f>'Ttl 2017-2018'!$Q$7:$Q$35</c:f>
              <c:numCache>
                <c:formatCode>_(* #,##0_);_(* \(#,##0\);_(* "-"_);_(@_)</c:formatCode>
                <c:ptCount val="29"/>
                <c:pt idx="0">
                  <c:v>135153376</c:v>
                </c:pt>
                <c:pt idx="1">
                  <c:v>345016963</c:v>
                </c:pt>
                <c:pt idx="2">
                  <c:v>102911288</c:v>
                </c:pt>
                <c:pt idx="3">
                  <c:v>20567051</c:v>
                </c:pt>
                <c:pt idx="4">
                  <c:v>48950938</c:v>
                </c:pt>
                <c:pt idx="5">
                  <c:v>21372913</c:v>
                </c:pt>
                <c:pt idx="6">
                  <c:v>42995576</c:v>
                </c:pt>
                <c:pt idx="7">
                  <c:v>37447551</c:v>
                </c:pt>
                <c:pt idx="8">
                  <c:v>25923101</c:v>
                </c:pt>
                <c:pt idx="9">
                  <c:v>20936913</c:v>
                </c:pt>
                <c:pt idx="10">
                  <c:v>22437502</c:v>
                </c:pt>
                <c:pt idx="11">
                  <c:v>21168089</c:v>
                </c:pt>
                <c:pt idx="12">
                  <c:v>83469664</c:v>
                </c:pt>
                <c:pt idx="13">
                  <c:v>10770211</c:v>
                </c:pt>
                <c:pt idx="14">
                  <c:v>10710001</c:v>
                </c:pt>
                <c:pt idx="15">
                  <c:v>16006901</c:v>
                </c:pt>
                <c:pt idx="16">
                  <c:v>100593851</c:v>
                </c:pt>
                <c:pt idx="17">
                  <c:v>9675488</c:v>
                </c:pt>
                <c:pt idx="18">
                  <c:v>33200588</c:v>
                </c:pt>
                <c:pt idx="19">
                  <c:v>50738276</c:v>
                </c:pt>
                <c:pt idx="20">
                  <c:v>13688776</c:v>
                </c:pt>
                <c:pt idx="21">
                  <c:v>13325900</c:v>
                </c:pt>
                <c:pt idx="22">
                  <c:v>25269876</c:v>
                </c:pt>
                <c:pt idx="23">
                  <c:v>47282376</c:v>
                </c:pt>
                <c:pt idx="24">
                  <c:v>10032851</c:v>
                </c:pt>
                <c:pt idx="25">
                  <c:v>35314413</c:v>
                </c:pt>
                <c:pt idx="26">
                  <c:v>9808600</c:v>
                </c:pt>
                <c:pt idx="27">
                  <c:v>22779567</c:v>
                </c:pt>
                <c:pt idx="28">
                  <c:v>18845526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97344"/>
        <c:axId val="169919616"/>
      </c:lineChart>
      <c:catAx>
        <c:axId val="169897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9919616"/>
        <c:crosses val="autoZero"/>
        <c:auto val="1"/>
        <c:lblAlgn val="ctr"/>
        <c:lblOffset val="100"/>
        <c:noMultiLvlLbl val="0"/>
      </c:catAx>
      <c:valAx>
        <c:axId val="16991961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_(* #,##0_);_(* \(#,##0\);_(* &quot;-&quot;_);_(@_)" sourceLinked="1"/>
        <c:majorTickMark val="none"/>
        <c:minorTickMark val="none"/>
        <c:tickLblPos val="nextTo"/>
        <c:crossAx val="16989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758046373235605E-2"/>
          <c:y val="0.20821777486147564"/>
          <c:w val="0.74875447020735308"/>
          <c:h val="0.754745188101487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Anip!$C$3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Anip!$C$4:$C$6</c:f>
              <c:numCache>
                <c:formatCode>#,##0</c:formatCode>
                <c:ptCount val="3"/>
                <c:pt idx="0">
                  <c:v>17322025</c:v>
                </c:pt>
                <c:pt idx="1">
                  <c:v>15483125</c:v>
                </c:pt>
                <c:pt idx="2">
                  <c:v>27445600</c:v>
                </c:pt>
              </c:numCache>
            </c:numRef>
          </c:val>
        </c:ser>
        <c:ser>
          <c:idx val="1"/>
          <c:order val="1"/>
          <c:tx>
            <c:strRef>
              <c:f>Anip!$D$3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Anip!$D$4:$D$6</c:f>
              <c:numCache>
                <c:formatCode>General</c:formatCode>
                <c:ptCount val="3"/>
                <c:pt idx="0" formatCode="#,##0">
                  <c:v>51888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Anip!$E$3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Anip!$E$4:$E$6</c:f>
              <c:numCache>
                <c:formatCode>#,##0</c:formatCode>
                <c:ptCount val="3"/>
                <c:pt idx="0">
                  <c:v>17270138</c:v>
                </c:pt>
                <c:pt idx="1">
                  <c:v>15483125</c:v>
                </c:pt>
                <c:pt idx="2">
                  <c:v>27445600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129024"/>
        <c:axId val="118130560"/>
      </c:barChart>
      <c:dateAx>
        <c:axId val="1181290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130560"/>
        <c:crosses val="autoZero"/>
        <c:auto val="1"/>
        <c:lblOffset val="100"/>
        <c:baseTimeUnit val="months"/>
      </c:dateAx>
      <c:valAx>
        <c:axId val="118130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12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Anip!$F$3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Anip!$F$4:$F$6</c:f>
              <c:numCache>
                <c:formatCode>General</c:formatCode>
                <c:ptCount val="3"/>
                <c:pt idx="0">
                  <c:v>248</c:v>
                </c:pt>
                <c:pt idx="1">
                  <c:v>176</c:v>
                </c:pt>
                <c:pt idx="2">
                  <c:v>343</c:v>
                </c:pt>
              </c:numCache>
            </c:numRef>
          </c:val>
        </c:ser>
        <c:ser>
          <c:idx val="4"/>
          <c:order val="1"/>
          <c:tx>
            <c:strRef>
              <c:f>Anip!$G$3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Anip!$G$4:$G$6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Anip!$H$3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Anip!$B$4:$B$6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Anip!$H$4:$H$6</c:f>
              <c:numCache>
                <c:formatCode>General</c:formatCode>
                <c:ptCount val="3"/>
                <c:pt idx="0">
                  <c:v>248</c:v>
                </c:pt>
                <c:pt idx="1">
                  <c:v>176</c:v>
                </c:pt>
                <c:pt idx="2">
                  <c:v>343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178944"/>
        <c:axId val="118180480"/>
      </c:barChart>
      <c:dateAx>
        <c:axId val="11817894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180480"/>
        <c:crosses val="autoZero"/>
        <c:auto val="1"/>
        <c:lblOffset val="100"/>
        <c:baseTimeUnit val="months"/>
      </c:dateAx>
      <c:valAx>
        <c:axId val="118180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817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Anip!$L$3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Anip!$L$4:$L$5</c:f>
              <c:numCache>
                <c:formatCode>#,##0</c:formatCode>
                <c:ptCount val="2"/>
                <c:pt idx="0">
                  <c:v>18161763</c:v>
                </c:pt>
                <c:pt idx="1">
                  <c:v>3001688</c:v>
                </c:pt>
              </c:numCache>
            </c:numRef>
          </c:val>
        </c:ser>
        <c:ser>
          <c:idx val="1"/>
          <c:order val="1"/>
          <c:tx>
            <c:strRef>
              <c:f>Anip!$M$3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Anip!$M$4:$M$5</c:f>
              <c:numCache>
                <c:formatCode>General</c:formatCode>
                <c:ptCount val="2"/>
                <c:pt idx="0" formatCode="#,##0">
                  <c:v>98525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Anip!$N$3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Anip!$N$4:$N$5</c:f>
              <c:numCache>
                <c:formatCode>#,##0</c:formatCode>
                <c:ptCount val="2"/>
                <c:pt idx="0">
                  <c:v>18063238</c:v>
                </c:pt>
                <c:pt idx="1">
                  <c:v>3001688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212480"/>
        <c:axId val="118214016"/>
      </c:barChart>
      <c:dateAx>
        <c:axId val="11821248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214016"/>
        <c:crosses val="autoZero"/>
        <c:auto val="1"/>
        <c:lblOffset val="100"/>
        <c:baseTimeUnit val="months"/>
      </c:dateAx>
      <c:valAx>
        <c:axId val="1182140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21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Anip!$O$3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Anip!$O$4:$O$5</c:f>
              <c:numCache>
                <c:formatCode>General</c:formatCode>
                <c:ptCount val="2"/>
                <c:pt idx="0">
                  <c:v>196</c:v>
                </c:pt>
                <c:pt idx="1">
                  <c:v>28</c:v>
                </c:pt>
              </c:numCache>
            </c:numRef>
          </c:val>
        </c:ser>
        <c:ser>
          <c:idx val="4"/>
          <c:order val="1"/>
          <c:tx>
            <c:strRef>
              <c:f>Anip!$P$3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Anip!$P$4:$P$5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5"/>
          <c:order val="2"/>
          <c:tx>
            <c:strRef>
              <c:f>Anip!$Q$3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Anip!$K$4:$K$5</c:f>
              <c:numCache>
                <c:formatCode>mmm\-yy</c:formatCode>
                <c:ptCount val="2"/>
                <c:pt idx="0">
                  <c:v>43101</c:v>
                </c:pt>
                <c:pt idx="1">
                  <c:v>43132</c:v>
                </c:pt>
              </c:numCache>
            </c:numRef>
          </c:cat>
          <c:val>
            <c:numRef>
              <c:f>Anip!$Q$4:$Q$5</c:f>
              <c:numCache>
                <c:formatCode>General</c:formatCode>
                <c:ptCount val="2"/>
                <c:pt idx="0">
                  <c:v>195</c:v>
                </c:pt>
                <c:pt idx="1">
                  <c:v>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590080"/>
        <c:axId val="118604160"/>
      </c:barChart>
      <c:dateAx>
        <c:axId val="11859008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604160"/>
        <c:crosses val="autoZero"/>
        <c:auto val="1"/>
        <c:lblOffset val="100"/>
        <c:baseTimeUnit val="months"/>
      </c:dateAx>
      <c:valAx>
        <c:axId val="11860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59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Puja!$C$3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Puja!$C$4:$C$6</c:f>
              <c:numCache>
                <c:formatCode>#,##0</c:formatCode>
                <c:ptCount val="3"/>
                <c:pt idx="0">
                  <c:v>17313450</c:v>
                </c:pt>
                <c:pt idx="1">
                  <c:v>8825775</c:v>
                </c:pt>
                <c:pt idx="2">
                  <c:v>18430388</c:v>
                </c:pt>
              </c:numCache>
            </c:numRef>
          </c:val>
        </c:ser>
        <c:ser>
          <c:idx val="1"/>
          <c:order val="1"/>
          <c:tx>
            <c:strRef>
              <c:f>Puja!$D$3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Puja!$D$4:$D$6</c:f>
              <c:numCache>
                <c:formatCode>#,##0</c:formatCode>
                <c:ptCount val="3"/>
                <c:pt idx="0">
                  <c:v>204050</c:v>
                </c:pt>
                <c:pt idx="1">
                  <c:v>2173767</c:v>
                </c:pt>
                <c:pt idx="2">
                  <c:v>670689</c:v>
                </c:pt>
              </c:numCache>
            </c:numRef>
          </c:val>
        </c:ser>
        <c:ser>
          <c:idx val="2"/>
          <c:order val="2"/>
          <c:tx>
            <c:strRef>
              <c:f>Puja!$E$3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Puja!$E$4:$E$6</c:f>
              <c:numCache>
                <c:formatCode>#,##0</c:formatCode>
                <c:ptCount val="3"/>
                <c:pt idx="0">
                  <c:v>17109400</c:v>
                </c:pt>
                <c:pt idx="1">
                  <c:v>6652008</c:v>
                </c:pt>
                <c:pt idx="2">
                  <c:v>17759699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424320"/>
        <c:axId val="118425856"/>
      </c:barChart>
      <c:dateAx>
        <c:axId val="1184243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425856"/>
        <c:crosses val="autoZero"/>
        <c:auto val="1"/>
        <c:lblOffset val="100"/>
        <c:baseTimeUnit val="months"/>
      </c:dateAx>
      <c:valAx>
        <c:axId val="1184258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42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Puja!$L$3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Puja!$L$4:$L$6</c:f>
              <c:numCache>
                <c:formatCode>#,##0</c:formatCode>
                <c:ptCount val="3"/>
                <c:pt idx="0">
                  <c:v>8423450</c:v>
                </c:pt>
                <c:pt idx="1">
                  <c:v>8149313</c:v>
                </c:pt>
                <c:pt idx="2">
                  <c:v>8955450</c:v>
                </c:pt>
              </c:numCache>
            </c:numRef>
          </c:val>
        </c:ser>
        <c:ser>
          <c:idx val="1"/>
          <c:order val="1"/>
          <c:tx>
            <c:strRef>
              <c:f>Puja!$M$3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Puja!$M$4:$M$6</c:f>
              <c:numCache>
                <c:formatCode>General</c:formatCode>
                <c:ptCount val="3"/>
                <c:pt idx="0" formatCode="#,##0">
                  <c:v>312375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Puja!$N$3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Puja!$N$4:$N$6</c:f>
              <c:numCache>
                <c:formatCode>#,##0</c:formatCode>
                <c:ptCount val="3"/>
                <c:pt idx="0">
                  <c:v>8111075</c:v>
                </c:pt>
                <c:pt idx="1">
                  <c:v>8149313</c:v>
                </c:pt>
                <c:pt idx="2">
                  <c:v>8955450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466048"/>
        <c:axId val="118467584"/>
      </c:barChart>
      <c:dateAx>
        <c:axId val="1184660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467584"/>
        <c:crosses val="autoZero"/>
        <c:auto val="1"/>
        <c:lblOffset val="100"/>
        <c:baseTimeUnit val="months"/>
      </c:dateAx>
      <c:valAx>
        <c:axId val="1184675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46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Puja!$F$3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Puja!$F$4:$F$6</c:f>
              <c:numCache>
                <c:formatCode>General</c:formatCode>
                <c:ptCount val="3"/>
                <c:pt idx="0">
                  <c:v>178</c:v>
                </c:pt>
                <c:pt idx="1">
                  <c:v>88</c:v>
                </c:pt>
                <c:pt idx="2">
                  <c:v>174</c:v>
                </c:pt>
              </c:numCache>
            </c:numRef>
          </c:val>
        </c:ser>
        <c:ser>
          <c:idx val="4"/>
          <c:order val="1"/>
          <c:tx>
            <c:strRef>
              <c:f>Puja!$G$3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Puja!$G$4:$G$6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Puja!$H$3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Puja!$B$4:$B$6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Puja!$H$4:$H$6</c:f>
              <c:numCache>
                <c:formatCode>General</c:formatCode>
                <c:ptCount val="3"/>
                <c:pt idx="0">
                  <c:v>175</c:v>
                </c:pt>
                <c:pt idx="1">
                  <c:v>88</c:v>
                </c:pt>
                <c:pt idx="2">
                  <c:v>167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8700160"/>
        <c:axId val="168726528"/>
      </c:barChart>
      <c:dateAx>
        <c:axId val="1687001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68726528"/>
        <c:crosses val="autoZero"/>
        <c:auto val="1"/>
        <c:lblOffset val="100"/>
        <c:baseTimeUnit val="months"/>
      </c:dateAx>
      <c:valAx>
        <c:axId val="16872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70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Atlantis!$L$3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Atlantis!$L$4:$L$6</c:f>
              <c:numCache>
                <c:formatCode>#,##0</c:formatCode>
                <c:ptCount val="3"/>
                <c:pt idx="0">
                  <c:v>53093863</c:v>
                </c:pt>
                <c:pt idx="1">
                  <c:v>69718863</c:v>
                </c:pt>
                <c:pt idx="2">
                  <c:v>88331163</c:v>
                </c:pt>
              </c:numCache>
            </c:numRef>
          </c:val>
        </c:ser>
        <c:ser>
          <c:idx val="1"/>
          <c:order val="1"/>
          <c:tx>
            <c:strRef>
              <c:f>Atlantis!$M$3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Atlantis!$M$4:$M$6</c:f>
              <c:numCache>
                <c:formatCode>#,##0</c:formatCode>
                <c:ptCount val="3"/>
                <c:pt idx="0">
                  <c:v>9849613</c:v>
                </c:pt>
                <c:pt idx="1">
                  <c:v>14087675</c:v>
                </c:pt>
                <c:pt idx="2">
                  <c:v>19821200</c:v>
                </c:pt>
              </c:numCache>
            </c:numRef>
          </c:val>
        </c:ser>
        <c:ser>
          <c:idx val="2"/>
          <c:order val="2"/>
          <c:tx>
            <c:strRef>
              <c:f>Atlantis!$N$3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Atlantis!$N$4:$N$6</c:f>
              <c:numCache>
                <c:formatCode>#,##0</c:formatCode>
                <c:ptCount val="3"/>
                <c:pt idx="0">
                  <c:v>43244250</c:v>
                </c:pt>
                <c:pt idx="1">
                  <c:v>55631188</c:v>
                </c:pt>
                <c:pt idx="2">
                  <c:v>68509963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336512"/>
        <c:axId val="114338048"/>
      </c:barChart>
      <c:dateAx>
        <c:axId val="11433651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4338048"/>
        <c:crosses val="autoZero"/>
        <c:auto val="1"/>
        <c:lblOffset val="100"/>
        <c:baseTimeUnit val="months"/>
      </c:dateAx>
      <c:valAx>
        <c:axId val="1143380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433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Puja!$O$3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Puja!$O$4:$O$6</c:f>
              <c:numCache>
                <c:formatCode>General</c:formatCode>
                <c:ptCount val="3"/>
                <c:pt idx="0">
                  <c:v>87</c:v>
                </c:pt>
                <c:pt idx="1">
                  <c:v>87</c:v>
                </c:pt>
                <c:pt idx="2">
                  <c:v>96</c:v>
                </c:pt>
              </c:numCache>
            </c:numRef>
          </c:val>
        </c:ser>
        <c:ser>
          <c:idx val="4"/>
          <c:order val="1"/>
          <c:tx>
            <c:strRef>
              <c:f>Puja!$P$3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Puja!$P$4:$P$6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Puja!$Q$3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Puja!$K$4:$K$6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Puja!$Q$4:$Q$6</c:f>
              <c:numCache>
                <c:formatCode>General</c:formatCode>
                <c:ptCount val="3"/>
                <c:pt idx="0">
                  <c:v>85</c:v>
                </c:pt>
                <c:pt idx="1">
                  <c:v>87</c:v>
                </c:pt>
                <c:pt idx="2">
                  <c:v>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660608"/>
        <c:axId val="174670592"/>
      </c:barChart>
      <c:dateAx>
        <c:axId val="1746606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670592"/>
        <c:crosses val="autoZero"/>
        <c:auto val="1"/>
        <c:lblOffset val="100"/>
        <c:baseTimeUnit val="months"/>
      </c:dateAx>
      <c:valAx>
        <c:axId val="1746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66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'Ade Gilang'!$C$3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Gilang'!$C$4:$C$6</c:f>
              <c:numCache>
                <c:formatCode>#,##0</c:formatCode>
                <c:ptCount val="3"/>
                <c:pt idx="0">
                  <c:v>16590613</c:v>
                </c:pt>
                <c:pt idx="1">
                  <c:v>23860200</c:v>
                </c:pt>
                <c:pt idx="2">
                  <c:v>24631250</c:v>
                </c:pt>
              </c:numCache>
            </c:numRef>
          </c:val>
        </c:ser>
        <c:ser>
          <c:idx val="1"/>
          <c:order val="1"/>
          <c:tx>
            <c:strRef>
              <c:f>'Ade Gilang'!$D$3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Gilang'!$D$4:$D$6</c:f>
              <c:numCache>
                <c:formatCode>#,##0</c:formatCode>
                <c:ptCount val="3"/>
                <c:pt idx="0">
                  <c:v>577063</c:v>
                </c:pt>
                <c:pt idx="1">
                  <c:v>371925</c:v>
                </c:pt>
                <c:pt idx="2">
                  <c:v>609700</c:v>
                </c:pt>
              </c:numCache>
            </c:numRef>
          </c:val>
        </c:ser>
        <c:ser>
          <c:idx val="2"/>
          <c:order val="2"/>
          <c:tx>
            <c:strRef>
              <c:f>'Ade Gilang'!$E$3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Gilang'!$E$4:$E$6</c:f>
              <c:numCache>
                <c:formatCode>#,##0</c:formatCode>
                <c:ptCount val="3"/>
                <c:pt idx="0">
                  <c:v>16013550</c:v>
                </c:pt>
                <c:pt idx="1">
                  <c:v>23488275</c:v>
                </c:pt>
                <c:pt idx="2">
                  <c:v>24021550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171264"/>
        <c:axId val="174172800"/>
      </c:barChart>
      <c:dateAx>
        <c:axId val="1741712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172800"/>
        <c:crosses val="autoZero"/>
        <c:auto val="1"/>
        <c:lblOffset val="100"/>
        <c:baseTimeUnit val="months"/>
      </c:dateAx>
      <c:valAx>
        <c:axId val="1741728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417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'Ade Gilang'!$L$3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Gilang'!$L$4:$L$6</c:f>
              <c:numCache>
                <c:formatCode>#,##0</c:formatCode>
                <c:ptCount val="3"/>
                <c:pt idx="0">
                  <c:v>23343950</c:v>
                </c:pt>
                <c:pt idx="1">
                  <c:v>19204238</c:v>
                </c:pt>
                <c:pt idx="2">
                  <c:v>13209700</c:v>
                </c:pt>
              </c:numCache>
            </c:numRef>
          </c:val>
        </c:ser>
        <c:ser>
          <c:idx val="1"/>
          <c:order val="1"/>
          <c:tx>
            <c:strRef>
              <c:f>'Ade Gilang'!$M$3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Gilang'!$M$4:$M$6</c:f>
              <c:numCache>
                <c:formatCode>#,##0</c:formatCode>
                <c:ptCount val="3"/>
                <c:pt idx="0">
                  <c:v>328125</c:v>
                </c:pt>
                <c:pt idx="1">
                  <c:v>1678838</c:v>
                </c:pt>
                <c:pt idx="2">
                  <c:v>1058925</c:v>
                </c:pt>
              </c:numCache>
            </c:numRef>
          </c:val>
        </c:ser>
        <c:ser>
          <c:idx val="2"/>
          <c:order val="2"/>
          <c:tx>
            <c:strRef>
              <c:f>'Ade Gilang'!$N$3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Gilang'!$N$4:$N$6</c:f>
              <c:numCache>
                <c:formatCode>#,##0</c:formatCode>
                <c:ptCount val="3"/>
                <c:pt idx="0">
                  <c:v>23015825</c:v>
                </c:pt>
                <c:pt idx="1">
                  <c:v>17525400</c:v>
                </c:pt>
                <c:pt idx="2">
                  <c:v>12150775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495616"/>
        <c:axId val="174497152"/>
      </c:barChart>
      <c:dateAx>
        <c:axId val="1744956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497152"/>
        <c:crosses val="autoZero"/>
        <c:auto val="1"/>
        <c:lblOffset val="100"/>
        <c:baseTimeUnit val="months"/>
      </c:dateAx>
      <c:valAx>
        <c:axId val="1744971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4495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'Ade Gilang'!$F$3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Gilang'!$F$4:$F$6</c:f>
              <c:numCache>
                <c:formatCode>General</c:formatCode>
                <c:ptCount val="3"/>
                <c:pt idx="0">
                  <c:v>144</c:v>
                </c:pt>
                <c:pt idx="1">
                  <c:v>197</c:v>
                </c:pt>
                <c:pt idx="2">
                  <c:v>214</c:v>
                </c:pt>
              </c:numCache>
            </c:numRef>
          </c:val>
        </c:ser>
        <c:ser>
          <c:idx val="4"/>
          <c:order val="1"/>
          <c:tx>
            <c:strRef>
              <c:f>'Ade Gilang'!$G$3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Gilang'!$G$4:$G$6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'Ade Gilang'!$H$3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'Ade Gilang'!$B$4:$B$6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'Ade Gilang'!$H$4:$H$6</c:f>
              <c:numCache>
                <c:formatCode>General</c:formatCode>
                <c:ptCount val="3"/>
                <c:pt idx="0">
                  <c:v>139</c:v>
                </c:pt>
                <c:pt idx="1">
                  <c:v>194</c:v>
                </c:pt>
                <c:pt idx="2">
                  <c:v>209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619264"/>
        <c:axId val="174633344"/>
      </c:barChart>
      <c:dateAx>
        <c:axId val="1746192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633344"/>
        <c:crosses val="autoZero"/>
        <c:auto val="1"/>
        <c:lblOffset val="100"/>
        <c:baseTimeUnit val="months"/>
      </c:dateAx>
      <c:valAx>
        <c:axId val="17463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619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'Ade Gilang'!$O$3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Gilang'!$O$4:$O$6</c:f>
              <c:numCache>
                <c:formatCode>General</c:formatCode>
                <c:ptCount val="3"/>
                <c:pt idx="0">
                  <c:v>211</c:v>
                </c:pt>
                <c:pt idx="1">
                  <c:v>167</c:v>
                </c:pt>
                <c:pt idx="2">
                  <c:v>118</c:v>
                </c:pt>
              </c:numCache>
            </c:numRef>
          </c:val>
        </c:ser>
        <c:ser>
          <c:idx val="4"/>
          <c:order val="1"/>
          <c:tx>
            <c:strRef>
              <c:f>'Ade Gilang'!$P$3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Gilang'!$P$4:$P$6</c:f>
              <c:numCache>
                <c:formatCode>General</c:formatCode>
                <c:ptCount val="3"/>
                <c:pt idx="0">
                  <c:v>4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</c:ser>
        <c:ser>
          <c:idx val="5"/>
          <c:order val="2"/>
          <c:tx>
            <c:strRef>
              <c:f>'Ade Gilang'!$Q$3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'Ade Gilang'!$K$4:$K$6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'Ade Gilang'!$Q$4:$Q$6</c:f>
              <c:numCache>
                <c:formatCode>General</c:formatCode>
                <c:ptCount val="3"/>
                <c:pt idx="0">
                  <c:v>207</c:v>
                </c:pt>
                <c:pt idx="1">
                  <c:v>154</c:v>
                </c:pt>
                <c:pt idx="2">
                  <c:v>104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87968"/>
        <c:axId val="174802048"/>
      </c:barChart>
      <c:dateAx>
        <c:axId val="1747879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802048"/>
        <c:crosses val="autoZero"/>
        <c:auto val="1"/>
        <c:lblOffset val="100"/>
        <c:baseTimeUnit val="months"/>
      </c:dateAx>
      <c:valAx>
        <c:axId val="17480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78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JM!$C$4:$C$6</c:f>
              <c:numCache>
                <c:formatCode>#,##0</c:formatCode>
                <c:ptCount val="3"/>
                <c:pt idx="0">
                  <c:v>26015700</c:v>
                </c:pt>
                <c:pt idx="1">
                  <c:v>16264900</c:v>
                </c:pt>
                <c:pt idx="2">
                  <c:v>54977000</c:v>
                </c:pt>
              </c:numCache>
            </c:numRef>
          </c:val>
        </c:ser>
        <c:ser>
          <c:idx val="1"/>
          <c:order val="1"/>
          <c:tx>
            <c:strRef>
              <c:f>JM!$D$3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JM!$D$4:$D$6</c:f>
              <c:numCache>
                <c:formatCode>#,##0</c:formatCode>
                <c:ptCount val="3"/>
                <c:pt idx="0">
                  <c:v>10835988</c:v>
                </c:pt>
                <c:pt idx="1">
                  <c:v>5119900</c:v>
                </c:pt>
                <c:pt idx="2">
                  <c:v>7856800</c:v>
                </c:pt>
              </c:numCache>
            </c:numRef>
          </c:val>
        </c:ser>
        <c:ser>
          <c:idx val="2"/>
          <c:order val="2"/>
          <c:tx>
            <c:strRef>
              <c:f>JM!$E$3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JM!$E$4:$E$6</c:f>
              <c:numCache>
                <c:formatCode>#,##0</c:formatCode>
                <c:ptCount val="3"/>
                <c:pt idx="0">
                  <c:v>15179713</c:v>
                </c:pt>
                <c:pt idx="1">
                  <c:v>11145000</c:v>
                </c:pt>
                <c:pt idx="2">
                  <c:v>47120200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274048"/>
        <c:axId val="174275584"/>
      </c:barChart>
      <c:dateAx>
        <c:axId val="1742740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275584"/>
        <c:crosses val="autoZero"/>
        <c:auto val="1"/>
        <c:lblOffset val="100"/>
        <c:baseTimeUnit val="months"/>
      </c:dateAx>
      <c:valAx>
        <c:axId val="1742755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427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JM!$L$4:$L$6</c:f>
              <c:numCache>
                <c:formatCode>#,##0</c:formatCode>
                <c:ptCount val="3"/>
                <c:pt idx="0">
                  <c:v>12627400</c:v>
                </c:pt>
                <c:pt idx="1">
                  <c:v>6292400</c:v>
                </c:pt>
                <c:pt idx="2">
                  <c:v>10672200</c:v>
                </c:pt>
              </c:numCache>
            </c:numRef>
          </c:val>
        </c:ser>
        <c:ser>
          <c:idx val="1"/>
          <c:order val="1"/>
          <c:tx>
            <c:strRef>
              <c:f>JM!$M$3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JM!$M$4:$M$6</c:f>
              <c:numCache>
                <c:formatCode>#,##0</c:formatCode>
                <c:ptCount val="3"/>
                <c:pt idx="0">
                  <c:v>4059800</c:v>
                </c:pt>
                <c:pt idx="1">
                  <c:v>1817600</c:v>
                </c:pt>
                <c:pt idx="2">
                  <c:v>2341688</c:v>
                </c:pt>
              </c:numCache>
            </c:numRef>
          </c:val>
        </c:ser>
        <c:ser>
          <c:idx val="2"/>
          <c:order val="2"/>
          <c:tx>
            <c:strRef>
              <c:f>JM!$N$3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JM!$N$4:$N$6</c:f>
              <c:numCache>
                <c:formatCode>#,##0</c:formatCode>
                <c:ptCount val="3"/>
                <c:pt idx="0">
                  <c:v>8567600</c:v>
                </c:pt>
                <c:pt idx="1">
                  <c:v>4474800</c:v>
                </c:pt>
                <c:pt idx="2">
                  <c:v>8330513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340352"/>
        <c:axId val="174342144"/>
      </c:barChart>
      <c:dateAx>
        <c:axId val="1743403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342144"/>
        <c:crosses val="autoZero"/>
        <c:auto val="1"/>
        <c:lblOffset val="100"/>
        <c:baseTimeUnit val="months"/>
      </c:dateAx>
      <c:valAx>
        <c:axId val="174342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434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JM!$F$3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JM!$F$4:$F$6</c:f>
              <c:numCache>
                <c:formatCode>General</c:formatCode>
                <c:ptCount val="3"/>
                <c:pt idx="0">
                  <c:v>247</c:v>
                </c:pt>
                <c:pt idx="1">
                  <c:v>130</c:v>
                </c:pt>
                <c:pt idx="2">
                  <c:v>464</c:v>
                </c:pt>
              </c:numCache>
            </c:numRef>
          </c:val>
        </c:ser>
        <c:ser>
          <c:idx val="4"/>
          <c:order val="1"/>
          <c:tx>
            <c:strRef>
              <c:f>JM!$G$3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JM!$G$4:$G$6</c:f>
              <c:numCache>
                <c:formatCode>General</c:formatCode>
                <c:ptCount val="3"/>
                <c:pt idx="0">
                  <c:v>94</c:v>
                </c:pt>
                <c:pt idx="1">
                  <c:v>40</c:v>
                </c:pt>
                <c:pt idx="2">
                  <c:v>61</c:v>
                </c:pt>
              </c:numCache>
            </c:numRef>
          </c:val>
        </c:ser>
        <c:ser>
          <c:idx val="5"/>
          <c:order val="2"/>
          <c:tx>
            <c:strRef>
              <c:f>JM!$H$3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JM!$B$4:$B$6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JM!$H$4:$H$6</c:f>
              <c:numCache>
                <c:formatCode>General</c:formatCode>
                <c:ptCount val="3"/>
                <c:pt idx="0">
                  <c:v>153</c:v>
                </c:pt>
                <c:pt idx="1">
                  <c:v>90</c:v>
                </c:pt>
                <c:pt idx="2">
                  <c:v>403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377984"/>
        <c:axId val="174387968"/>
      </c:barChart>
      <c:dateAx>
        <c:axId val="1743779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387968"/>
        <c:crosses val="autoZero"/>
        <c:auto val="1"/>
        <c:lblOffset val="100"/>
        <c:baseTimeUnit val="months"/>
      </c:dateAx>
      <c:valAx>
        <c:axId val="174387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37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JM!$O$3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JM!$O$4:$O$6</c:f>
              <c:numCache>
                <c:formatCode>General</c:formatCode>
                <c:ptCount val="3"/>
                <c:pt idx="0">
                  <c:v>101</c:v>
                </c:pt>
                <c:pt idx="1">
                  <c:v>53</c:v>
                </c:pt>
                <c:pt idx="2">
                  <c:v>89</c:v>
                </c:pt>
              </c:numCache>
            </c:numRef>
          </c:val>
        </c:ser>
        <c:ser>
          <c:idx val="4"/>
          <c:order val="1"/>
          <c:tx>
            <c:strRef>
              <c:f>JM!$P$3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JM!$P$4:$P$6</c:f>
              <c:numCache>
                <c:formatCode>General</c:formatCode>
                <c:ptCount val="3"/>
                <c:pt idx="0">
                  <c:v>33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ser>
          <c:idx val="5"/>
          <c:order val="2"/>
          <c:tx>
            <c:strRef>
              <c:f>JM!$Q$3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JM!$K$4:$K$6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JM!$Q$4:$Q$6</c:f>
              <c:numCache>
                <c:formatCode>General</c:formatCode>
                <c:ptCount val="3"/>
                <c:pt idx="0">
                  <c:v>68</c:v>
                </c:pt>
                <c:pt idx="1">
                  <c:v>38</c:v>
                </c:pt>
                <c:pt idx="2">
                  <c:v>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161344"/>
        <c:axId val="175162880"/>
      </c:barChart>
      <c:dateAx>
        <c:axId val="17516134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162880"/>
        <c:crosses val="autoZero"/>
        <c:auto val="1"/>
        <c:lblOffset val="100"/>
        <c:baseTimeUnit val="months"/>
      </c:dateAx>
      <c:valAx>
        <c:axId val="17516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6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'Kurnia Eka Jaya'!$C$3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Jaya'!$C$4:$C$6</c:f>
              <c:numCache>
                <c:formatCode>#,##0</c:formatCode>
                <c:ptCount val="3"/>
                <c:pt idx="0">
                  <c:v>19274238</c:v>
                </c:pt>
                <c:pt idx="1">
                  <c:v>27351363</c:v>
                </c:pt>
                <c:pt idx="2">
                  <c:v>56435925</c:v>
                </c:pt>
              </c:numCache>
            </c:numRef>
          </c:val>
        </c:ser>
        <c:ser>
          <c:idx val="1"/>
          <c:order val="1"/>
          <c:tx>
            <c:strRef>
              <c:f>'Kurnia Eka Jaya'!$D$3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Jaya'!$D$4:$D$6</c:f>
              <c:numCache>
                <c:formatCode>#,##0</c:formatCode>
                <c:ptCount val="3"/>
                <c:pt idx="0">
                  <c:v>5105800</c:v>
                </c:pt>
                <c:pt idx="1">
                  <c:v>5133713</c:v>
                </c:pt>
                <c:pt idx="2">
                  <c:v>6790613</c:v>
                </c:pt>
              </c:numCache>
            </c:numRef>
          </c:val>
        </c:ser>
        <c:ser>
          <c:idx val="2"/>
          <c:order val="2"/>
          <c:tx>
            <c:strRef>
              <c:f>'Kurnia Eka Jaya'!$E$3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Jaya'!$E$4:$E$6</c:f>
              <c:numCache>
                <c:formatCode>#,##0</c:formatCode>
                <c:ptCount val="3"/>
                <c:pt idx="0">
                  <c:v>14168438</c:v>
                </c:pt>
                <c:pt idx="1">
                  <c:v>22217650</c:v>
                </c:pt>
                <c:pt idx="2">
                  <c:v>49645313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040064"/>
        <c:axId val="118041600"/>
      </c:barChart>
      <c:dateAx>
        <c:axId val="1180400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8041600"/>
        <c:crosses val="autoZero"/>
        <c:auto val="1"/>
        <c:lblOffset val="100"/>
        <c:baseTimeUnit val="months"/>
      </c:dateAx>
      <c:valAx>
        <c:axId val="1180416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804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Atlantis!$F$3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Atlantis!$F$4:$F$6</c:f>
              <c:numCache>
                <c:formatCode>#,##0</c:formatCode>
                <c:ptCount val="3"/>
                <c:pt idx="0">
                  <c:v>1538</c:v>
                </c:pt>
                <c:pt idx="1">
                  <c:v>1699</c:v>
                </c:pt>
                <c:pt idx="2">
                  <c:v>2684</c:v>
                </c:pt>
              </c:numCache>
            </c:numRef>
          </c:val>
        </c:ser>
        <c:ser>
          <c:idx val="4"/>
          <c:order val="1"/>
          <c:tx>
            <c:strRef>
              <c:f>Atlantis!$G$3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Atlantis!$G$4:$G$6</c:f>
              <c:numCache>
                <c:formatCode>General</c:formatCode>
                <c:ptCount val="3"/>
                <c:pt idx="0">
                  <c:v>170</c:v>
                </c:pt>
                <c:pt idx="1">
                  <c:v>315</c:v>
                </c:pt>
                <c:pt idx="2">
                  <c:v>582</c:v>
                </c:pt>
              </c:numCache>
            </c:numRef>
          </c:val>
        </c:ser>
        <c:ser>
          <c:idx val="5"/>
          <c:order val="2"/>
          <c:tx>
            <c:strRef>
              <c:f>Atlantis!$H$3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Atlantis!$B$4:$B$6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Atlantis!$H$4:$H$6</c:f>
              <c:numCache>
                <c:formatCode>#,##0</c:formatCode>
                <c:ptCount val="3"/>
                <c:pt idx="0">
                  <c:v>1368</c:v>
                </c:pt>
                <c:pt idx="1">
                  <c:v>1384</c:v>
                </c:pt>
                <c:pt idx="2">
                  <c:v>2102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576960"/>
        <c:axId val="113591040"/>
      </c:barChart>
      <c:dateAx>
        <c:axId val="1135769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591040"/>
        <c:crosses val="autoZero"/>
        <c:auto val="1"/>
        <c:lblOffset val="100"/>
        <c:baseTimeUnit val="months"/>
      </c:dateAx>
      <c:valAx>
        <c:axId val="1135910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357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'Kurnia Eka Jaya'!$F$3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Jaya'!$F$4:$F$6</c:f>
              <c:numCache>
                <c:formatCode>General</c:formatCode>
                <c:ptCount val="3"/>
                <c:pt idx="0">
                  <c:v>194</c:v>
                </c:pt>
                <c:pt idx="1">
                  <c:v>276</c:v>
                </c:pt>
                <c:pt idx="2">
                  <c:v>539</c:v>
                </c:pt>
              </c:numCache>
            </c:numRef>
          </c:val>
        </c:ser>
        <c:ser>
          <c:idx val="4"/>
          <c:order val="1"/>
          <c:tx>
            <c:strRef>
              <c:f>'Kurnia Eka Jaya'!$G$3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Jaya'!$G$4:$G$6</c:f>
              <c:numCache>
                <c:formatCode>General</c:formatCode>
                <c:ptCount val="3"/>
                <c:pt idx="0">
                  <c:v>53</c:v>
                </c:pt>
                <c:pt idx="1">
                  <c:v>50</c:v>
                </c:pt>
                <c:pt idx="2">
                  <c:v>67</c:v>
                </c:pt>
              </c:numCache>
            </c:numRef>
          </c:val>
        </c:ser>
        <c:ser>
          <c:idx val="5"/>
          <c:order val="2"/>
          <c:tx>
            <c:strRef>
              <c:f>'Kurnia Eka Jaya'!$H$3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'Kurnia Eka Jaya'!$B$4:$B$6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'Kurnia Eka Jaya'!$H$4:$H$6</c:f>
              <c:numCache>
                <c:formatCode>General</c:formatCode>
                <c:ptCount val="3"/>
                <c:pt idx="0">
                  <c:v>141</c:v>
                </c:pt>
                <c:pt idx="1">
                  <c:v>226</c:v>
                </c:pt>
                <c:pt idx="2">
                  <c:v>472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094080"/>
        <c:axId val="174989312"/>
      </c:barChart>
      <c:dateAx>
        <c:axId val="11809408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989312"/>
        <c:crosses val="autoZero"/>
        <c:auto val="1"/>
        <c:lblOffset val="100"/>
        <c:baseTimeUnit val="months"/>
      </c:dateAx>
      <c:valAx>
        <c:axId val="17498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09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Nilau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Wenpi!$C$3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Wenpi!$C$4:$C$6</c:f>
              <c:numCache>
                <c:formatCode>#,##0</c:formatCode>
                <c:ptCount val="3"/>
                <c:pt idx="0">
                  <c:v>13187475</c:v>
                </c:pt>
                <c:pt idx="1">
                  <c:v>27518313</c:v>
                </c:pt>
                <c:pt idx="2">
                  <c:v>42126000</c:v>
                </c:pt>
              </c:numCache>
            </c:numRef>
          </c:val>
        </c:ser>
        <c:ser>
          <c:idx val="1"/>
          <c:order val="1"/>
          <c:tx>
            <c:strRef>
              <c:f>Wenpi!$D$3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Wenpi!$D$4:$D$6</c:f>
              <c:numCache>
                <c:formatCode>#,##0</c:formatCode>
                <c:ptCount val="3"/>
                <c:pt idx="0">
                  <c:v>422800</c:v>
                </c:pt>
                <c:pt idx="1">
                  <c:v>497875</c:v>
                </c:pt>
                <c:pt idx="2">
                  <c:v>1024013</c:v>
                </c:pt>
              </c:numCache>
            </c:numRef>
          </c:val>
        </c:ser>
        <c:ser>
          <c:idx val="2"/>
          <c:order val="2"/>
          <c:tx>
            <c:strRef>
              <c:f>Wenpi!$E$3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Wenpi!$E$4:$E$6</c:f>
              <c:numCache>
                <c:formatCode>#,##0</c:formatCode>
                <c:ptCount val="3"/>
                <c:pt idx="0">
                  <c:v>12764675</c:v>
                </c:pt>
                <c:pt idx="1">
                  <c:v>27020438</c:v>
                </c:pt>
                <c:pt idx="2">
                  <c:v>41101988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088000"/>
        <c:axId val="175089536"/>
      </c:barChart>
      <c:dateAx>
        <c:axId val="1750880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089536"/>
        <c:crosses val="autoZero"/>
        <c:auto val="1"/>
        <c:lblOffset val="100"/>
        <c:baseTimeUnit val="months"/>
      </c:dateAx>
      <c:valAx>
        <c:axId val="1750895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5088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Wenpi!$L$3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Wenpi!$L$4:$L$6</c:f>
              <c:numCache>
                <c:formatCode>#,##0</c:formatCode>
                <c:ptCount val="3"/>
                <c:pt idx="0">
                  <c:v>11544925</c:v>
                </c:pt>
                <c:pt idx="1">
                  <c:v>19589850</c:v>
                </c:pt>
                <c:pt idx="2">
                  <c:v>20616138</c:v>
                </c:pt>
              </c:numCache>
            </c:numRef>
          </c:val>
        </c:ser>
        <c:ser>
          <c:idx val="1"/>
          <c:order val="1"/>
          <c:tx>
            <c:strRef>
              <c:f>Wenpi!$M$3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498663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Wenpi!$N$3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Wenpi!$N$4:$N$6</c:f>
              <c:numCache>
                <c:formatCode>#,##0</c:formatCode>
                <c:ptCount val="3"/>
                <c:pt idx="0">
                  <c:v>11544925</c:v>
                </c:pt>
                <c:pt idx="1">
                  <c:v>19091188</c:v>
                </c:pt>
                <c:pt idx="2">
                  <c:v>20616138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780992"/>
        <c:axId val="175782528"/>
      </c:barChart>
      <c:dateAx>
        <c:axId val="1757809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782528"/>
        <c:crosses val="autoZero"/>
        <c:auto val="1"/>
        <c:lblOffset val="100"/>
        <c:baseTimeUnit val="months"/>
      </c:dateAx>
      <c:valAx>
        <c:axId val="1757825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5780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Wenpi!$F$3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Wenpi!$F$4:$F$6</c:f>
              <c:numCache>
                <c:formatCode>General</c:formatCode>
                <c:ptCount val="3"/>
                <c:pt idx="0">
                  <c:v>115</c:v>
                </c:pt>
                <c:pt idx="1">
                  <c:v>240</c:v>
                </c:pt>
                <c:pt idx="2">
                  <c:v>371</c:v>
                </c:pt>
              </c:numCache>
            </c:numRef>
          </c:val>
        </c:ser>
        <c:ser>
          <c:idx val="4"/>
          <c:order val="1"/>
          <c:tx>
            <c:strRef>
              <c:f>Wenpi!$G$3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Wenpi!$G$4:$G$6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Wenpi!$H$3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Wenpi!$B$4:$B$6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Wenpi!$H$4:$H$6</c:f>
              <c:numCache>
                <c:formatCode>General</c:formatCode>
                <c:ptCount val="3"/>
                <c:pt idx="0">
                  <c:v>111</c:v>
                </c:pt>
                <c:pt idx="1">
                  <c:v>235</c:v>
                </c:pt>
                <c:pt idx="2">
                  <c:v>361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507328"/>
        <c:axId val="175508864"/>
      </c:barChart>
      <c:dateAx>
        <c:axId val="1755073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508864"/>
        <c:crosses val="autoZero"/>
        <c:auto val="1"/>
        <c:lblOffset val="100"/>
        <c:baseTimeUnit val="months"/>
      </c:dateAx>
      <c:valAx>
        <c:axId val="17550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50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Wenpi!$O$3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Wenpi!$O$4:$O$6</c:f>
              <c:numCache>
                <c:formatCode>General</c:formatCode>
                <c:ptCount val="3"/>
                <c:pt idx="0">
                  <c:v>109</c:v>
                </c:pt>
                <c:pt idx="1">
                  <c:v>179</c:v>
                </c:pt>
                <c:pt idx="2">
                  <c:v>186</c:v>
                </c:pt>
              </c:numCache>
            </c:numRef>
          </c:val>
        </c:ser>
        <c:ser>
          <c:idx val="4"/>
          <c:order val="1"/>
          <c:tx>
            <c:strRef>
              <c:f>Wenpi!$P$3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Wenpi!$P$4:$P$6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Wenpi!$Q$3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Wenpi!$K$4:$K$6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Wenpi!$Q$4:$Q$6</c:f>
              <c:numCache>
                <c:formatCode>General</c:formatCode>
                <c:ptCount val="3"/>
                <c:pt idx="0">
                  <c:v>109</c:v>
                </c:pt>
                <c:pt idx="1">
                  <c:v>174</c:v>
                </c:pt>
                <c:pt idx="2">
                  <c:v>186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573632"/>
        <c:axId val="175579520"/>
      </c:barChart>
      <c:dateAx>
        <c:axId val="1755736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579520"/>
        <c:crosses val="autoZero"/>
        <c:auto val="1"/>
        <c:lblOffset val="100"/>
        <c:baseTimeUnit val="months"/>
      </c:dateAx>
      <c:valAx>
        <c:axId val="1755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573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'Samsul Bahri'!$C$3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Bahri'!$C$4:$C$6</c:f>
              <c:numCache>
                <c:formatCode>#,##0</c:formatCode>
                <c:ptCount val="3"/>
                <c:pt idx="0">
                  <c:v>18896238</c:v>
                </c:pt>
                <c:pt idx="1">
                  <c:v>26993663</c:v>
                </c:pt>
                <c:pt idx="2">
                  <c:v>65075063</c:v>
                </c:pt>
              </c:numCache>
            </c:numRef>
          </c:val>
        </c:ser>
        <c:ser>
          <c:idx val="1"/>
          <c:order val="1"/>
          <c:tx>
            <c:strRef>
              <c:f>'Samsul Bahri'!$D$3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Bahri'!$D$4:$D$6</c:f>
              <c:numCache>
                <c:formatCode>#,##0</c:formatCode>
                <c:ptCount val="3"/>
                <c:pt idx="0">
                  <c:v>6587875</c:v>
                </c:pt>
                <c:pt idx="1">
                  <c:v>8755250</c:v>
                </c:pt>
                <c:pt idx="2">
                  <c:v>15188425</c:v>
                </c:pt>
              </c:numCache>
            </c:numRef>
          </c:val>
        </c:ser>
        <c:ser>
          <c:idx val="2"/>
          <c:order val="2"/>
          <c:tx>
            <c:strRef>
              <c:f>'Samsul Bahri'!$E$3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Bahri'!$E$4:$E$6</c:f>
              <c:numCache>
                <c:formatCode>#,##0</c:formatCode>
                <c:ptCount val="3"/>
                <c:pt idx="0">
                  <c:v>12308363</c:v>
                </c:pt>
                <c:pt idx="1">
                  <c:v>18238413</c:v>
                </c:pt>
                <c:pt idx="2">
                  <c:v>49886638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214976"/>
        <c:axId val="175216512"/>
      </c:barChart>
      <c:dateAx>
        <c:axId val="1752149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216512"/>
        <c:crosses val="autoZero"/>
        <c:auto val="1"/>
        <c:lblOffset val="100"/>
        <c:baseTimeUnit val="months"/>
      </c:dateAx>
      <c:valAx>
        <c:axId val="1752165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521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'Samsul Bahri'!$F$3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Bahri'!$F$4:$F$6</c:f>
              <c:numCache>
                <c:formatCode>General</c:formatCode>
                <c:ptCount val="3"/>
                <c:pt idx="0">
                  <c:v>188</c:v>
                </c:pt>
                <c:pt idx="1">
                  <c:v>263</c:v>
                </c:pt>
                <c:pt idx="2">
                  <c:v>642</c:v>
                </c:pt>
              </c:numCache>
            </c:numRef>
          </c:val>
        </c:ser>
        <c:ser>
          <c:idx val="4"/>
          <c:order val="1"/>
          <c:tx>
            <c:strRef>
              <c:f>'Samsul Bahri'!$G$3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Bahri'!$G$4:$G$6</c:f>
              <c:numCache>
                <c:formatCode>General</c:formatCode>
                <c:ptCount val="3"/>
                <c:pt idx="0">
                  <c:v>67</c:v>
                </c:pt>
                <c:pt idx="1">
                  <c:v>93</c:v>
                </c:pt>
                <c:pt idx="2">
                  <c:v>132</c:v>
                </c:pt>
              </c:numCache>
            </c:numRef>
          </c:val>
        </c:ser>
        <c:ser>
          <c:idx val="5"/>
          <c:order val="2"/>
          <c:tx>
            <c:strRef>
              <c:f>'Samsul Bahri'!$H$3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'Samsul Bahri'!$B$4:$B$6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'Samsul Bahri'!$H$4:$H$6</c:f>
              <c:numCache>
                <c:formatCode>General</c:formatCode>
                <c:ptCount val="3"/>
                <c:pt idx="0">
                  <c:v>121</c:v>
                </c:pt>
                <c:pt idx="1">
                  <c:v>170</c:v>
                </c:pt>
                <c:pt idx="2">
                  <c:v>510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379584"/>
        <c:axId val="175381120"/>
      </c:barChart>
      <c:dateAx>
        <c:axId val="1753795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381120"/>
        <c:crosses val="autoZero"/>
        <c:auto val="1"/>
        <c:lblOffset val="100"/>
        <c:baseTimeUnit val="months"/>
      </c:dateAx>
      <c:valAx>
        <c:axId val="17538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7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'Imas Jub'!$C$3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Jub'!$C$4:$C$6</c:f>
              <c:numCache>
                <c:formatCode>#,##0</c:formatCode>
                <c:ptCount val="3"/>
                <c:pt idx="0">
                  <c:v>12686450</c:v>
                </c:pt>
                <c:pt idx="1">
                  <c:v>17144663</c:v>
                </c:pt>
                <c:pt idx="2">
                  <c:v>17946688</c:v>
                </c:pt>
              </c:numCache>
            </c:numRef>
          </c:val>
        </c:ser>
        <c:ser>
          <c:idx val="1"/>
          <c:order val="1"/>
          <c:tx>
            <c:strRef>
              <c:f>'Imas Jub'!$D$3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Jub'!$D$4:$D$6</c:f>
              <c:numCache>
                <c:formatCode>#,##0</c:formatCode>
                <c:ptCount val="3"/>
                <c:pt idx="0">
                  <c:v>742613</c:v>
                </c:pt>
                <c:pt idx="1">
                  <c:v>211488</c:v>
                </c:pt>
                <c:pt idx="2">
                  <c:v>610838</c:v>
                </c:pt>
              </c:numCache>
            </c:numRef>
          </c:val>
        </c:ser>
        <c:ser>
          <c:idx val="2"/>
          <c:order val="2"/>
          <c:tx>
            <c:strRef>
              <c:f>'Imas Jub'!$E$3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Jub'!$E$4:$E$6</c:f>
              <c:numCache>
                <c:formatCode>#,##0</c:formatCode>
                <c:ptCount val="3"/>
                <c:pt idx="0">
                  <c:v>11943838</c:v>
                </c:pt>
                <c:pt idx="1">
                  <c:v>16933175</c:v>
                </c:pt>
                <c:pt idx="2">
                  <c:v>17335850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721472"/>
        <c:axId val="175731456"/>
      </c:barChart>
      <c:dateAx>
        <c:axId val="17572147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731456"/>
        <c:crosses val="autoZero"/>
        <c:auto val="1"/>
        <c:lblOffset val="100"/>
        <c:baseTimeUnit val="months"/>
      </c:dateAx>
      <c:valAx>
        <c:axId val="1757314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5721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'Imas Jub'!$L$3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Jub'!$L$4:$L$6</c:f>
              <c:numCache>
                <c:formatCode>#,##0</c:formatCode>
                <c:ptCount val="3"/>
                <c:pt idx="0">
                  <c:v>10443038</c:v>
                </c:pt>
                <c:pt idx="1">
                  <c:v>15020688</c:v>
                </c:pt>
                <c:pt idx="2">
                  <c:v>18219163</c:v>
                </c:pt>
              </c:numCache>
            </c:numRef>
          </c:val>
        </c:ser>
        <c:ser>
          <c:idx val="1"/>
          <c:order val="1"/>
          <c:tx>
            <c:strRef>
              <c:f>'Imas Jub'!$M$3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503388</c:v>
                </c:pt>
                <c:pt idx="2">
                  <c:v>724325</c:v>
                </c:pt>
              </c:numCache>
            </c:numRef>
          </c:val>
        </c:ser>
        <c:ser>
          <c:idx val="2"/>
          <c:order val="2"/>
          <c:tx>
            <c:strRef>
              <c:f>'Imas Jub'!$N$3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Jub'!$N$4:$N$6</c:f>
              <c:numCache>
                <c:formatCode>#,##0</c:formatCode>
                <c:ptCount val="3"/>
                <c:pt idx="0">
                  <c:v>10443038</c:v>
                </c:pt>
                <c:pt idx="1">
                  <c:v>14517300</c:v>
                </c:pt>
                <c:pt idx="2">
                  <c:v>17494838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119808"/>
        <c:axId val="176121344"/>
      </c:barChart>
      <c:dateAx>
        <c:axId val="1761198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121344"/>
        <c:crosses val="autoZero"/>
        <c:auto val="1"/>
        <c:lblOffset val="100"/>
        <c:baseTimeUnit val="months"/>
      </c:dateAx>
      <c:valAx>
        <c:axId val="1761213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611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'Imas Jub'!$F$3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Jub'!$F$4:$F$6</c:f>
              <c:numCache>
                <c:formatCode>General</c:formatCode>
                <c:ptCount val="3"/>
                <c:pt idx="0">
                  <c:v>109</c:v>
                </c:pt>
                <c:pt idx="1">
                  <c:v>145</c:v>
                </c:pt>
                <c:pt idx="2">
                  <c:v>146</c:v>
                </c:pt>
              </c:numCache>
            </c:numRef>
          </c:val>
        </c:ser>
        <c:ser>
          <c:idx val="4"/>
          <c:order val="1"/>
          <c:tx>
            <c:strRef>
              <c:f>'Imas Jub'!$G$3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Jub'!$G$4:$G$6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'Imas Jub'!$H$3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'Imas Jub'!$B$4:$B$6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'Imas Jub'!$H$4:$H$6</c:f>
              <c:numCache>
                <c:formatCode>General</c:formatCode>
                <c:ptCount val="3"/>
                <c:pt idx="0">
                  <c:v>102</c:v>
                </c:pt>
                <c:pt idx="1">
                  <c:v>143</c:v>
                </c:pt>
                <c:pt idx="2">
                  <c:v>141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153344"/>
        <c:axId val="176154880"/>
      </c:barChart>
      <c:dateAx>
        <c:axId val="17615334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154880"/>
        <c:crosses val="autoZero"/>
        <c:auto val="1"/>
        <c:lblOffset val="100"/>
        <c:baseTimeUnit val="months"/>
      </c:dateAx>
      <c:valAx>
        <c:axId val="17615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15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Atlantis!$O$3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Atlantis!$O$4:$O$6</c:f>
              <c:numCache>
                <c:formatCode>General</c:formatCode>
                <c:ptCount val="3"/>
                <c:pt idx="0">
                  <c:v>577</c:v>
                </c:pt>
                <c:pt idx="1">
                  <c:v>733</c:v>
                </c:pt>
                <c:pt idx="2">
                  <c:v>915</c:v>
                </c:pt>
              </c:numCache>
            </c:numRef>
          </c:val>
        </c:ser>
        <c:ser>
          <c:idx val="4"/>
          <c:order val="1"/>
          <c:tx>
            <c:strRef>
              <c:f>Atlantis!$P$3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Atlantis!$P$4:$P$6</c:f>
              <c:numCache>
                <c:formatCode>General</c:formatCode>
                <c:ptCount val="3"/>
                <c:pt idx="0">
                  <c:v>110</c:v>
                </c:pt>
                <c:pt idx="1">
                  <c:v>133</c:v>
                </c:pt>
                <c:pt idx="2">
                  <c:v>196</c:v>
                </c:pt>
              </c:numCache>
            </c:numRef>
          </c:val>
        </c:ser>
        <c:ser>
          <c:idx val="5"/>
          <c:order val="2"/>
          <c:tx>
            <c:strRef>
              <c:f>Atlantis!$Q$3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Atlantis!$K$4:$K$6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Atlantis!$Q$4:$Q$6</c:f>
              <c:numCache>
                <c:formatCode>General</c:formatCode>
                <c:ptCount val="3"/>
                <c:pt idx="0">
                  <c:v>467</c:v>
                </c:pt>
                <c:pt idx="1">
                  <c:v>600</c:v>
                </c:pt>
                <c:pt idx="2">
                  <c:v>719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614848"/>
        <c:axId val="113616384"/>
      </c:barChart>
      <c:dateAx>
        <c:axId val="1136148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3616384"/>
        <c:crosses val="autoZero"/>
        <c:auto val="1"/>
        <c:lblOffset val="100"/>
        <c:baseTimeUnit val="months"/>
      </c:dateAx>
      <c:valAx>
        <c:axId val="11361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614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'Imas Jub'!$O$3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Jub'!$O$4:$O$6</c:f>
              <c:numCache>
                <c:formatCode>General</c:formatCode>
                <c:ptCount val="3"/>
                <c:pt idx="0">
                  <c:v>84</c:v>
                </c:pt>
                <c:pt idx="1">
                  <c:v>142</c:v>
                </c:pt>
                <c:pt idx="2">
                  <c:v>160</c:v>
                </c:pt>
              </c:numCache>
            </c:numRef>
          </c:val>
        </c:ser>
        <c:ser>
          <c:idx val="4"/>
          <c:order val="1"/>
          <c:tx>
            <c:strRef>
              <c:f>'Imas Jub'!$P$3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Jub'!$P$4:$P$6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'Imas Jub'!$Q$3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'Imas Jub'!$K$4:$K$6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'Imas Jub'!$Q$4:$Q$6</c:f>
              <c:numCache>
                <c:formatCode>General</c:formatCode>
                <c:ptCount val="3"/>
                <c:pt idx="0">
                  <c:v>84</c:v>
                </c:pt>
                <c:pt idx="1">
                  <c:v>137</c:v>
                </c:pt>
                <c:pt idx="2">
                  <c:v>153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276992"/>
        <c:axId val="176278528"/>
      </c:barChart>
      <c:dateAx>
        <c:axId val="1762769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278528"/>
        <c:crosses val="autoZero"/>
        <c:auto val="1"/>
        <c:lblOffset val="100"/>
        <c:baseTimeUnit val="months"/>
      </c:dateAx>
      <c:valAx>
        <c:axId val="17627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27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'Dedi K'!$C$3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K'!$C$4:$C$6</c:f>
              <c:numCache>
                <c:formatCode>#,##0</c:formatCode>
                <c:ptCount val="3"/>
                <c:pt idx="0">
                  <c:v>11499775</c:v>
                </c:pt>
                <c:pt idx="1">
                  <c:v>20612288</c:v>
                </c:pt>
                <c:pt idx="2">
                  <c:v>32027713</c:v>
                </c:pt>
              </c:numCache>
            </c:numRef>
          </c:val>
        </c:ser>
        <c:ser>
          <c:idx val="1"/>
          <c:order val="1"/>
          <c:tx>
            <c:strRef>
              <c:f>'Dedi K'!$D$3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K'!$D$4:$D$6</c:f>
              <c:numCache>
                <c:formatCode>#,##0</c:formatCode>
                <c:ptCount val="3"/>
                <c:pt idx="0">
                  <c:v>822850</c:v>
                </c:pt>
                <c:pt idx="1">
                  <c:v>2328638</c:v>
                </c:pt>
                <c:pt idx="2">
                  <c:v>3483463</c:v>
                </c:pt>
              </c:numCache>
            </c:numRef>
          </c:val>
        </c:ser>
        <c:ser>
          <c:idx val="2"/>
          <c:order val="2"/>
          <c:tx>
            <c:strRef>
              <c:f>'Dedi K'!$E$3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K'!$E$4:$E$6</c:f>
              <c:numCache>
                <c:formatCode>#,##0</c:formatCode>
                <c:ptCount val="3"/>
                <c:pt idx="0">
                  <c:v>10676925</c:v>
                </c:pt>
                <c:pt idx="1">
                  <c:v>18283650</c:v>
                </c:pt>
                <c:pt idx="2">
                  <c:v>28544250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996288"/>
        <c:axId val="176010368"/>
      </c:barChart>
      <c:dateAx>
        <c:axId val="1759962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010368"/>
        <c:crosses val="autoZero"/>
        <c:auto val="1"/>
        <c:lblOffset val="100"/>
        <c:baseTimeUnit val="months"/>
      </c:dateAx>
      <c:valAx>
        <c:axId val="1760103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599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'Dedi K'!$L$3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K'!$L$4:$L$6</c:f>
              <c:numCache>
                <c:formatCode>#,##0</c:formatCode>
                <c:ptCount val="3"/>
                <c:pt idx="0">
                  <c:v>2369500</c:v>
                </c:pt>
                <c:pt idx="1">
                  <c:v>14588000</c:v>
                </c:pt>
                <c:pt idx="2">
                  <c:v>18573713</c:v>
                </c:pt>
              </c:numCache>
            </c:numRef>
          </c:val>
        </c:ser>
        <c:ser>
          <c:idx val="1"/>
          <c:order val="1"/>
          <c:tx>
            <c:strRef>
              <c:f>'Dedi K'!$M$3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980263</c:v>
                </c:pt>
                <c:pt idx="2">
                  <c:v>747425</c:v>
                </c:pt>
              </c:numCache>
            </c:numRef>
          </c:val>
        </c:ser>
        <c:ser>
          <c:idx val="2"/>
          <c:order val="2"/>
          <c:tx>
            <c:strRef>
              <c:f>'Dedi K'!$N$3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K'!$N$4:$N$6</c:f>
              <c:numCache>
                <c:formatCode>#,##0</c:formatCode>
                <c:ptCount val="3"/>
                <c:pt idx="0">
                  <c:v>2369500</c:v>
                </c:pt>
                <c:pt idx="1">
                  <c:v>13607738</c:v>
                </c:pt>
                <c:pt idx="2">
                  <c:v>17826288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046464"/>
        <c:axId val="176048000"/>
      </c:barChart>
      <c:dateAx>
        <c:axId val="1760464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048000"/>
        <c:crosses val="autoZero"/>
        <c:auto val="1"/>
        <c:lblOffset val="100"/>
        <c:baseTimeUnit val="months"/>
      </c:dateAx>
      <c:valAx>
        <c:axId val="1760480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6046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'Dedi K'!$F$3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K'!$F$4:$F$6</c:f>
              <c:numCache>
                <c:formatCode>General</c:formatCode>
                <c:ptCount val="3"/>
                <c:pt idx="0">
                  <c:v>109</c:v>
                </c:pt>
                <c:pt idx="1">
                  <c:v>193</c:v>
                </c:pt>
                <c:pt idx="2">
                  <c:v>289</c:v>
                </c:pt>
              </c:numCache>
            </c:numRef>
          </c:val>
        </c:ser>
        <c:ser>
          <c:idx val="4"/>
          <c:order val="1"/>
          <c:tx>
            <c:strRef>
              <c:f>'Dedi K'!$G$3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K'!$G$4:$G$6</c:f>
              <c:numCache>
                <c:formatCode>General</c:formatCode>
                <c:ptCount val="3"/>
                <c:pt idx="0">
                  <c:v>8</c:v>
                </c:pt>
                <c:pt idx="1">
                  <c:v>21</c:v>
                </c:pt>
                <c:pt idx="2">
                  <c:v>30</c:v>
                </c:pt>
              </c:numCache>
            </c:numRef>
          </c:val>
        </c:ser>
        <c:ser>
          <c:idx val="5"/>
          <c:order val="2"/>
          <c:tx>
            <c:strRef>
              <c:f>'Dedi K'!$H$3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'Dedi K'!$B$4:$B$6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'Dedi K'!$H$4:$H$6</c:f>
              <c:numCache>
                <c:formatCode>General</c:formatCode>
                <c:ptCount val="3"/>
                <c:pt idx="0">
                  <c:v>101</c:v>
                </c:pt>
                <c:pt idx="1">
                  <c:v>172</c:v>
                </c:pt>
                <c:pt idx="2">
                  <c:v>259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092288"/>
        <c:axId val="176093824"/>
      </c:barChart>
      <c:dateAx>
        <c:axId val="1760922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093824"/>
        <c:crosses val="autoZero"/>
        <c:auto val="1"/>
        <c:lblOffset val="100"/>
        <c:baseTimeUnit val="months"/>
      </c:dateAx>
      <c:valAx>
        <c:axId val="17609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09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'Dedi K'!$O$3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K'!$O$4:$O$6</c:f>
              <c:numCache>
                <c:formatCode>General</c:formatCode>
                <c:ptCount val="3"/>
                <c:pt idx="0">
                  <c:v>24</c:v>
                </c:pt>
                <c:pt idx="1">
                  <c:v>145</c:v>
                </c:pt>
                <c:pt idx="2">
                  <c:v>173</c:v>
                </c:pt>
              </c:numCache>
            </c:numRef>
          </c:val>
        </c:ser>
        <c:ser>
          <c:idx val="4"/>
          <c:order val="1"/>
          <c:tx>
            <c:strRef>
              <c:f>'Dedi K'!$P$3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K'!$P$4:$P$6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</c:ser>
        <c:ser>
          <c:idx val="5"/>
          <c:order val="2"/>
          <c:tx>
            <c:strRef>
              <c:f>'Dedi K'!$Q$3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'Dedi K'!$K$4:$K$6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'Dedi K'!$Q$4:$Q$6</c:f>
              <c:numCache>
                <c:formatCode>General</c:formatCode>
                <c:ptCount val="3"/>
                <c:pt idx="0">
                  <c:v>24</c:v>
                </c:pt>
                <c:pt idx="1">
                  <c:v>136</c:v>
                </c:pt>
                <c:pt idx="2">
                  <c:v>165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662400"/>
        <c:axId val="176663936"/>
      </c:barChart>
      <c:dateAx>
        <c:axId val="1766624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663936"/>
        <c:crosses val="autoZero"/>
        <c:auto val="1"/>
        <c:lblOffset val="100"/>
        <c:baseTimeUnit val="months"/>
      </c:dateAx>
      <c:valAx>
        <c:axId val="17666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62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'Muh Irfan'!$C$3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Irfan'!$C$4:$C$6</c:f>
              <c:numCache>
                <c:formatCode>#,##0</c:formatCode>
                <c:ptCount val="3"/>
                <c:pt idx="0">
                  <c:v>10915888</c:v>
                </c:pt>
                <c:pt idx="1">
                  <c:v>18635488</c:v>
                </c:pt>
                <c:pt idx="2">
                  <c:v>18730775</c:v>
                </c:pt>
              </c:numCache>
            </c:numRef>
          </c:val>
        </c:ser>
        <c:ser>
          <c:idx val="1"/>
          <c:order val="1"/>
          <c:tx>
            <c:strRef>
              <c:f>'Muh Irfan'!$D$3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Irfan'!$D$4:$D$6</c:f>
              <c:numCache>
                <c:formatCode>#,##0</c:formatCode>
                <c:ptCount val="3"/>
                <c:pt idx="0">
                  <c:v>605150</c:v>
                </c:pt>
                <c:pt idx="1">
                  <c:v>540838</c:v>
                </c:pt>
                <c:pt idx="2">
                  <c:v>460950</c:v>
                </c:pt>
              </c:numCache>
            </c:numRef>
          </c:val>
        </c:ser>
        <c:ser>
          <c:idx val="2"/>
          <c:order val="2"/>
          <c:tx>
            <c:strRef>
              <c:f>'Muh Irfan'!$E$3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Irfan'!$E$4:$E$6</c:f>
              <c:numCache>
                <c:formatCode>#,##0</c:formatCode>
                <c:ptCount val="3"/>
                <c:pt idx="0">
                  <c:v>10310738</c:v>
                </c:pt>
                <c:pt idx="1">
                  <c:v>18094650</c:v>
                </c:pt>
                <c:pt idx="2">
                  <c:v>18269825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427008"/>
        <c:axId val="176428544"/>
      </c:barChart>
      <c:dateAx>
        <c:axId val="1764270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428544"/>
        <c:crosses val="autoZero"/>
        <c:auto val="1"/>
        <c:lblOffset val="100"/>
        <c:baseTimeUnit val="months"/>
      </c:dateAx>
      <c:valAx>
        <c:axId val="17642854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7642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'Muh Irfan'!$L$3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Irfan'!$L$4:$L$6</c:f>
              <c:numCache>
                <c:formatCode>#,##0</c:formatCode>
                <c:ptCount val="3"/>
                <c:pt idx="0">
                  <c:v>8076775</c:v>
                </c:pt>
                <c:pt idx="1">
                  <c:v>8414000</c:v>
                </c:pt>
                <c:pt idx="2">
                  <c:v>7812788</c:v>
                </c:pt>
              </c:numCache>
            </c:numRef>
          </c:val>
        </c:ser>
        <c:ser>
          <c:idx val="1"/>
          <c:order val="1"/>
          <c:tx>
            <c:strRef>
              <c:f>'Muh Irfan'!$M$3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Irfan'!$M$4:$M$6</c:f>
              <c:numCache>
                <c:formatCode>#,##0</c:formatCode>
                <c:ptCount val="3"/>
                <c:pt idx="0">
                  <c:v>228025</c:v>
                </c:pt>
                <c:pt idx="1">
                  <c:v>195825</c:v>
                </c:pt>
                <c:pt idx="2">
                  <c:v>382463</c:v>
                </c:pt>
              </c:numCache>
            </c:numRef>
          </c:val>
        </c:ser>
        <c:ser>
          <c:idx val="2"/>
          <c:order val="2"/>
          <c:tx>
            <c:strRef>
              <c:f>'Muh Irfan'!$N$3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Irfan'!$N$4:$N$6</c:f>
              <c:numCache>
                <c:formatCode>#,##0</c:formatCode>
                <c:ptCount val="3"/>
                <c:pt idx="0">
                  <c:v>7848750</c:v>
                </c:pt>
                <c:pt idx="1">
                  <c:v>8218175</c:v>
                </c:pt>
                <c:pt idx="2">
                  <c:v>7430325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476928"/>
        <c:axId val="176478464"/>
      </c:barChart>
      <c:dateAx>
        <c:axId val="1764769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478464"/>
        <c:crosses val="autoZero"/>
        <c:auto val="1"/>
        <c:lblOffset val="100"/>
        <c:baseTimeUnit val="months"/>
      </c:dateAx>
      <c:valAx>
        <c:axId val="1764784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647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'Muh Irfan'!$F$3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Irfan'!$F$4:$F$6</c:f>
              <c:numCache>
                <c:formatCode>General</c:formatCode>
                <c:ptCount val="3"/>
                <c:pt idx="0">
                  <c:v>103</c:v>
                </c:pt>
                <c:pt idx="1">
                  <c:v>189</c:v>
                </c:pt>
                <c:pt idx="2">
                  <c:v>184</c:v>
                </c:pt>
              </c:numCache>
            </c:numRef>
          </c:val>
        </c:ser>
        <c:ser>
          <c:idx val="4"/>
          <c:order val="1"/>
          <c:tx>
            <c:strRef>
              <c:f>'Muh Irfan'!$G$3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Irfan'!$G$4:$G$6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5"/>
          <c:order val="2"/>
          <c:tx>
            <c:strRef>
              <c:f>'Muh Irfan'!$H$3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'Muh Irfan'!$B$4:$B$6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'Muh Irfan'!$H$4:$H$6</c:f>
              <c:numCache>
                <c:formatCode>General</c:formatCode>
                <c:ptCount val="3"/>
                <c:pt idx="0">
                  <c:v>96</c:v>
                </c:pt>
                <c:pt idx="1">
                  <c:v>184</c:v>
                </c:pt>
                <c:pt idx="2">
                  <c:v>179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588288"/>
        <c:axId val="176589824"/>
      </c:barChart>
      <c:dateAx>
        <c:axId val="17658828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589824"/>
        <c:crosses val="autoZero"/>
        <c:auto val="1"/>
        <c:lblOffset val="100"/>
        <c:baseTimeUnit val="months"/>
      </c:dateAx>
      <c:valAx>
        <c:axId val="17658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58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'Muh Irfan'!$O$3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Irfan'!$O$4:$O$6</c:f>
              <c:numCache>
                <c:formatCode>General</c:formatCode>
                <c:ptCount val="3"/>
                <c:pt idx="0">
                  <c:v>75</c:v>
                </c:pt>
                <c:pt idx="1">
                  <c:v>78</c:v>
                </c:pt>
                <c:pt idx="2">
                  <c:v>68</c:v>
                </c:pt>
              </c:numCache>
            </c:numRef>
          </c:val>
        </c:ser>
        <c:ser>
          <c:idx val="4"/>
          <c:order val="1"/>
          <c:tx>
            <c:strRef>
              <c:f>'Muh Irfan'!$P$3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Irfan'!$P$4:$P$6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'Muh Irfan'!$Q$3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'Muh Irfan'!$K$4:$K$6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'Muh Irfan'!$Q$4:$Q$6</c:f>
              <c:numCache>
                <c:formatCode>General</c:formatCode>
                <c:ptCount val="3"/>
                <c:pt idx="0">
                  <c:v>73</c:v>
                </c:pt>
                <c:pt idx="1">
                  <c:v>76</c:v>
                </c:pt>
                <c:pt idx="2">
                  <c:v>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101056"/>
        <c:axId val="177119232"/>
      </c:barChart>
      <c:dateAx>
        <c:axId val="1771010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119232"/>
        <c:crosses val="autoZero"/>
        <c:auto val="1"/>
        <c:lblOffset val="100"/>
        <c:baseTimeUnit val="months"/>
      </c:dateAx>
      <c:valAx>
        <c:axId val="17711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101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'Indra F'!$C$3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F'!$C$4:$C$6</c:f>
              <c:numCache>
                <c:formatCode>#,##0</c:formatCode>
                <c:ptCount val="3"/>
                <c:pt idx="0">
                  <c:v>11328013</c:v>
                </c:pt>
                <c:pt idx="1">
                  <c:v>45165925</c:v>
                </c:pt>
                <c:pt idx="2">
                  <c:v>51899575</c:v>
                </c:pt>
              </c:numCache>
            </c:numRef>
          </c:val>
        </c:ser>
        <c:ser>
          <c:idx val="1"/>
          <c:order val="1"/>
          <c:tx>
            <c:strRef>
              <c:f>'Indra F'!$D$3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F'!$D$4:$D$6</c:f>
              <c:numCache>
                <c:formatCode>#,##0</c:formatCode>
                <c:ptCount val="3"/>
                <c:pt idx="0">
                  <c:v>1307688</c:v>
                </c:pt>
                <c:pt idx="1">
                  <c:v>5717163</c:v>
                </c:pt>
                <c:pt idx="2">
                  <c:v>6874700</c:v>
                </c:pt>
              </c:numCache>
            </c:numRef>
          </c:val>
        </c:ser>
        <c:ser>
          <c:idx val="2"/>
          <c:order val="2"/>
          <c:tx>
            <c:strRef>
              <c:f>'Indra F'!$E$3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'Indra F'!$B$4:$B$6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'Indra F'!$E$4:$E$6</c:f>
              <c:numCache>
                <c:formatCode>#,##0</c:formatCode>
                <c:ptCount val="3"/>
                <c:pt idx="0">
                  <c:v>10020325</c:v>
                </c:pt>
                <c:pt idx="1">
                  <c:v>39448763</c:v>
                </c:pt>
                <c:pt idx="2">
                  <c:v>45024875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877952"/>
        <c:axId val="176879488"/>
      </c:barChart>
      <c:dateAx>
        <c:axId val="1768779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879488"/>
        <c:crosses val="autoZero"/>
        <c:auto val="1"/>
        <c:lblOffset val="100"/>
        <c:baseTimeUnit val="months"/>
      </c:dateAx>
      <c:valAx>
        <c:axId val="1768794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687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Bandros!$C$3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Bandros!$C$4:$C$6</c:f>
              <c:numCache>
                <c:formatCode>#,##0</c:formatCode>
                <c:ptCount val="3"/>
                <c:pt idx="0">
                  <c:v>122635188</c:v>
                </c:pt>
                <c:pt idx="1">
                  <c:v>151669700</c:v>
                </c:pt>
                <c:pt idx="2">
                  <c:v>175152688</c:v>
                </c:pt>
              </c:numCache>
            </c:numRef>
          </c:val>
        </c:ser>
        <c:ser>
          <c:idx val="1"/>
          <c:order val="1"/>
          <c:tx>
            <c:strRef>
              <c:f>Bandros!$D$3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Bandros!$D$4:$D$6</c:f>
              <c:numCache>
                <c:formatCode>#,##0</c:formatCode>
                <c:ptCount val="3"/>
                <c:pt idx="0">
                  <c:v>7883138</c:v>
                </c:pt>
                <c:pt idx="1">
                  <c:v>12131925</c:v>
                </c:pt>
                <c:pt idx="2">
                  <c:v>10025838</c:v>
                </c:pt>
              </c:numCache>
            </c:numRef>
          </c:val>
        </c:ser>
        <c:ser>
          <c:idx val="2"/>
          <c:order val="2"/>
          <c:tx>
            <c:strRef>
              <c:f>Bandros!$E$3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Bandros!$E$4:$E$6</c:f>
              <c:numCache>
                <c:formatCode>#,##0</c:formatCode>
                <c:ptCount val="3"/>
                <c:pt idx="0">
                  <c:v>114752050</c:v>
                </c:pt>
                <c:pt idx="1">
                  <c:v>139537775</c:v>
                </c:pt>
                <c:pt idx="2">
                  <c:v>165126850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720960"/>
        <c:axId val="117722496"/>
      </c:barChart>
      <c:dateAx>
        <c:axId val="1177209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722496"/>
        <c:crosses val="autoZero"/>
        <c:auto val="1"/>
        <c:lblOffset val="100"/>
        <c:baseTimeUnit val="months"/>
      </c:dateAx>
      <c:valAx>
        <c:axId val="1177224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7720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'Indra F'!$L$3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F'!$L$4:$L$6</c:f>
              <c:numCache>
                <c:formatCode>#,##0</c:formatCode>
                <c:ptCount val="3"/>
                <c:pt idx="0">
                  <c:v>2825288</c:v>
                </c:pt>
                <c:pt idx="1">
                  <c:v>7780588</c:v>
                </c:pt>
                <c:pt idx="2">
                  <c:v>35356650</c:v>
                </c:pt>
              </c:numCache>
            </c:numRef>
          </c:val>
        </c:ser>
        <c:ser>
          <c:idx val="1"/>
          <c:order val="1"/>
          <c:tx>
            <c:strRef>
              <c:f>'Indra F'!$M$3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F'!$M$4:$M$6</c:f>
              <c:numCache>
                <c:formatCode>#,##0</c:formatCode>
                <c:ptCount val="3"/>
                <c:pt idx="0">
                  <c:v>114450</c:v>
                </c:pt>
                <c:pt idx="1">
                  <c:v>936250</c:v>
                </c:pt>
                <c:pt idx="2">
                  <c:v>12631362</c:v>
                </c:pt>
              </c:numCache>
            </c:numRef>
          </c:val>
        </c:ser>
        <c:ser>
          <c:idx val="2"/>
          <c:order val="2"/>
          <c:tx>
            <c:strRef>
              <c:f>'Indra F'!$N$3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'Indra F'!$K$4:$K$6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'Indra F'!$N$4:$N$6</c:f>
              <c:numCache>
                <c:formatCode>#,##0</c:formatCode>
                <c:ptCount val="3"/>
                <c:pt idx="0">
                  <c:v>2710838</c:v>
                </c:pt>
                <c:pt idx="1">
                  <c:v>6844338</c:v>
                </c:pt>
                <c:pt idx="2">
                  <c:v>22725289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940160"/>
        <c:axId val="176941696"/>
      </c:barChart>
      <c:dateAx>
        <c:axId val="1769401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6941696"/>
        <c:crosses val="autoZero"/>
        <c:auto val="1"/>
        <c:lblOffset val="100"/>
        <c:baseTimeUnit val="months"/>
      </c:dateAx>
      <c:valAx>
        <c:axId val="1769416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694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Yuan!$C$3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Yuan!$C$4:$C$6</c:f>
              <c:numCache>
                <c:formatCode>#,##0</c:formatCode>
                <c:ptCount val="3"/>
                <c:pt idx="0">
                  <c:v>9824500</c:v>
                </c:pt>
                <c:pt idx="1">
                  <c:v>12306613</c:v>
                </c:pt>
                <c:pt idx="2">
                  <c:v>22677375</c:v>
                </c:pt>
              </c:numCache>
            </c:numRef>
          </c:val>
        </c:ser>
        <c:ser>
          <c:idx val="1"/>
          <c:order val="1"/>
          <c:tx>
            <c:strRef>
              <c:f>Yuan!$D$3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Yuan!$D$4:$D$6</c:f>
              <c:numCache>
                <c:formatCode>#,##0</c:formatCode>
                <c:ptCount val="3"/>
                <c:pt idx="0">
                  <c:v>651262</c:v>
                </c:pt>
                <c:pt idx="1">
                  <c:v>1423450</c:v>
                </c:pt>
                <c:pt idx="2">
                  <c:v>1978375</c:v>
                </c:pt>
              </c:numCache>
            </c:numRef>
          </c:val>
        </c:ser>
        <c:ser>
          <c:idx val="2"/>
          <c:order val="2"/>
          <c:tx>
            <c:strRef>
              <c:f>Yuan!$E$3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Yuan!$E$4:$E$6</c:f>
              <c:numCache>
                <c:formatCode>#,##0</c:formatCode>
                <c:ptCount val="3"/>
                <c:pt idx="0">
                  <c:v>9173238</c:v>
                </c:pt>
                <c:pt idx="1">
                  <c:v>10883163</c:v>
                </c:pt>
                <c:pt idx="2">
                  <c:v>20699000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073152"/>
        <c:axId val="177480448"/>
      </c:barChart>
      <c:dateAx>
        <c:axId val="1770731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480448"/>
        <c:crosses val="autoZero"/>
        <c:auto val="1"/>
        <c:lblOffset val="100"/>
        <c:baseTimeUnit val="months"/>
      </c:dateAx>
      <c:valAx>
        <c:axId val="1774804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707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Yuan!$L$3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Yuan!$L$4:$L$6</c:f>
              <c:numCache>
                <c:formatCode>#,##0</c:formatCode>
                <c:ptCount val="3"/>
                <c:pt idx="0">
                  <c:v>11873138</c:v>
                </c:pt>
                <c:pt idx="1">
                  <c:v>6990550</c:v>
                </c:pt>
                <c:pt idx="2">
                  <c:v>10016388</c:v>
                </c:pt>
              </c:numCache>
            </c:numRef>
          </c:val>
        </c:ser>
        <c:ser>
          <c:idx val="1"/>
          <c:order val="1"/>
          <c:tx>
            <c:strRef>
              <c:f>Yuan!$M$3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Yuan!$M$4:$M$6</c:f>
              <c:numCache>
                <c:formatCode>#,##0</c:formatCode>
                <c:ptCount val="3"/>
                <c:pt idx="0">
                  <c:v>1331225</c:v>
                </c:pt>
                <c:pt idx="1">
                  <c:v>754513</c:v>
                </c:pt>
                <c:pt idx="2">
                  <c:v>363650</c:v>
                </c:pt>
              </c:numCache>
            </c:numRef>
          </c:val>
        </c:ser>
        <c:ser>
          <c:idx val="2"/>
          <c:order val="2"/>
          <c:tx>
            <c:strRef>
              <c:f>Yuan!$N$3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Yuan!$N$4:$N$6</c:f>
              <c:numCache>
                <c:formatCode>#,##0</c:formatCode>
                <c:ptCount val="3"/>
                <c:pt idx="0">
                  <c:v>10541913</c:v>
                </c:pt>
                <c:pt idx="1">
                  <c:v>6236038</c:v>
                </c:pt>
                <c:pt idx="2">
                  <c:v>9652738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537024"/>
        <c:axId val="177538560"/>
      </c:barChart>
      <c:dateAx>
        <c:axId val="1775370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538560"/>
        <c:crosses val="autoZero"/>
        <c:auto val="1"/>
        <c:lblOffset val="100"/>
        <c:baseTimeUnit val="months"/>
      </c:dateAx>
      <c:valAx>
        <c:axId val="177538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7537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Yuan!$F$3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Yuan!$F$4:$F$6</c:f>
              <c:numCache>
                <c:formatCode>General</c:formatCode>
                <c:ptCount val="3"/>
                <c:pt idx="0">
                  <c:v>95</c:v>
                </c:pt>
                <c:pt idx="1">
                  <c:v>115</c:v>
                </c:pt>
                <c:pt idx="2">
                  <c:v>202</c:v>
                </c:pt>
              </c:numCache>
            </c:numRef>
          </c:val>
        </c:ser>
        <c:ser>
          <c:idx val="4"/>
          <c:order val="1"/>
          <c:tx>
            <c:strRef>
              <c:f>Yuan!$G$3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Yuan!$G$4:$G$6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Yuan!$H$3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Yuan!$B$4:$B$6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Yuan!$H$4:$H$6</c:f>
              <c:numCache>
                <c:formatCode>General</c:formatCode>
                <c:ptCount val="3"/>
                <c:pt idx="0">
                  <c:v>90</c:v>
                </c:pt>
                <c:pt idx="1">
                  <c:v>101</c:v>
                </c:pt>
                <c:pt idx="2">
                  <c:v>183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570560"/>
        <c:axId val="177572096"/>
      </c:barChart>
      <c:dateAx>
        <c:axId val="1775705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572096"/>
        <c:crosses val="autoZero"/>
        <c:auto val="1"/>
        <c:lblOffset val="100"/>
        <c:baseTimeUnit val="months"/>
      </c:dateAx>
      <c:valAx>
        <c:axId val="177572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57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Yuan!$O$3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Yuan!$O$4:$O$6</c:f>
              <c:numCache>
                <c:formatCode>General</c:formatCode>
                <c:ptCount val="3"/>
                <c:pt idx="0">
                  <c:v>118</c:v>
                </c:pt>
                <c:pt idx="1">
                  <c:v>67</c:v>
                </c:pt>
                <c:pt idx="2">
                  <c:v>90</c:v>
                </c:pt>
              </c:numCache>
            </c:numRef>
          </c:val>
        </c:ser>
        <c:ser>
          <c:idx val="4"/>
          <c:order val="1"/>
          <c:tx>
            <c:strRef>
              <c:f>Yuan!$P$3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Yuan!$P$4:$P$6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5"/>
          <c:order val="2"/>
          <c:tx>
            <c:strRef>
              <c:f>Yuan!$Q$3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Yuan!$K$4:$K$6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Yuan!$Q$4:$Q$6</c:f>
              <c:numCache>
                <c:formatCode>General</c:formatCode>
                <c:ptCount val="3"/>
                <c:pt idx="0">
                  <c:v>106</c:v>
                </c:pt>
                <c:pt idx="1">
                  <c:v>61</c:v>
                </c:pt>
                <c:pt idx="2">
                  <c:v>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681920"/>
        <c:axId val="177683456"/>
      </c:barChart>
      <c:dateAx>
        <c:axId val="1776819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683456"/>
        <c:crosses val="autoZero"/>
        <c:auto val="1"/>
        <c:lblOffset val="100"/>
        <c:baseTimeUnit val="months"/>
      </c:dateAx>
      <c:valAx>
        <c:axId val="17768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68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</a:t>
            </a:r>
            <a:r>
              <a:rPr lang="en-US" baseline="0"/>
              <a:t>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Martin!$C$3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Martin!$C$4:$C$6</c:f>
              <c:numCache>
                <c:formatCode>#,##0</c:formatCode>
                <c:ptCount val="3"/>
                <c:pt idx="0">
                  <c:v>9029388</c:v>
                </c:pt>
                <c:pt idx="1">
                  <c:v>14615038</c:v>
                </c:pt>
                <c:pt idx="2">
                  <c:v>10488625</c:v>
                </c:pt>
              </c:numCache>
            </c:numRef>
          </c:val>
        </c:ser>
        <c:ser>
          <c:idx val="1"/>
          <c:order val="1"/>
          <c:tx>
            <c:strRef>
              <c:f>Martin!$D$3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Martin!$D$4:$D$6</c:f>
              <c:numCache>
                <c:formatCode>#,##0</c:formatCode>
                <c:ptCount val="3"/>
                <c:pt idx="0">
                  <c:v>88900</c:v>
                </c:pt>
                <c:pt idx="1">
                  <c:v>141400</c:v>
                </c:pt>
                <c:pt idx="2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Martin!$E$3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Martin!$E$4:$E$6</c:f>
              <c:numCache>
                <c:formatCode>#,##0</c:formatCode>
                <c:ptCount val="3"/>
                <c:pt idx="0">
                  <c:v>8940488</c:v>
                </c:pt>
                <c:pt idx="1">
                  <c:v>14473638</c:v>
                </c:pt>
                <c:pt idx="2">
                  <c:v>10488625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940160"/>
        <c:axId val="174941696"/>
      </c:barChart>
      <c:dateAx>
        <c:axId val="17494016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941696"/>
        <c:crosses val="autoZero"/>
        <c:auto val="1"/>
        <c:lblOffset val="100"/>
        <c:baseTimeUnit val="months"/>
      </c:dateAx>
      <c:valAx>
        <c:axId val="1749416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4940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Martin!$L$3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Martin!$L$4:$L$6</c:f>
              <c:numCache>
                <c:formatCode>#,##0</c:formatCode>
                <c:ptCount val="3"/>
                <c:pt idx="0">
                  <c:v>37063163</c:v>
                </c:pt>
                <c:pt idx="1">
                  <c:v>30029388</c:v>
                </c:pt>
                <c:pt idx="2">
                  <c:v>21627988</c:v>
                </c:pt>
              </c:numCache>
            </c:numRef>
          </c:val>
        </c:ser>
        <c:ser>
          <c:idx val="1"/>
          <c:order val="1"/>
          <c:tx>
            <c:strRef>
              <c:f>Martin!$M$3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Martin!$M$4:$M$6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Martin!$N$3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Martin!$N$4:$N$6</c:f>
              <c:numCache>
                <c:formatCode>#,##0</c:formatCode>
                <c:ptCount val="3"/>
                <c:pt idx="0">
                  <c:v>37063163</c:v>
                </c:pt>
                <c:pt idx="1">
                  <c:v>30029388</c:v>
                </c:pt>
                <c:pt idx="2">
                  <c:v>21627988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977792"/>
        <c:axId val="174979328"/>
      </c:barChart>
      <c:dateAx>
        <c:axId val="1749777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4979328"/>
        <c:crosses val="autoZero"/>
        <c:auto val="1"/>
        <c:lblOffset val="100"/>
        <c:baseTimeUnit val="months"/>
      </c:dateAx>
      <c:valAx>
        <c:axId val="1749793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497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Martin!$F$3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Martin!$F$4:$F$6</c:f>
              <c:numCache>
                <c:formatCode>General</c:formatCode>
                <c:ptCount val="3"/>
                <c:pt idx="0">
                  <c:v>95</c:v>
                </c:pt>
                <c:pt idx="1">
                  <c:v>159</c:v>
                </c:pt>
                <c:pt idx="2">
                  <c:v>114</c:v>
                </c:pt>
              </c:numCache>
            </c:numRef>
          </c:val>
        </c:ser>
        <c:ser>
          <c:idx val="4"/>
          <c:order val="1"/>
          <c:tx>
            <c:strRef>
              <c:f>Martin!$G$3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Martin!$G$4:$G$6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Martin!$H$3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Martin!$B$4:$B$6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Martin!$H$4:$H$6</c:f>
              <c:numCache>
                <c:formatCode>General</c:formatCode>
                <c:ptCount val="3"/>
                <c:pt idx="0">
                  <c:v>94</c:v>
                </c:pt>
                <c:pt idx="1">
                  <c:v>158</c:v>
                </c:pt>
                <c:pt idx="2">
                  <c:v>114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395200"/>
        <c:axId val="177396736"/>
      </c:barChart>
      <c:dateAx>
        <c:axId val="1773952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396736"/>
        <c:crosses val="autoZero"/>
        <c:auto val="1"/>
        <c:lblOffset val="100"/>
        <c:baseTimeUnit val="months"/>
      </c:dateAx>
      <c:valAx>
        <c:axId val="17739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39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Martin!$O$3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Martin!$O$4:$O$6</c:f>
              <c:numCache>
                <c:formatCode>General</c:formatCode>
                <c:ptCount val="3"/>
                <c:pt idx="0">
                  <c:v>306</c:v>
                </c:pt>
                <c:pt idx="1">
                  <c:v>242</c:v>
                </c:pt>
                <c:pt idx="2">
                  <c:v>172</c:v>
                </c:pt>
              </c:numCache>
            </c:numRef>
          </c:val>
        </c:ser>
        <c:ser>
          <c:idx val="4"/>
          <c:order val="1"/>
          <c:tx>
            <c:strRef>
              <c:f>Martin!$P$3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Martin!$P$4:$P$6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2"/>
          <c:tx>
            <c:strRef>
              <c:f>Martin!$Q$3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Martin!$K$4:$K$6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Martin!$Q$4:$Q$6</c:f>
              <c:numCache>
                <c:formatCode>General</c:formatCode>
                <c:ptCount val="3"/>
                <c:pt idx="0">
                  <c:v>306</c:v>
                </c:pt>
                <c:pt idx="1">
                  <c:v>242</c:v>
                </c:pt>
                <c:pt idx="2">
                  <c:v>172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432832"/>
        <c:axId val="177455104"/>
      </c:barChart>
      <c:dateAx>
        <c:axId val="1774328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455104"/>
        <c:crosses val="autoZero"/>
        <c:auto val="1"/>
        <c:lblOffset val="100"/>
        <c:baseTimeUnit val="months"/>
      </c:dateAx>
      <c:valAx>
        <c:axId val="17745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43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Misbah!$C$3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Misbah!$C$4:$C$6</c:f>
              <c:numCache>
                <c:formatCode>#,##0</c:formatCode>
                <c:ptCount val="3"/>
                <c:pt idx="0">
                  <c:v>11957138</c:v>
                </c:pt>
                <c:pt idx="1">
                  <c:v>14770175</c:v>
                </c:pt>
                <c:pt idx="2">
                  <c:v>24850088</c:v>
                </c:pt>
              </c:numCache>
            </c:numRef>
          </c:val>
        </c:ser>
        <c:ser>
          <c:idx val="1"/>
          <c:order val="1"/>
          <c:tx>
            <c:strRef>
              <c:f>Misbah!$D$3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Misbah!$D$4:$D$6</c:f>
              <c:numCache>
                <c:formatCode>#,##0</c:formatCode>
                <c:ptCount val="3"/>
                <c:pt idx="0">
                  <c:v>3700375</c:v>
                </c:pt>
                <c:pt idx="1">
                  <c:v>4032438</c:v>
                </c:pt>
                <c:pt idx="2">
                  <c:v>3883275</c:v>
                </c:pt>
              </c:numCache>
            </c:numRef>
          </c:val>
        </c:ser>
        <c:ser>
          <c:idx val="2"/>
          <c:order val="2"/>
          <c:tx>
            <c:strRef>
              <c:f>Misbah!$E$3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Misbah!$E$4:$E$6</c:f>
              <c:numCache>
                <c:formatCode>#,##0</c:formatCode>
                <c:ptCount val="3"/>
                <c:pt idx="0">
                  <c:v>8256763</c:v>
                </c:pt>
                <c:pt idx="1">
                  <c:v>10737738</c:v>
                </c:pt>
                <c:pt idx="2">
                  <c:v>20966813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910144"/>
        <c:axId val="177911680"/>
      </c:barChart>
      <c:dateAx>
        <c:axId val="17791014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911680"/>
        <c:crosses val="autoZero"/>
        <c:auto val="1"/>
        <c:lblOffset val="100"/>
        <c:baseTimeUnit val="months"/>
      </c:dateAx>
      <c:valAx>
        <c:axId val="1779116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7910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Bandros!$L$3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Bandros!$L$4:$L$6</c:f>
              <c:numCache>
                <c:formatCode>#,##0</c:formatCode>
                <c:ptCount val="3"/>
                <c:pt idx="0">
                  <c:v>127254138</c:v>
                </c:pt>
                <c:pt idx="1">
                  <c:v>153689900</c:v>
                </c:pt>
                <c:pt idx="2">
                  <c:v>176340850</c:v>
                </c:pt>
              </c:numCache>
            </c:numRef>
          </c:val>
        </c:ser>
        <c:ser>
          <c:idx val="1"/>
          <c:order val="1"/>
          <c:tx>
            <c:strRef>
              <c:f>Bandros!$M$3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Bandros!$M$4:$M$6</c:f>
              <c:numCache>
                <c:formatCode>#,##0</c:formatCode>
                <c:ptCount val="3"/>
                <c:pt idx="0">
                  <c:v>13312163</c:v>
                </c:pt>
                <c:pt idx="1">
                  <c:v>11111363</c:v>
                </c:pt>
                <c:pt idx="2">
                  <c:v>19028713</c:v>
                </c:pt>
              </c:numCache>
            </c:numRef>
          </c:val>
        </c:ser>
        <c:ser>
          <c:idx val="2"/>
          <c:order val="2"/>
          <c:tx>
            <c:strRef>
              <c:f>Bandros!$N$3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Bandros!$N$4:$N$6</c:f>
              <c:numCache>
                <c:formatCode>#,##0</c:formatCode>
                <c:ptCount val="3"/>
                <c:pt idx="0">
                  <c:v>113941975</c:v>
                </c:pt>
                <c:pt idx="1">
                  <c:v>142578538</c:v>
                </c:pt>
                <c:pt idx="2">
                  <c:v>157312138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847168"/>
        <c:axId val="117848704"/>
      </c:barChart>
      <c:dateAx>
        <c:axId val="1178471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848704"/>
        <c:crosses val="autoZero"/>
        <c:auto val="1"/>
        <c:lblOffset val="100"/>
        <c:baseTimeUnit val="months"/>
      </c:dateAx>
      <c:valAx>
        <c:axId val="1178487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784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Misbah!$L$3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Misbah!$L$4:$L$6</c:f>
              <c:numCache>
                <c:formatCode>#,##0</c:formatCode>
                <c:ptCount val="3"/>
                <c:pt idx="0">
                  <c:v>6679400</c:v>
                </c:pt>
                <c:pt idx="1">
                  <c:v>8759738</c:v>
                </c:pt>
                <c:pt idx="2">
                  <c:v>5502075</c:v>
                </c:pt>
              </c:numCache>
            </c:numRef>
          </c:val>
        </c:ser>
        <c:ser>
          <c:idx val="1"/>
          <c:order val="1"/>
          <c:tx>
            <c:strRef>
              <c:f>Misbah!$M$3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Misbah!$M$4:$M$6</c:f>
              <c:numCache>
                <c:formatCode>#,##0</c:formatCode>
                <c:ptCount val="3"/>
                <c:pt idx="0">
                  <c:v>2039900</c:v>
                </c:pt>
                <c:pt idx="1">
                  <c:v>5545200</c:v>
                </c:pt>
                <c:pt idx="2">
                  <c:v>2585902</c:v>
                </c:pt>
              </c:numCache>
            </c:numRef>
          </c:val>
        </c:ser>
        <c:ser>
          <c:idx val="2"/>
          <c:order val="2"/>
          <c:tx>
            <c:strRef>
              <c:f>Misbah!$N$3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Misbah!$N$4:$N$6</c:f>
              <c:numCache>
                <c:formatCode>#,##0</c:formatCode>
                <c:ptCount val="3"/>
                <c:pt idx="0">
                  <c:v>4639500</c:v>
                </c:pt>
                <c:pt idx="1">
                  <c:v>3214538</c:v>
                </c:pt>
                <c:pt idx="2">
                  <c:v>2916173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472064"/>
        <c:axId val="178473600"/>
      </c:barChart>
      <c:dateAx>
        <c:axId val="1784720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473600"/>
        <c:crosses val="autoZero"/>
        <c:auto val="1"/>
        <c:lblOffset val="100"/>
        <c:baseTimeUnit val="months"/>
      </c:dateAx>
      <c:valAx>
        <c:axId val="1784736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8472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Misbah!$F$3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Misbah!$F$4:$F$6</c:f>
              <c:numCache>
                <c:formatCode>General</c:formatCode>
                <c:ptCount val="3"/>
                <c:pt idx="0">
                  <c:v>117</c:v>
                </c:pt>
                <c:pt idx="1">
                  <c:v>145</c:v>
                </c:pt>
                <c:pt idx="2">
                  <c:v>241</c:v>
                </c:pt>
              </c:numCache>
            </c:numRef>
          </c:val>
        </c:ser>
        <c:ser>
          <c:idx val="4"/>
          <c:order val="1"/>
          <c:tx>
            <c:strRef>
              <c:f>Misbah!$G$3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Misbah!$G$4:$G$6</c:f>
              <c:numCache>
                <c:formatCode>General</c:formatCode>
                <c:ptCount val="3"/>
                <c:pt idx="0">
                  <c:v>34</c:v>
                </c:pt>
                <c:pt idx="1">
                  <c:v>39</c:v>
                </c:pt>
                <c:pt idx="2">
                  <c:v>38</c:v>
                </c:pt>
              </c:numCache>
            </c:numRef>
          </c:val>
        </c:ser>
        <c:ser>
          <c:idx val="5"/>
          <c:order val="2"/>
          <c:tx>
            <c:strRef>
              <c:f>Misbah!$H$3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Misbah!$B$4:$B$6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Misbah!$H$4:$H$6</c:f>
              <c:numCache>
                <c:formatCode>General</c:formatCode>
                <c:ptCount val="3"/>
                <c:pt idx="0">
                  <c:v>83</c:v>
                </c:pt>
                <c:pt idx="1">
                  <c:v>106</c:v>
                </c:pt>
                <c:pt idx="2">
                  <c:v>203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276224"/>
        <c:axId val="178277760"/>
      </c:barChart>
      <c:dateAx>
        <c:axId val="1782762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277760"/>
        <c:crosses val="autoZero"/>
        <c:auto val="1"/>
        <c:lblOffset val="100"/>
        <c:baseTimeUnit val="months"/>
      </c:dateAx>
      <c:valAx>
        <c:axId val="17827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27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Misbah!$O$3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Misbah!$O$4:$O$6</c:f>
              <c:numCache>
                <c:formatCode>General</c:formatCode>
                <c:ptCount val="3"/>
                <c:pt idx="0">
                  <c:v>58</c:v>
                </c:pt>
                <c:pt idx="1">
                  <c:v>76</c:v>
                </c:pt>
                <c:pt idx="2">
                  <c:v>47</c:v>
                </c:pt>
              </c:numCache>
            </c:numRef>
          </c:val>
        </c:ser>
        <c:ser>
          <c:idx val="4"/>
          <c:order val="1"/>
          <c:tx>
            <c:strRef>
              <c:f>Misbah!$P$3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Misbah!$P$4:$P$6</c:f>
              <c:numCache>
                <c:formatCode>General</c:formatCode>
                <c:ptCount val="3"/>
                <c:pt idx="0">
                  <c:v>17</c:v>
                </c:pt>
                <c:pt idx="1">
                  <c:v>15</c:v>
                </c:pt>
                <c:pt idx="2">
                  <c:v>30</c:v>
                </c:pt>
              </c:numCache>
            </c:numRef>
          </c:val>
        </c:ser>
        <c:ser>
          <c:idx val="5"/>
          <c:order val="2"/>
          <c:tx>
            <c:strRef>
              <c:f>Misbah!$Q$3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Misbah!$K$4:$K$6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Misbah!$Q$4:$Q$6</c:f>
              <c:numCache>
                <c:formatCode>General</c:formatCode>
                <c:ptCount val="3"/>
                <c:pt idx="0">
                  <c:v>41</c:v>
                </c:pt>
                <c:pt idx="1">
                  <c:v>61</c:v>
                </c:pt>
                <c:pt idx="2">
                  <c:v>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317952"/>
        <c:axId val="178323840"/>
      </c:barChart>
      <c:dateAx>
        <c:axId val="1783179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323840"/>
        <c:crosses val="autoZero"/>
        <c:auto val="1"/>
        <c:lblOffset val="100"/>
        <c:baseTimeUnit val="months"/>
      </c:dateAx>
      <c:valAx>
        <c:axId val="178323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31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Chandra!$C$3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Chandra!$C$4:$C$6</c:f>
              <c:numCache>
                <c:formatCode>#,##0</c:formatCode>
                <c:ptCount val="3"/>
                <c:pt idx="0">
                  <c:v>8362113</c:v>
                </c:pt>
                <c:pt idx="1">
                  <c:v>10091375</c:v>
                </c:pt>
                <c:pt idx="2">
                  <c:v>11987063</c:v>
                </c:pt>
              </c:numCache>
            </c:numRef>
          </c:val>
        </c:ser>
        <c:ser>
          <c:idx val="1"/>
          <c:order val="1"/>
          <c:tx>
            <c:strRef>
              <c:f>Chandra!$D$3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Chandra!$D$4:$D$6</c:f>
              <c:numCache>
                <c:formatCode>#,##0</c:formatCode>
                <c:ptCount val="3"/>
                <c:pt idx="0">
                  <c:v>255300</c:v>
                </c:pt>
                <c:pt idx="1">
                  <c:v>307650</c:v>
                </c:pt>
                <c:pt idx="2">
                  <c:v>320738</c:v>
                </c:pt>
              </c:numCache>
            </c:numRef>
          </c:val>
        </c:ser>
        <c:ser>
          <c:idx val="2"/>
          <c:order val="2"/>
          <c:tx>
            <c:strRef>
              <c:f>Chandra!$E$3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Chandra!$E$4:$E$6</c:f>
              <c:numCache>
                <c:formatCode>#,##0</c:formatCode>
                <c:ptCount val="3"/>
                <c:pt idx="0">
                  <c:v>8106813</c:v>
                </c:pt>
                <c:pt idx="1">
                  <c:v>9783725</c:v>
                </c:pt>
                <c:pt idx="2">
                  <c:v>11666325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971968"/>
        <c:axId val="177973504"/>
      </c:barChart>
      <c:dateAx>
        <c:axId val="1779719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973504"/>
        <c:crosses val="autoZero"/>
        <c:auto val="1"/>
        <c:lblOffset val="100"/>
        <c:baseTimeUnit val="months"/>
      </c:dateAx>
      <c:valAx>
        <c:axId val="1779735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797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Chandra!$L$3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Chandra!$L$4:$L$6</c:f>
              <c:numCache>
                <c:formatCode>#,##0</c:formatCode>
                <c:ptCount val="3"/>
                <c:pt idx="0">
                  <c:v>5080425</c:v>
                </c:pt>
                <c:pt idx="1">
                  <c:v>3715775</c:v>
                </c:pt>
                <c:pt idx="2">
                  <c:v>3539813</c:v>
                </c:pt>
              </c:numCache>
            </c:numRef>
          </c:val>
        </c:ser>
        <c:ser>
          <c:idx val="1"/>
          <c:order val="1"/>
          <c:tx>
            <c:strRef>
              <c:f>Chandra!$M$3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Chandra!$M$4:$M$6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28875</c:v>
                </c:pt>
                <c:pt idx="2">
                  <c:v>110075</c:v>
                </c:pt>
              </c:numCache>
            </c:numRef>
          </c:val>
        </c:ser>
        <c:ser>
          <c:idx val="2"/>
          <c:order val="2"/>
          <c:tx>
            <c:strRef>
              <c:f>Chandra!$N$3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Chandra!$N$4:$N$6</c:f>
              <c:numCache>
                <c:formatCode>#,##0</c:formatCode>
                <c:ptCount val="3"/>
                <c:pt idx="0">
                  <c:v>5080425</c:v>
                </c:pt>
                <c:pt idx="1">
                  <c:v>3686901</c:v>
                </c:pt>
                <c:pt idx="2">
                  <c:v>3429738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013696"/>
        <c:axId val="178015232"/>
      </c:barChart>
      <c:dateAx>
        <c:axId val="1780136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015232"/>
        <c:crosses val="autoZero"/>
        <c:auto val="1"/>
        <c:lblOffset val="100"/>
        <c:baseTimeUnit val="months"/>
      </c:dateAx>
      <c:valAx>
        <c:axId val="1780152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8013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Chandra!$F$3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Chandra!$F$4:$F$6</c:f>
              <c:numCache>
                <c:formatCode>General</c:formatCode>
                <c:ptCount val="3"/>
                <c:pt idx="0">
                  <c:v>81</c:v>
                </c:pt>
                <c:pt idx="1">
                  <c:v>99</c:v>
                </c:pt>
                <c:pt idx="2">
                  <c:v>114</c:v>
                </c:pt>
              </c:numCache>
            </c:numRef>
          </c:val>
        </c:ser>
        <c:ser>
          <c:idx val="4"/>
          <c:order val="1"/>
          <c:tx>
            <c:strRef>
              <c:f>Chandra!$G$3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Chandra!$G$4:$G$6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Chandra!$H$3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Chandra!$B$4:$B$6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Chandra!$H$4:$H$6</c:f>
              <c:numCache>
                <c:formatCode>General</c:formatCode>
                <c:ptCount val="3"/>
                <c:pt idx="0">
                  <c:v>81</c:v>
                </c:pt>
                <c:pt idx="1">
                  <c:v>97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059520"/>
        <c:axId val="178143232"/>
      </c:barChart>
      <c:dateAx>
        <c:axId val="1780595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143232"/>
        <c:crosses val="autoZero"/>
        <c:auto val="1"/>
        <c:lblOffset val="100"/>
        <c:baseTimeUnit val="months"/>
      </c:dateAx>
      <c:valAx>
        <c:axId val="1781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059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Chandra!$O$3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Chandra!$O$4:$O$6</c:f>
              <c:numCache>
                <c:formatCode>General</c:formatCode>
                <c:ptCount val="3"/>
                <c:pt idx="0">
                  <c:v>50</c:v>
                </c:pt>
                <c:pt idx="1">
                  <c:v>42</c:v>
                </c:pt>
                <c:pt idx="2">
                  <c:v>37</c:v>
                </c:pt>
              </c:numCache>
            </c:numRef>
          </c:val>
        </c:ser>
        <c:ser>
          <c:idx val="4"/>
          <c:order val="1"/>
          <c:tx>
            <c:strRef>
              <c:f>Chandra!$P$3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Chandra!$P$4:$P$6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5"/>
          <c:order val="2"/>
          <c:tx>
            <c:strRef>
              <c:f>Chandra!$Q$3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Chandra!$K$4:$K$6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Chandra!$Q$4:$Q$6</c:f>
              <c:numCache>
                <c:formatCode>General</c:formatCode>
                <c:ptCount val="3"/>
                <c:pt idx="0">
                  <c:v>50</c:v>
                </c:pt>
                <c:pt idx="1">
                  <c:v>41</c:v>
                </c:pt>
                <c:pt idx="2">
                  <c:v>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187264"/>
        <c:axId val="178189056"/>
      </c:barChart>
      <c:dateAx>
        <c:axId val="1781872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189056"/>
        <c:crosses val="autoZero"/>
        <c:auto val="1"/>
        <c:lblOffset val="100"/>
        <c:baseTimeUnit val="months"/>
      </c:dateAx>
      <c:valAx>
        <c:axId val="17818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18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Fahmi'!$C$3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Fahmi'!$C$4:$C$6</c:f>
              <c:numCache>
                <c:formatCode>#,##0</c:formatCode>
                <c:ptCount val="3"/>
                <c:pt idx="0">
                  <c:v>11774350</c:v>
                </c:pt>
                <c:pt idx="1">
                  <c:v>12374513</c:v>
                </c:pt>
                <c:pt idx="2">
                  <c:v>20044588</c:v>
                </c:pt>
              </c:numCache>
            </c:numRef>
          </c:val>
        </c:ser>
        <c:ser>
          <c:idx val="1"/>
          <c:order val="1"/>
          <c:tx>
            <c:strRef>
              <c:f>'Asep Fahmi'!$D$3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Fahmi'!$D$4:$D$6</c:f>
              <c:numCache>
                <c:formatCode>#,##0</c:formatCode>
                <c:ptCount val="3"/>
                <c:pt idx="0">
                  <c:v>3934350</c:v>
                </c:pt>
                <c:pt idx="1">
                  <c:v>3894188</c:v>
                </c:pt>
                <c:pt idx="2">
                  <c:v>4112588</c:v>
                </c:pt>
              </c:numCache>
            </c:numRef>
          </c:val>
        </c:ser>
        <c:ser>
          <c:idx val="2"/>
          <c:order val="2"/>
          <c:tx>
            <c:strRef>
              <c:f>'Asep Fahmi'!$E$3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Fahmi'!$E$4:$E$6</c:f>
              <c:numCache>
                <c:formatCode>#,##0</c:formatCode>
                <c:ptCount val="3"/>
                <c:pt idx="0">
                  <c:v>7840000</c:v>
                </c:pt>
                <c:pt idx="1">
                  <c:v>8480325</c:v>
                </c:pt>
                <c:pt idx="2">
                  <c:v>15932000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123328"/>
        <c:axId val="179124864"/>
      </c:barChart>
      <c:dateAx>
        <c:axId val="1791233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124864"/>
        <c:crosses val="autoZero"/>
        <c:auto val="1"/>
        <c:lblOffset val="100"/>
        <c:baseTimeUnit val="months"/>
      </c:dateAx>
      <c:valAx>
        <c:axId val="17912486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912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'Asep Fahmi'!$L$3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Fahmi'!$L$4:$L$6</c:f>
              <c:numCache>
                <c:formatCode>#,##0</c:formatCode>
                <c:ptCount val="3"/>
                <c:pt idx="0">
                  <c:v>2321813</c:v>
                </c:pt>
                <c:pt idx="1">
                  <c:v>4984613</c:v>
                </c:pt>
                <c:pt idx="2">
                  <c:v>22105738</c:v>
                </c:pt>
              </c:numCache>
            </c:numRef>
          </c:val>
        </c:ser>
        <c:ser>
          <c:idx val="1"/>
          <c:order val="1"/>
          <c:tx>
            <c:strRef>
              <c:f>'Asep Fahmi'!$M$3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Fahmi'!$M$4:$M$6</c:f>
              <c:numCache>
                <c:formatCode>#,##0</c:formatCode>
                <c:ptCount val="3"/>
                <c:pt idx="0">
                  <c:v>618713</c:v>
                </c:pt>
                <c:pt idx="1">
                  <c:v>651525</c:v>
                </c:pt>
                <c:pt idx="2">
                  <c:v>3430875</c:v>
                </c:pt>
              </c:numCache>
            </c:numRef>
          </c:val>
        </c:ser>
        <c:ser>
          <c:idx val="2"/>
          <c:order val="2"/>
          <c:tx>
            <c:strRef>
              <c:f>'Asep Fahmi'!$N$3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Fahmi'!$N$4:$N$6</c:f>
              <c:numCache>
                <c:formatCode>#,##0</c:formatCode>
                <c:ptCount val="3"/>
                <c:pt idx="0">
                  <c:v>1703100</c:v>
                </c:pt>
                <c:pt idx="1">
                  <c:v>4333088</c:v>
                </c:pt>
                <c:pt idx="2">
                  <c:v>18674863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849664"/>
        <c:axId val="178851200"/>
      </c:barChart>
      <c:dateAx>
        <c:axId val="1788496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851200"/>
        <c:crosses val="autoZero"/>
        <c:auto val="1"/>
        <c:lblOffset val="100"/>
        <c:baseTimeUnit val="months"/>
      </c:dateAx>
      <c:valAx>
        <c:axId val="1788512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884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Fahmi'!$F$3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Fahmi'!$F$4:$F$6</c:f>
              <c:numCache>
                <c:formatCode>General</c:formatCode>
                <c:ptCount val="3"/>
                <c:pt idx="0">
                  <c:v>117</c:v>
                </c:pt>
                <c:pt idx="1">
                  <c:v>117</c:v>
                </c:pt>
                <c:pt idx="2">
                  <c:v>182</c:v>
                </c:pt>
              </c:numCache>
            </c:numRef>
          </c:val>
        </c:ser>
        <c:ser>
          <c:idx val="4"/>
          <c:order val="1"/>
          <c:tx>
            <c:strRef>
              <c:f>'Asep Fahmi'!$G$3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Fahmi'!$G$4:$G$6</c:f>
              <c:numCache>
                <c:formatCode>General</c:formatCode>
                <c:ptCount val="3"/>
                <c:pt idx="0">
                  <c:v>40</c:v>
                </c:pt>
                <c:pt idx="1">
                  <c:v>39</c:v>
                </c:pt>
                <c:pt idx="2">
                  <c:v>35</c:v>
                </c:pt>
              </c:numCache>
            </c:numRef>
          </c:val>
        </c:ser>
        <c:ser>
          <c:idx val="5"/>
          <c:order val="2"/>
          <c:tx>
            <c:strRef>
              <c:f>'Asep Fahmi'!$H$3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Fahmi'!$B$4:$B$6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'Asep Fahmi'!$H$4:$H$6</c:f>
              <c:numCache>
                <c:formatCode>General</c:formatCode>
                <c:ptCount val="3"/>
                <c:pt idx="0">
                  <c:v>77</c:v>
                </c:pt>
                <c:pt idx="1">
                  <c:v>78</c:v>
                </c:pt>
                <c:pt idx="2">
                  <c:v>147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887296"/>
        <c:axId val="178901376"/>
      </c:barChart>
      <c:dateAx>
        <c:axId val="1788872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901376"/>
        <c:crosses val="autoZero"/>
        <c:auto val="1"/>
        <c:lblOffset val="100"/>
        <c:baseTimeUnit val="months"/>
      </c:dateAx>
      <c:valAx>
        <c:axId val="17890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887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Bandros!$F$3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Bandros!$F$4:$F$6</c:f>
              <c:numCache>
                <c:formatCode>#,##0</c:formatCode>
                <c:ptCount val="3"/>
                <c:pt idx="0">
                  <c:v>1193</c:v>
                </c:pt>
                <c:pt idx="1">
                  <c:v>1460</c:v>
                </c:pt>
                <c:pt idx="2">
                  <c:v>1652</c:v>
                </c:pt>
              </c:numCache>
            </c:numRef>
          </c:val>
        </c:ser>
        <c:ser>
          <c:idx val="4"/>
          <c:order val="1"/>
          <c:tx>
            <c:strRef>
              <c:f>Bandros!$G$3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Bandros!$G$4:$G$6</c:f>
              <c:numCache>
                <c:formatCode>General</c:formatCode>
                <c:ptCount val="3"/>
                <c:pt idx="0">
                  <c:v>76</c:v>
                </c:pt>
                <c:pt idx="1">
                  <c:v>108</c:v>
                </c:pt>
                <c:pt idx="2">
                  <c:v>91</c:v>
                </c:pt>
              </c:numCache>
            </c:numRef>
          </c:val>
        </c:ser>
        <c:ser>
          <c:idx val="5"/>
          <c:order val="2"/>
          <c:tx>
            <c:strRef>
              <c:f>Bandros!$H$3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Bandros!$B$4:$B$6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Bandros!$H$4:$H$6</c:f>
              <c:numCache>
                <c:formatCode>#,##0</c:formatCode>
                <c:ptCount val="3"/>
                <c:pt idx="0">
                  <c:v>1117</c:v>
                </c:pt>
                <c:pt idx="1">
                  <c:v>1352</c:v>
                </c:pt>
                <c:pt idx="2">
                  <c:v>1561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880704"/>
        <c:axId val="117882240"/>
      </c:barChart>
      <c:dateAx>
        <c:axId val="1178807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882240"/>
        <c:crosses val="autoZero"/>
        <c:auto val="1"/>
        <c:lblOffset val="100"/>
        <c:baseTimeUnit val="months"/>
      </c:dateAx>
      <c:valAx>
        <c:axId val="1178822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7880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'Asep Fahmi'!$O$3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Fahmi'!$O$4:$O$6</c:f>
              <c:numCache>
                <c:formatCode>General</c:formatCode>
                <c:ptCount val="3"/>
                <c:pt idx="0">
                  <c:v>24</c:v>
                </c:pt>
                <c:pt idx="1">
                  <c:v>47</c:v>
                </c:pt>
                <c:pt idx="2">
                  <c:v>197</c:v>
                </c:pt>
              </c:numCache>
            </c:numRef>
          </c:val>
        </c:ser>
        <c:ser>
          <c:idx val="4"/>
          <c:order val="1"/>
          <c:tx>
            <c:strRef>
              <c:f>'Asep Fahmi'!$P$3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Fahmi'!$P$4:$P$6</c:f>
              <c:numCache>
                <c:formatCode>General</c:formatCode>
                <c:ptCount val="3"/>
                <c:pt idx="0">
                  <c:v>5</c:v>
                </c:pt>
                <c:pt idx="1">
                  <c:v>12</c:v>
                </c:pt>
                <c:pt idx="2">
                  <c:v>23</c:v>
                </c:pt>
              </c:numCache>
            </c:numRef>
          </c:val>
        </c:ser>
        <c:ser>
          <c:idx val="5"/>
          <c:order val="2"/>
          <c:tx>
            <c:strRef>
              <c:f>'Asep Fahmi'!$Q$3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'Asep Fahmi'!$K$4:$K$6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'Asep Fahmi'!$Q$4:$Q$6</c:f>
              <c:numCache>
                <c:formatCode>General</c:formatCode>
                <c:ptCount val="3"/>
                <c:pt idx="0">
                  <c:v>19</c:v>
                </c:pt>
                <c:pt idx="1">
                  <c:v>35</c:v>
                </c:pt>
                <c:pt idx="2">
                  <c:v>174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006848"/>
        <c:axId val="179016832"/>
      </c:barChart>
      <c:dateAx>
        <c:axId val="17900684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016832"/>
        <c:crosses val="autoZero"/>
        <c:auto val="1"/>
        <c:lblOffset val="100"/>
        <c:baseTimeUnit val="months"/>
      </c:dateAx>
      <c:valAx>
        <c:axId val="17901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00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Takur!$C$3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Takur!$C$4:$C$6</c:f>
              <c:numCache>
                <c:formatCode>#,##0</c:formatCode>
                <c:ptCount val="3"/>
                <c:pt idx="0">
                  <c:v>8274875</c:v>
                </c:pt>
                <c:pt idx="1">
                  <c:v>6207250</c:v>
                </c:pt>
                <c:pt idx="2">
                  <c:v>25652025</c:v>
                </c:pt>
              </c:numCache>
            </c:numRef>
          </c:val>
        </c:ser>
        <c:ser>
          <c:idx val="1"/>
          <c:order val="1"/>
          <c:tx>
            <c:strRef>
              <c:f>Takur!$D$3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Takur!$D$4:$D$6</c:f>
              <c:numCache>
                <c:formatCode>#,##0</c:formatCode>
                <c:ptCount val="3"/>
                <c:pt idx="0">
                  <c:v>522113</c:v>
                </c:pt>
                <c:pt idx="1">
                  <c:v>286388</c:v>
                </c:pt>
                <c:pt idx="2">
                  <c:v>212013</c:v>
                </c:pt>
              </c:numCache>
            </c:numRef>
          </c:val>
        </c:ser>
        <c:ser>
          <c:idx val="2"/>
          <c:order val="2"/>
          <c:tx>
            <c:strRef>
              <c:f>Takur!$E$3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Takur!$E$4:$E$6</c:f>
              <c:numCache>
                <c:formatCode>#,##0</c:formatCode>
                <c:ptCount val="3"/>
                <c:pt idx="0">
                  <c:v>7752763</c:v>
                </c:pt>
                <c:pt idx="1">
                  <c:v>5920863</c:v>
                </c:pt>
                <c:pt idx="2">
                  <c:v>25440013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701824"/>
        <c:axId val="178703360"/>
      </c:barChart>
      <c:dateAx>
        <c:axId val="1787018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703360"/>
        <c:crosses val="autoZero"/>
        <c:auto val="1"/>
        <c:lblOffset val="100"/>
        <c:baseTimeUnit val="months"/>
      </c:dateAx>
      <c:valAx>
        <c:axId val="1787033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870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Takur!$L$3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Takur!$L$4:$L$6</c:f>
              <c:numCache>
                <c:formatCode>#,##0</c:formatCode>
                <c:ptCount val="3"/>
                <c:pt idx="0">
                  <c:v>58977188</c:v>
                </c:pt>
                <c:pt idx="1">
                  <c:v>34651225</c:v>
                </c:pt>
                <c:pt idx="2">
                  <c:v>16894588</c:v>
                </c:pt>
              </c:numCache>
            </c:numRef>
          </c:val>
        </c:ser>
        <c:ser>
          <c:idx val="1"/>
          <c:order val="1"/>
          <c:tx>
            <c:strRef>
              <c:f>Takur!$M$3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Takur!$M$4:$M$6</c:f>
              <c:numCache>
                <c:formatCode>#,##0</c:formatCode>
                <c:ptCount val="3"/>
                <c:pt idx="0">
                  <c:v>3908800</c:v>
                </c:pt>
                <c:pt idx="1">
                  <c:v>2313675</c:v>
                </c:pt>
                <c:pt idx="2">
                  <c:v>2111025</c:v>
                </c:pt>
              </c:numCache>
            </c:numRef>
          </c:val>
        </c:ser>
        <c:ser>
          <c:idx val="2"/>
          <c:order val="2"/>
          <c:tx>
            <c:strRef>
              <c:f>Takur!$N$3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Takur!$N$4:$N$6</c:f>
              <c:numCache>
                <c:formatCode>#,##0</c:formatCode>
                <c:ptCount val="3"/>
                <c:pt idx="0">
                  <c:v>55068388</c:v>
                </c:pt>
                <c:pt idx="1">
                  <c:v>32337550</c:v>
                </c:pt>
                <c:pt idx="2">
                  <c:v>14783563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5851776"/>
        <c:axId val="175869952"/>
      </c:barChart>
      <c:dateAx>
        <c:axId val="1758517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5869952"/>
        <c:crosses val="autoZero"/>
        <c:auto val="1"/>
        <c:lblOffset val="100"/>
        <c:baseTimeUnit val="months"/>
      </c:dateAx>
      <c:valAx>
        <c:axId val="17586995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5851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Takur!$F$3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Takur!$F$4:$F$6</c:f>
              <c:numCache>
                <c:formatCode>General</c:formatCode>
                <c:ptCount val="3"/>
                <c:pt idx="0">
                  <c:v>92</c:v>
                </c:pt>
                <c:pt idx="1">
                  <c:v>67</c:v>
                </c:pt>
                <c:pt idx="2">
                  <c:v>362</c:v>
                </c:pt>
              </c:numCache>
            </c:numRef>
          </c:val>
        </c:ser>
        <c:ser>
          <c:idx val="4"/>
          <c:order val="1"/>
          <c:tx>
            <c:strRef>
              <c:f>Takur!$G$3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Takur!$G$4:$G$6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5"/>
          <c:order val="2"/>
          <c:tx>
            <c:strRef>
              <c:f>Takur!$H$3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Takur!$B$4:$B$6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Takur!$H$4:$H$6</c:f>
              <c:numCache>
                <c:formatCode>General</c:formatCode>
                <c:ptCount val="3"/>
                <c:pt idx="0">
                  <c:v>87</c:v>
                </c:pt>
                <c:pt idx="1">
                  <c:v>63</c:v>
                </c:pt>
                <c:pt idx="2">
                  <c:v>360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055616"/>
        <c:axId val="179069696"/>
      </c:barChart>
      <c:dateAx>
        <c:axId val="17905561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069696"/>
        <c:crosses val="autoZero"/>
        <c:auto val="1"/>
        <c:lblOffset val="100"/>
        <c:baseTimeUnit val="months"/>
      </c:dateAx>
      <c:valAx>
        <c:axId val="17906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055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Takur!$O$3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Takur!$O$4:$O$6</c:f>
              <c:numCache>
                <c:formatCode>General</c:formatCode>
                <c:ptCount val="3"/>
                <c:pt idx="0">
                  <c:v>604</c:v>
                </c:pt>
                <c:pt idx="1">
                  <c:v>326</c:v>
                </c:pt>
                <c:pt idx="2">
                  <c:v>163</c:v>
                </c:pt>
              </c:numCache>
            </c:numRef>
          </c:val>
        </c:ser>
        <c:ser>
          <c:idx val="4"/>
          <c:order val="1"/>
          <c:tx>
            <c:strRef>
              <c:f>Takur!$P$3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Takur!$P$4:$P$6</c:f>
              <c:numCache>
                <c:formatCode>General</c:formatCode>
                <c:ptCount val="3"/>
                <c:pt idx="0">
                  <c:v>35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</c:ser>
        <c:ser>
          <c:idx val="5"/>
          <c:order val="2"/>
          <c:tx>
            <c:strRef>
              <c:f>Takur!$Q$3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Takur!$K$4:$K$6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Takur!$Q$4:$Q$6</c:f>
              <c:numCache>
                <c:formatCode>General</c:formatCode>
                <c:ptCount val="3"/>
                <c:pt idx="0">
                  <c:v>569</c:v>
                </c:pt>
                <c:pt idx="1">
                  <c:v>305</c:v>
                </c:pt>
                <c:pt idx="2">
                  <c:v>144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437568"/>
        <c:axId val="179439104"/>
      </c:barChart>
      <c:dateAx>
        <c:axId val="17943756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439104"/>
        <c:crosses val="autoZero"/>
        <c:auto val="1"/>
        <c:lblOffset val="100"/>
        <c:baseTimeUnit val="months"/>
      </c:dateAx>
      <c:valAx>
        <c:axId val="17943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43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Meki!$C$3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Meki!$C$4:$C$6</c:f>
              <c:numCache>
                <c:formatCode>#,##0</c:formatCode>
                <c:ptCount val="3"/>
                <c:pt idx="0">
                  <c:v>10870913</c:v>
                </c:pt>
                <c:pt idx="1">
                  <c:v>15202600</c:v>
                </c:pt>
                <c:pt idx="2">
                  <c:v>21359975</c:v>
                </c:pt>
              </c:numCache>
            </c:numRef>
          </c:val>
        </c:ser>
        <c:ser>
          <c:idx val="1"/>
          <c:order val="1"/>
          <c:tx>
            <c:strRef>
              <c:f>Meki!$D$3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Meki!$D$4:$D$6</c:f>
              <c:numCache>
                <c:formatCode>#,##0</c:formatCode>
                <c:ptCount val="3"/>
                <c:pt idx="0">
                  <c:v>3240738</c:v>
                </c:pt>
                <c:pt idx="1">
                  <c:v>4216374</c:v>
                </c:pt>
                <c:pt idx="2">
                  <c:v>4136475</c:v>
                </c:pt>
              </c:numCache>
            </c:numRef>
          </c:val>
        </c:ser>
        <c:ser>
          <c:idx val="2"/>
          <c:order val="2"/>
          <c:tx>
            <c:strRef>
              <c:f>Meki!$E$3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Meki!$E$4:$E$6</c:f>
              <c:numCache>
                <c:formatCode>#,##0</c:formatCode>
                <c:ptCount val="3"/>
                <c:pt idx="0">
                  <c:v>7630175</c:v>
                </c:pt>
                <c:pt idx="1">
                  <c:v>10986227</c:v>
                </c:pt>
                <c:pt idx="2">
                  <c:v>17223500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218304"/>
        <c:axId val="179219840"/>
      </c:barChart>
      <c:dateAx>
        <c:axId val="17921830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219840"/>
        <c:crosses val="autoZero"/>
        <c:auto val="1"/>
        <c:lblOffset val="100"/>
        <c:baseTimeUnit val="months"/>
      </c:dateAx>
      <c:valAx>
        <c:axId val="1792198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9218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Meki!$L$3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Meki!$L$4:$L$6</c:f>
              <c:numCache>
                <c:formatCode>#,##0</c:formatCode>
                <c:ptCount val="3"/>
                <c:pt idx="0">
                  <c:v>1865938</c:v>
                </c:pt>
                <c:pt idx="1">
                  <c:v>5433050</c:v>
                </c:pt>
                <c:pt idx="2">
                  <c:v>10105288</c:v>
                </c:pt>
              </c:numCache>
            </c:numRef>
          </c:val>
        </c:ser>
        <c:ser>
          <c:idx val="1"/>
          <c:order val="1"/>
          <c:tx>
            <c:strRef>
              <c:f>Meki!$M$3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Meki!$M$4:$M$6</c:f>
              <c:numCache>
                <c:formatCode>#,##0</c:formatCode>
                <c:ptCount val="3"/>
                <c:pt idx="0">
                  <c:v>322438</c:v>
                </c:pt>
                <c:pt idx="1">
                  <c:v>454913</c:v>
                </c:pt>
                <c:pt idx="2">
                  <c:v>2483425</c:v>
                </c:pt>
              </c:numCache>
            </c:numRef>
          </c:val>
        </c:ser>
        <c:ser>
          <c:idx val="2"/>
          <c:order val="2"/>
          <c:tx>
            <c:strRef>
              <c:f>Meki!$N$3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Meki!$N$4:$N$6</c:f>
              <c:numCache>
                <c:formatCode>#,##0</c:formatCode>
                <c:ptCount val="3"/>
                <c:pt idx="0">
                  <c:v>1543500</c:v>
                </c:pt>
                <c:pt idx="1">
                  <c:v>4978138</c:v>
                </c:pt>
                <c:pt idx="2">
                  <c:v>7621863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272320"/>
        <c:axId val="179278208"/>
      </c:barChart>
      <c:dateAx>
        <c:axId val="17927232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278208"/>
        <c:crosses val="autoZero"/>
        <c:auto val="1"/>
        <c:lblOffset val="100"/>
        <c:baseTimeUnit val="months"/>
      </c:dateAx>
      <c:valAx>
        <c:axId val="1792782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927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25065616797898"/>
          <c:y val="0.12205161854768157"/>
          <c:w val="0.16630489938757656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Meki!$F$3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Meki!$F$4:$F$6</c:f>
              <c:numCache>
                <c:formatCode>General</c:formatCode>
                <c:ptCount val="3"/>
                <c:pt idx="0">
                  <c:v>112</c:v>
                </c:pt>
                <c:pt idx="1">
                  <c:v>145</c:v>
                </c:pt>
                <c:pt idx="2">
                  <c:v>214</c:v>
                </c:pt>
              </c:numCache>
            </c:numRef>
          </c:val>
        </c:ser>
        <c:ser>
          <c:idx val="4"/>
          <c:order val="1"/>
          <c:tx>
            <c:strRef>
              <c:f>Meki!$G$3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Meki!$G$4:$G$6</c:f>
              <c:numCache>
                <c:formatCode>General</c:formatCode>
                <c:ptCount val="3"/>
                <c:pt idx="0">
                  <c:v>33</c:v>
                </c:pt>
                <c:pt idx="1">
                  <c:v>19</c:v>
                </c:pt>
                <c:pt idx="2">
                  <c:v>40</c:v>
                </c:pt>
              </c:numCache>
            </c:numRef>
          </c:val>
        </c:ser>
        <c:ser>
          <c:idx val="5"/>
          <c:order val="2"/>
          <c:tx>
            <c:strRef>
              <c:f>Meki!$H$3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Meki!$B$4:$B$6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Meki!$H$4:$H$6</c:f>
              <c:numCache>
                <c:formatCode>General</c:formatCode>
                <c:ptCount val="3"/>
                <c:pt idx="0">
                  <c:v>79</c:v>
                </c:pt>
                <c:pt idx="1">
                  <c:v>126</c:v>
                </c:pt>
                <c:pt idx="2">
                  <c:v>174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318144"/>
        <c:axId val="179319936"/>
      </c:barChart>
      <c:dateAx>
        <c:axId val="17931814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319936"/>
        <c:crosses val="autoZero"/>
        <c:auto val="1"/>
        <c:lblOffset val="100"/>
        <c:baseTimeUnit val="months"/>
      </c:dateAx>
      <c:valAx>
        <c:axId val="17931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31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Meki!$O$3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Meki!$O$4:$O$6</c:f>
              <c:numCache>
                <c:formatCode>General</c:formatCode>
                <c:ptCount val="3"/>
                <c:pt idx="0">
                  <c:v>18</c:v>
                </c:pt>
                <c:pt idx="1">
                  <c:v>52</c:v>
                </c:pt>
                <c:pt idx="2">
                  <c:v>88</c:v>
                </c:pt>
              </c:numCache>
            </c:numRef>
          </c:val>
        </c:ser>
        <c:ser>
          <c:idx val="4"/>
          <c:order val="1"/>
          <c:tx>
            <c:strRef>
              <c:f>Meki!$P$3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Meki!$P$4:$P$6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21</c:v>
                </c:pt>
              </c:numCache>
            </c:numRef>
          </c:val>
        </c:ser>
        <c:ser>
          <c:idx val="5"/>
          <c:order val="2"/>
          <c:tx>
            <c:strRef>
              <c:f>Meki!$Q$3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Meki!$K$4:$K$6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Meki!$Q$4:$Q$6</c:f>
              <c:numCache>
                <c:formatCode>General</c:formatCode>
                <c:ptCount val="3"/>
                <c:pt idx="0">
                  <c:v>15</c:v>
                </c:pt>
                <c:pt idx="1">
                  <c:v>48</c:v>
                </c:pt>
                <c:pt idx="2">
                  <c:v>67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364224"/>
        <c:axId val="179365760"/>
      </c:barChart>
      <c:dateAx>
        <c:axId val="1793642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365760"/>
        <c:crosses val="autoZero"/>
        <c:auto val="1"/>
        <c:lblOffset val="100"/>
        <c:baseTimeUnit val="months"/>
      </c:dateAx>
      <c:valAx>
        <c:axId val="17936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364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'Mulana R'!$C$3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R'!$C$4:$C$6</c:f>
              <c:numCache>
                <c:formatCode>#,##0</c:formatCode>
                <c:ptCount val="3"/>
                <c:pt idx="0">
                  <c:v>7665088</c:v>
                </c:pt>
                <c:pt idx="1">
                  <c:v>6741088</c:v>
                </c:pt>
                <c:pt idx="2">
                  <c:v>10182025</c:v>
                </c:pt>
              </c:numCache>
            </c:numRef>
          </c:val>
        </c:ser>
        <c:ser>
          <c:idx val="1"/>
          <c:order val="1"/>
          <c:tx>
            <c:strRef>
              <c:f>'Mulana R'!$D$3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R'!$D$4:$D$6</c:f>
              <c:numCache>
                <c:formatCode>#,##0</c:formatCode>
                <c:ptCount val="3"/>
                <c:pt idx="0">
                  <c:v>303625</c:v>
                </c:pt>
                <c:pt idx="1">
                  <c:v>541188</c:v>
                </c:pt>
                <c:pt idx="2">
                  <c:v>729838</c:v>
                </c:pt>
              </c:numCache>
            </c:numRef>
          </c:val>
        </c:ser>
        <c:ser>
          <c:idx val="2"/>
          <c:order val="2"/>
          <c:tx>
            <c:strRef>
              <c:f>'Mulana R'!$E$3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R'!$E$4:$E$6</c:f>
              <c:numCache>
                <c:formatCode>#,##0</c:formatCode>
                <c:ptCount val="3"/>
                <c:pt idx="0">
                  <c:v>7361463</c:v>
                </c:pt>
                <c:pt idx="1">
                  <c:v>6199900</c:v>
                </c:pt>
                <c:pt idx="2">
                  <c:v>9452188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591424"/>
        <c:axId val="179597312"/>
      </c:barChart>
      <c:dateAx>
        <c:axId val="1795914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597312"/>
        <c:crosses val="autoZero"/>
        <c:auto val="1"/>
        <c:lblOffset val="100"/>
        <c:baseTimeUnit val="months"/>
      </c:dateAx>
      <c:valAx>
        <c:axId val="1795973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9591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Bandros!$O$3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Bandros!$O$4:$O$6</c:f>
              <c:numCache>
                <c:formatCode>#,##0</c:formatCode>
                <c:ptCount val="3"/>
                <c:pt idx="0">
                  <c:v>1173</c:v>
                </c:pt>
                <c:pt idx="1">
                  <c:v>1409</c:v>
                </c:pt>
                <c:pt idx="2">
                  <c:v>1595</c:v>
                </c:pt>
              </c:numCache>
            </c:numRef>
          </c:val>
        </c:ser>
        <c:ser>
          <c:idx val="4"/>
          <c:order val="1"/>
          <c:tx>
            <c:strRef>
              <c:f>Bandros!$P$3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Bandros!$P$4:$P$6</c:f>
              <c:numCache>
                <c:formatCode>General</c:formatCode>
                <c:ptCount val="3"/>
                <c:pt idx="0">
                  <c:v>114</c:v>
                </c:pt>
                <c:pt idx="1">
                  <c:v>108</c:v>
                </c:pt>
                <c:pt idx="2">
                  <c:v>164</c:v>
                </c:pt>
              </c:numCache>
            </c:numRef>
          </c:val>
        </c:ser>
        <c:ser>
          <c:idx val="5"/>
          <c:order val="2"/>
          <c:tx>
            <c:strRef>
              <c:f>Bandros!$Q$3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Bandros!$K$4:$K$6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Bandros!$Q$4:$Q$6</c:f>
              <c:numCache>
                <c:formatCode>#,##0</c:formatCode>
                <c:ptCount val="3"/>
                <c:pt idx="0">
                  <c:v>1059</c:v>
                </c:pt>
                <c:pt idx="1">
                  <c:v>1301</c:v>
                </c:pt>
                <c:pt idx="2">
                  <c:v>1431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922432"/>
        <c:axId val="117932416"/>
      </c:barChart>
      <c:dateAx>
        <c:axId val="1179224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932416"/>
        <c:crosses val="autoZero"/>
        <c:auto val="1"/>
        <c:lblOffset val="100"/>
        <c:baseTimeUnit val="months"/>
      </c:dateAx>
      <c:valAx>
        <c:axId val="1179324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792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'Mulana R'!$L$3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R'!$L$4:$L$6</c:f>
              <c:numCache>
                <c:formatCode>#,##0</c:formatCode>
                <c:ptCount val="3"/>
                <c:pt idx="0">
                  <c:v>8881338</c:v>
                </c:pt>
                <c:pt idx="1">
                  <c:v>17011050</c:v>
                </c:pt>
                <c:pt idx="2">
                  <c:v>18144350</c:v>
                </c:pt>
              </c:numCache>
            </c:numRef>
          </c:val>
        </c:ser>
        <c:ser>
          <c:idx val="1"/>
          <c:order val="1"/>
          <c:tx>
            <c:strRef>
              <c:f>'Mulana R'!$M$3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R'!$M$4:$M$6</c:f>
              <c:numCache>
                <c:formatCode>#,##0</c:formatCode>
                <c:ptCount val="3"/>
                <c:pt idx="0">
                  <c:v>710763</c:v>
                </c:pt>
                <c:pt idx="1">
                  <c:v>1139750</c:v>
                </c:pt>
                <c:pt idx="2">
                  <c:v>1775200</c:v>
                </c:pt>
              </c:numCache>
            </c:numRef>
          </c:val>
        </c:ser>
        <c:ser>
          <c:idx val="2"/>
          <c:order val="2"/>
          <c:tx>
            <c:strRef>
              <c:f>'Mulana R'!$N$3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R'!$N$4:$N$6</c:f>
              <c:numCache>
                <c:formatCode>#,##0</c:formatCode>
                <c:ptCount val="3"/>
                <c:pt idx="0">
                  <c:v>8170575</c:v>
                </c:pt>
                <c:pt idx="1">
                  <c:v>15871300</c:v>
                </c:pt>
                <c:pt idx="2">
                  <c:v>16369150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633152"/>
        <c:axId val="179647232"/>
      </c:barChart>
      <c:dateAx>
        <c:axId val="1796331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647232"/>
        <c:crosses val="autoZero"/>
        <c:auto val="1"/>
        <c:lblOffset val="100"/>
        <c:baseTimeUnit val="months"/>
      </c:dateAx>
      <c:valAx>
        <c:axId val="1796472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9633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02843394575686"/>
          <c:y val="0.14982939632545933"/>
          <c:w val="0.16630489938757656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'Mulana R'!$F$3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R'!$F$4:$F$6</c:f>
              <c:numCache>
                <c:formatCode>General</c:formatCode>
                <c:ptCount val="3"/>
                <c:pt idx="0">
                  <c:v>82</c:v>
                </c:pt>
                <c:pt idx="1">
                  <c:v>70</c:v>
                </c:pt>
                <c:pt idx="2">
                  <c:v>98</c:v>
                </c:pt>
              </c:numCache>
            </c:numRef>
          </c:val>
        </c:ser>
        <c:ser>
          <c:idx val="4"/>
          <c:order val="1"/>
          <c:tx>
            <c:strRef>
              <c:f>'Mulana R'!$G$3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R'!$G$4:$G$6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5"/>
          <c:order val="2"/>
          <c:tx>
            <c:strRef>
              <c:f>'Mulana R'!$H$3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'Mulana R'!$B$4:$B$6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'Mulana R'!$H$4:$H$6</c:f>
              <c:numCache>
                <c:formatCode>General</c:formatCode>
                <c:ptCount val="3"/>
                <c:pt idx="0">
                  <c:v>79</c:v>
                </c:pt>
                <c:pt idx="1">
                  <c:v>65</c:v>
                </c:pt>
                <c:pt idx="2">
                  <c:v>91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679232"/>
        <c:axId val="179680768"/>
      </c:barChart>
      <c:dateAx>
        <c:axId val="1796792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9680768"/>
        <c:crosses val="autoZero"/>
        <c:auto val="1"/>
        <c:lblOffset val="100"/>
        <c:baseTimeUnit val="months"/>
      </c:dateAx>
      <c:valAx>
        <c:axId val="17968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67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'Mulana R'!$O$3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R'!$O$4:$O$6</c:f>
              <c:numCache>
                <c:formatCode>General</c:formatCode>
                <c:ptCount val="3"/>
                <c:pt idx="0">
                  <c:v>85</c:v>
                </c:pt>
                <c:pt idx="1">
                  <c:v>162</c:v>
                </c:pt>
                <c:pt idx="2">
                  <c:v>172</c:v>
                </c:pt>
              </c:numCache>
            </c:numRef>
          </c:val>
        </c:ser>
        <c:ser>
          <c:idx val="4"/>
          <c:order val="1"/>
          <c:tx>
            <c:strRef>
              <c:f>'Mulana R'!$P$3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R'!$P$4:$P$6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16</c:v>
                </c:pt>
              </c:numCache>
            </c:numRef>
          </c:val>
        </c:ser>
        <c:ser>
          <c:idx val="5"/>
          <c:order val="2"/>
          <c:tx>
            <c:strRef>
              <c:f>'Mulana R'!$Q$3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'Mulana R'!$K$4:$K$6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'Mulana R'!$Q$4:$Q$6</c:f>
              <c:numCache>
                <c:formatCode>General</c:formatCode>
                <c:ptCount val="3"/>
                <c:pt idx="0">
                  <c:v>78</c:v>
                </c:pt>
                <c:pt idx="1">
                  <c:v>152</c:v>
                </c:pt>
                <c:pt idx="2">
                  <c:v>156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196096"/>
        <c:axId val="180197632"/>
      </c:barChart>
      <c:dateAx>
        <c:axId val="1801960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197632"/>
        <c:crosses val="autoZero"/>
        <c:auto val="1"/>
        <c:lblOffset val="100"/>
        <c:baseTimeUnit val="months"/>
      </c:dateAx>
      <c:valAx>
        <c:axId val="18019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9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Nillam!$C$3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Nillam!$C$4:$C$6</c:f>
              <c:numCache>
                <c:formatCode>#,##0</c:formatCode>
                <c:ptCount val="3"/>
                <c:pt idx="0">
                  <c:v>8763213</c:v>
                </c:pt>
                <c:pt idx="1">
                  <c:v>24105638</c:v>
                </c:pt>
                <c:pt idx="2">
                  <c:v>58634975</c:v>
                </c:pt>
              </c:numCache>
            </c:numRef>
          </c:val>
        </c:ser>
        <c:ser>
          <c:idx val="1"/>
          <c:order val="1"/>
          <c:tx>
            <c:strRef>
              <c:f>Nillam!$D$3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Nillam!$D$4:$D$6</c:f>
              <c:numCache>
                <c:formatCode>#,##0</c:formatCode>
                <c:ptCount val="3"/>
                <c:pt idx="0">
                  <c:v>1996925</c:v>
                </c:pt>
                <c:pt idx="1">
                  <c:v>5990682</c:v>
                </c:pt>
                <c:pt idx="2">
                  <c:v>10250100</c:v>
                </c:pt>
              </c:numCache>
            </c:numRef>
          </c:val>
        </c:ser>
        <c:ser>
          <c:idx val="2"/>
          <c:order val="2"/>
          <c:tx>
            <c:strRef>
              <c:f>Nillam!$E$3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Nillam!$E$4:$E$6</c:f>
              <c:numCache>
                <c:formatCode>#,##0</c:formatCode>
                <c:ptCount val="3"/>
                <c:pt idx="0">
                  <c:v>6766288</c:v>
                </c:pt>
                <c:pt idx="1">
                  <c:v>18114956</c:v>
                </c:pt>
                <c:pt idx="2">
                  <c:v>48384875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009600"/>
        <c:axId val="180015488"/>
      </c:barChart>
      <c:dateAx>
        <c:axId val="1800096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015488"/>
        <c:crosses val="autoZero"/>
        <c:auto val="1"/>
        <c:lblOffset val="100"/>
        <c:baseTimeUnit val="months"/>
      </c:dateAx>
      <c:valAx>
        <c:axId val="1800154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000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Nillam!$L$3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Nillam!$L$4:$L$6</c:f>
              <c:numCache>
                <c:formatCode>#,##0</c:formatCode>
                <c:ptCount val="3"/>
                <c:pt idx="0">
                  <c:v>4231325</c:v>
                </c:pt>
                <c:pt idx="1">
                  <c:v>18168063</c:v>
                </c:pt>
                <c:pt idx="2">
                  <c:v>67412888</c:v>
                </c:pt>
              </c:numCache>
            </c:numRef>
          </c:val>
        </c:ser>
        <c:ser>
          <c:idx val="1"/>
          <c:order val="1"/>
          <c:tx>
            <c:strRef>
              <c:f>Nillam!$M$3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Nillam!$M$4:$M$6</c:f>
              <c:numCache>
                <c:formatCode>#,##0</c:formatCode>
                <c:ptCount val="3"/>
                <c:pt idx="0">
                  <c:v>1063563</c:v>
                </c:pt>
                <c:pt idx="1">
                  <c:v>676638</c:v>
                </c:pt>
                <c:pt idx="2">
                  <c:v>12475400</c:v>
                </c:pt>
              </c:numCache>
            </c:numRef>
          </c:val>
        </c:ser>
        <c:ser>
          <c:idx val="2"/>
          <c:order val="2"/>
          <c:tx>
            <c:strRef>
              <c:f>Nillam!$N$3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Nillam!$N$4:$N$6</c:f>
              <c:numCache>
                <c:formatCode>#,##0</c:formatCode>
                <c:ptCount val="3"/>
                <c:pt idx="0">
                  <c:v>3167763</c:v>
                </c:pt>
                <c:pt idx="1">
                  <c:v>17491425</c:v>
                </c:pt>
                <c:pt idx="2">
                  <c:v>54937488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055424"/>
        <c:axId val="180065408"/>
      </c:barChart>
      <c:dateAx>
        <c:axId val="18005542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065408"/>
        <c:crosses val="autoZero"/>
        <c:auto val="1"/>
        <c:lblOffset val="100"/>
        <c:baseTimeUnit val="months"/>
      </c:dateAx>
      <c:valAx>
        <c:axId val="180065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0055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Nillam!$F$3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Nillam!$F$4:$F$6</c:f>
              <c:numCache>
                <c:formatCode>General</c:formatCode>
                <c:ptCount val="3"/>
                <c:pt idx="0">
                  <c:v>89</c:v>
                </c:pt>
                <c:pt idx="1">
                  <c:v>217</c:v>
                </c:pt>
                <c:pt idx="2">
                  <c:v>534</c:v>
                </c:pt>
              </c:numCache>
            </c:numRef>
          </c:val>
        </c:ser>
        <c:ser>
          <c:idx val="4"/>
          <c:order val="1"/>
          <c:tx>
            <c:strRef>
              <c:f>Nillam!$G$3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Nillam!$G$4:$G$6</c:f>
              <c:numCache>
                <c:formatCode>General</c:formatCode>
                <c:ptCount val="3"/>
                <c:pt idx="0">
                  <c:v>24</c:v>
                </c:pt>
                <c:pt idx="1">
                  <c:v>40</c:v>
                </c:pt>
                <c:pt idx="2">
                  <c:v>92</c:v>
                </c:pt>
              </c:numCache>
            </c:numRef>
          </c:val>
        </c:ser>
        <c:ser>
          <c:idx val="5"/>
          <c:order val="2"/>
          <c:tx>
            <c:strRef>
              <c:f>Nillam!$H$3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Nillam!$B$4:$B$6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Nillam!$H$4:$H$6</c:f>
              <c:numCache>
                <c:formatCode>General</c:formatCode>
                <c:ptCount val="3"/>
                <c:pt idx="0">
                  <c:v>65</c:v>
                </c:pt>
                <c:pt idx="1">
                  <c:v>177</c:v>
                </c:pt>
                <c:pt idx="2">
                  <c:v>442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109696"/>
        <c:axId val="180111232"/>
      </c:barChart>
      <c:dateAx>
        <c:axId val="18010969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111232"/>
        <c:crosses val="autoZero"/>
        <c:auto val="1"/>
        <c:lblOffset val="100"/>
        <c:baseTimeUnit val="months"/>
      </c:dateAx>
      <c:valAx>
        <c:axId val="18011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9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Nillam!$O$3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Nillam!$O$4:$O$6</c:f>
              <c:numCache>
                <c:formatCode>General</c:formatCode>
                <c:ptCount val="3"/>
                <c:pt idx="0">
                  <c:v>41</c:v>
                </c:pt>
                <c:pt idx="1">
                  <c:v>166</c:v>
                </c:pt>
                <c:pt idx="2">
                  <c:v>610</c:v>
                </c:pt>
              </c:numCache>
            </c:numRef>
          </c:val>
        </c:ser>
        <c:ser>
          <c:idx val="4"/>
          <c:order val="1"/>
          <c:tx>
            <c:strRef>
              <c:f>Nillam!$P$3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Nillam!$P$4:$P$6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112</c:v>
                </c:pt>
              </c:numCache>
            </c:numRef>
          </c:val>
        </c:ser>
        <c:ser>
          <c:idx val="5"/>
          <c:order val="2"/>
          <c:tx>
            <c:strRef>
              <c:f>Nillam!$Q$3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Nillam!$K$4:$K$6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Nillam!$Q$4:$Q$6</c:f>
              <c:numCache>
                <c:formatCode>General</c:formatCode>
                <c:ptCount val="3"/>
                <c:pt idx="0">
                  <c:v>35</c:v>
                </c:pt>
                <c:pt idx="1">
                  <c:v>159</c:v>
                </c:pt>
                <c:pt idx="2">
                  <c:v>498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143232"/>
        <c:axId val="180144768"/>
      </c:barChart>
      <c:dateAx>
        <c:axId val="18014323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144768"/>
        <c:crosses val="autoZero"/>
        <c:auto val="1"/>
        <c:lblOffset val="100"/>
        <c:baseTimeUnit val="months"/>
      </c:dateAx>
      <c:valAx>
        <c:axId val="18014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4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'Agus And'!$C$3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And'!$C$4:$C$6</c:f>
              <c:numCache>
                <c:formatCode>#,##0</c:formatCode>
                <c:ptCount val="3"/>
                <c:pt idx="0">
                  <c:v>7707875</c:v>
                </c:pt>
                <c:pt idx="1">
                  <c:v>18960988</c:v>
                </c:pt>
                <c:pt idx="2">
                  <c:v>44765175</c:v>
                </c:pt>
              </c:numCache>
            </c:numRef>
          </c:val>
        </c:ser>
        <c:ser>
          <c:idx val="1"/>
          <c:order val="1"/>
          <c:tx>
            <c:strRef>
              <c:f>'Agus And'!$D$3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And'!$D$4:$D$6</c:f>
              <c:numCache>
                <c:formatCode>#,##0</c:formatCode>
                <c:ptCount val="3"/>
                <c:pt idx="0">
                  <c:v>1706863</c:v>
                </c:pt>
                <c:pt idx="1">
                  <c:v>3541125</c:v>
                </c:pt>
                <c:pt idx="2">
                  <c:v>7233100</c:v>
                </c:pt>
              </c:numCache>
            </c:numRef>
          </c:val>
        </c:ser>
        <c:ser>
          <c:idx val="2"/>
          <c:order val="2"/>
          <c:tx>
            <c:strRef>
              <c:f>'Agus And'!$E$3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And'!$E$4:$E$6</c:f>
              <c:numCache>
                <c:formatCode>#,##0</c:formatCode>
                <c:ptCount val="3"/>
                <c:pt idx="0">
                  <c:v>6001013</c:v>
                </c:pt>
                <c:pt idx="1">
                  <c:v>15419863</c:v>
                </c:pt>
                <c:pt idx="2">
                  <c:v>37532075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263552"/>
        <c:axId val="180285824"/>
      </c:barChart>
      <c:dateAx>
        <c:axId val="18026355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285824"/>
        <c:crosses val="autoZero"/>
        <c:auto val="1"/>
        <c:lblOffset val="100"/>
        <c:baseTimeUnit val="months"/>
      </c:dateAx>
      <c:valAx>
        <c:axId val="1802858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0263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'Agus And'!$L$3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And'!$L$4:$L$6</c:f>
              <c:numCache>
                <c:formatCode>#,##0</c:formatCode>
                <c:ptCount val="3"/>
                <c:pt idx="0">
                  <c:v>3721813</c:v>
                </c:pt>
                <c:pt idx="1">
                  <c:v>3089713</c:v>
                </c:pt>
                <c:pt idx="2">
                  <c:v>14647938</c:v>
                </c:pt>
              </c:numCache>
            </c:numRef>
          </c:val>
        </c:ser>
        <c:ser>
          <c:idx val="1"/>
          <c:order val="1"/>
          <c:tx>
            <c:strRef>
              <c:f>'Agus And'!$M$3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And'!$M$4:$M$6</c:f>
              <c:numCache>
                <c:formatCode>#,##0</c:formatCode>
                <c:ptCount val="3"/>
                <c:pt idx="0">
                  <c:v>1027950</c:v>
                </c:pt>
                <c:pt idx="1">
                  <c:v>579425</c:v>
                </c:pt>
                <c:pt idx="2">
                  <c:v>2265975</c:v>
                </c:pt>
              </c:numCache>
            </c:numRef>
          </c:val>
        </c:ser>
        <c:ser>
          <c:idx val="2"/>
          <c:order val="2"/>
          <c:tx>
            <c:strRef>
              <c:f>'Agus And'!$N$3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And'!$N$4:$N$6</c:f>
              <c:numCache>
                <c:formatCode>#,##0</c:formatCode>
                <c:ptCount val="3"/>
                <c:pt idx="0">
                  <c:v>2693863</c:v>
                </c:pt>
                <c:pt idx="1">
                  <c:v>2510288</c:v>
                </c:pt>
                <c:pt idx="2">
                  <c:v>12381963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7237376"/>
        <c:axId val="177251456"/>
      </c:barChart>
      <c:dateAx>
        <c:axId val="177237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7251456"/>
        <c:crosses val="autoZero"/>
        <c:auto val="1"/>
        <c:lblOffset val="100"/>
        <c:baseTimeUnit val="months"/>
      </c:dateAx>
      <c:valAx>
        <c:axId val="1772514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7723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'Agus And'!$F$3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And'!$F$4:$F$6</c:f>
              <c:numCache>
                <c:formatCode>General</c:formatCode>
                <c:ptCount val="3"/>
                <c:pt idx="0">
                  <c:v>78</c:v>
                </c:pt>
                <c:pt idx="1">
                  <c:v>187</c:v>
                </c:pt>
                <c:pt idx="2">
                  <c:v>425</c:v>
                </c:pt>
              </c:numCache>
            </c:numRef>
          </c:val>
        </c:ser>
        <c:ser>
          <c:idx val="4"/>
          <c:order val="1"/>
          <c:tx>
            <c:strRef>
              <c:f>'Agus And'!$G$3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And'!$G$4:$G$6</c:f>
              <c:numCache>
                <c:formatCode>General</c:formatCode>
                <c:ptCount val="3"/>
                <c:pt idx="0">
                  <c:v>30</c:v>
                </c:pt>
                <c:pt idx="1">
                  <c:v>39</c:v>
                </c:pt>
                <c:pt idx="2">
                  <c:v>87</c:v>
                </c:pt>
              </c:numCache>
            </c:numRef>
          </c:val>
        </c:ser>
        <c:ser>
          <c:idx val="5"/>
          <c:order val="2"/>
          <c:tx>
            <c:strRef>
              <c:f>'Agus And'!$H$3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'Agus And'!$B$4:$B$6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'Agus And'!$H$4:$H$6</c:f>
              <c:numCache>
                <c:formatCode>General</c:formatCode>
                <c:ptCount val="3"/>
                <c:pt idx="0">
                  <c:v>48</c:v>
                </c:pt>
                <c:pt idx="1">
                  <c:v>148</c:v>
                </c:pt>
                <c:pt idx="2">
                  <c:v>338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811264"/>
        <c:axId val="178812800"/>
      </c:barChart>
      <c:dateAx>
        <c:axId val="17881126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78812800"/>
        <c:crosses val="autoZero"/>
        <c:auto val="1"/>
        <c:lblOffset val="100"/>
        <c:baseTimeUnit val="months"/>
      </c:dateAx>
      <c:valAx>
        <c:axId val="17881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81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Taufik!$C$3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Taufik!$C$4:$C$8</c:f>
              <c:numCache>
                <c:formatCode>#,##0</c:formatCode>
                <c:ptCount val="5"/>
                <c:pt idx="0">
                  <c:v>46548688</c:v>
                </c:pt>
                <c:pt idx="1">
                  <c:v>67877600</c:v>
                </c:pt>
                <c:pt idx="2">
                  <c:v>98514850</c:v>
                </c:pt>
                <c:pt idx="3">
                  <c:v>212941138</c:v>
                </c:pt>
              </c:numCache>
            </c:numRef>
          </c:val>
        </c:ser>
        <c:ser>
          <c:idx val="1"/>
          <c:order val="1"/>
          <c:tx>
            <c:strRef>
              <c:f>Taufik!$D$3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Taufik!$D$4:$D$8</c:f>
              <c:numCache>
                <c:formatCode>#,##0</c:formatCode>
                <c:ptCount val="5"/>
                <c:pt idx="0">
                  <c:v>9329075</c:v>
                </c:pt>
                <c:pt idx="1">
                  <c:v>9286688</c:v>
                </c:pt>
                <c:pt idx="2">
                  <c:v>16662013</c:v>
                </c:pt>
                <c:pt idx="3">
                  <c:v>35277776</c:v>
                </c:pt>
              </c:numCache>
            </c:numRef>
          </c:val>
        </c:ser>
        <c:ser>
          <c:idx val="2"/>
          <c:order val="2"/>
          <c:tx>
            <c:strRef>
              <c:f>Taufik!$E$3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Taufik!$B$4:$B$8</c:f>
              <c:numCache>
                <c:formatCode>mmm\-yy</c:formatCode>
                <c:ptCount val="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Taufik!$E$4:$E$8</c:f>
              <c:numCache>
                <c:formatCode>#,##0</c:formatCode>
                <c:ptCount val="5"/>
                <c:pt idx="0">
                  <c:v>37219613</c:v>
                </c:pt>
                <c:pt idx="1">
                  <c:v>58590913</c:v>
                </c:pt>
                <c:pt idx="2">
                  <c:v>81852838</c:v>
                </c:pt>
                <c:pt idx="3">
                  <c:v>177663364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547392"/>
        <c:axId val="117548928"/>
      </c:barChart>
      <c:dateAx>
        <c:axId val="1175473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17548928"/>
        <c:crosses val="autoZero"/>
        <c:auto val="1"/>
        <c:lblOffset val="100"/>
        <c:baseTimeUnit val="months"/>
      </c:dateAx>
      <c:valAx>
        <c:axId val="1175489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7547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Julmlah</a:t>
            </a:r>
            <a:r>
              <a:rPr lang="en-US" baseline="0"/>
              <a:t> jual 2018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'Agus And'!$O$3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And'!$O$4:$O$6</c:f>
              <c:numCache>
                <c:formatCode>General</c:formatCode>
                <c:ptCount val="3"/>
                <c:pt idx="0">
                  <c:v>39</c:v>
                </c:pt>
                <c:pt idx="1">
                  <c:v>25</c:v>
                </c:pt>
                <c:pt idx="2">
                  <c:v>132</c:v>
                </c:pt>
              </c:numCache>
            </c:numRef>
          </c:val>
        </c:ser>
        <c:ser>
          <c:idx val="4"/>
          <c:order val="1"/>
          <c:tx>
            <c:strRef>
              <c:f>'Agus And'!$P$3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And'!$P$4:$P$6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21</c:v>
                </c:pt>
              </c:numCache>
            </c:numRef>
          </c:val>
        </c:ser>
        <c:ser>
          <c:idx val="5"/>
          <c:order val="2"/>
          <c:tx>
            <c:strRef>
              <c:f>'Agus And'!$Q$3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'Agus And'!$K$4:$K$6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'Agus And'!$Q$4:$Q$6</c:f>
              <c:numCache>
                <c:formatCode>General</c:formatCode>
                <c:ptCount val="3"/>
                <c:pt idx="0">
                  <c:v>28</c:v>
                </c:pt>
                <c:pt idx="1">
                  <c:v>17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884608"/>
        <c:axId val="180886144"/>
      </c:barChart>
      <c:dateAx>
        <c:axId val="1808846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886144"/>
        <c:crosses val="autoZero"/>
        <c:auto val="1"/>
        <c:lblOffset val="100"/>
        <c:baseTimeUnit val="months"/>
      </c:dateAx>
      <c:valAx>
        <c:axId val="18088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88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Nilau</a:t>
            </a:r>
            <a:r>
              <a:rPr lang="en-US" baseline="0"/>
              <a:t> jual 2017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Ligart!$C$3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Ligart!$C$4:$C$6</c:f>
              <c:numCache>
                <c:formatCode>#,##0</c:formatCode>
                <c:ptCount val="3"/>
                <c:pt idx="0">
                  <c:v>7570588</c:v>
                </c:pt>
                <c:pt idx="1">
                  <c:v>19140800</c:v>
                </c:pt>
                <c:pt idx="2">
                  <c:v>28021525</c:v>
                </c:pt>
              </c:numCache>
            </c:numRef>
          </c:val>
        </c:ser>
        <c:ser>
          <c:idx val="1"/>
          <c:order val="1"/>
          <c:tx>
            <c:strRef>
              <c:f>Ligart!$D$3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Ligart!$D$4:$D$6</c:f>
              <c:numCache>
                <c:formatCode>#,##0</c:formatCode>
                <c:ptCount val="3"/>
                <c:pt idx="0">
                  <c:v>1740988</c:v>
                </c:pt>
                <c:pt idx="1">
                  <c:v>3000288</c:v>
                </c:pt>
                <c:pt idx="2">
                  <c:v>7889525</c:v>
                </c:pt>
              </c:numCache>
            </c:numRef>
          </c:val>
        </c:ser>
        <c:ser>
          <c:idx val="2"/>
          <c:order val="2"/>
          <c:tx>
            <c:strRef>
              <c:f>Ligart!$E$3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Ligart!$E$4:$E$6</c:f>
              <c:numCache>
                <c:formatCode>#,##0</c:formatCode>
                <c:ptCount val="3"/>
                <c:pt idx="0">
                  <c:v>5829600</c:v>
                </c:pt>
                <c:pt idx="1">
                  <c:v>16140513</c:v>
                </c:pt>
                <c:pt idx="2">
                  <c:v>20132000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726400"/>
        <c:axId val="180740480"/>
      </c:barChart>
      <c:dateAx>
        <c:axId val="1807264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740480"/>
        <c:crosses val="autoZero"/>
        <c:auto val="1"/>
        <c:lblOffset val="100"/>
        <c:baseTimeUnit val="months"/>
      </c:dateAx>
      <c:valAx>
        <c:axId val="180740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0726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Ligart!$F$3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Ligart!$F$4:$F$6</c:f>
              <c:numCache>
                <c:formatCode>General</c:formatCode>
                <c:ptCount val="3"/>
                <c:pt idx="0">
                  <c:v>73</c:v>
                </c:pt>
                <c:pt idx="1">
                  <c:v>178</c:v>
                </c:pt>
                <c:pt idx="2">
                  <c:v>271</c:v>
                </c:pt>
              </c:numCache>
            </c:numRef>
          </c:val>
        </c:ser>
        <c:ser>
          <c:idx val="4"/>
          <c:order val="1"/>
          <c:tx>
            <c:strRef>
              <c:f>Ligart!$G$3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Ligart!$G$4:$G$6</c:f>
              <c:numCache>
                <c:formatCode>General</c:formatCode>
                <c:ptCount val="3"/>
                <c:pt idx="0">
                  <c:v>17</c:v>
                </c:pt>
                <c:pt idx="1">
                  <c:v>28</c:v>
                </c:pt>
                <c:pt idx="2">
                  <c:v>76</c:v>
                </c:pt>
              </c:numCache>
            </c:numRef>
          </c:val>
        </c:ser>
        <c:ser>
          <c:idx val="5"/>
          <c:order val="2"/>
          <c:tx>
            <c:strRef>
              <c:f>Ligart!$H$3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Ligart!$B$4:$B$6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Ligart!$H$4:$H$6</c:f>
              <c:numCache>
                <c:formatCode>General</c:formatCode>
                <c:ptCount val="3"/>
                <c:pt idx="0">
                  <c:v>56</c:v>
                </c:pt>
                <c:pt idx="1">
                  <c:v>150</c:v>
                </c:pt>
                <c:pt idx="2">
                  <c:v>195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768128"/>
        <c:axId val="180774016"/>
      </c:barChart>
      <c:dateAx>
        <c:axId val="1807681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774016"/>
        <c:crosses val="autoZero"/>
        <c:auto val="1"/>
        <c:lblOffset val="100"/>
        <c:baseTimeUnit val="months"/>
      </c:dateAx>
      <c:valAx>
        <c:axId val="18077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768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Narnia!$C$3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Narnia!$C$4:$C$6</c:f>
              <c:numCache>
                <c:formatCode>#,##0</c:formatCode>
                <c:ptCount val="3"/>
                <c:pt idx="0">
                  <c:v>5935300</c:v>
                </c:pt>
                <c:pt idx="1">
                  <c:v>11766913</c:v>
                </c:pt>
                <c:pt idx="2">
                  <c:v>11307188</c:v>
                </c:pt>
              </c:numCache>
            </c:numRef>
          </c:val>
        </c:ser>
        <c:ser>
          <c:idx val="1"/>
          <c:order val="1"/>
          <c:tx>
            <c:strRef>
              <c:f>Narnia!$D$3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Narnia!$D$4:$D$6</c:f>
              <c:numCache>
                <c:formatCode>General</c:formatCode>
                <c:ptCount val="3"/>
                <c:pt idx="0" formatCode="#,##0">
                  <c:v>522200</c:v>
                </c:pt>
                <c:pt idx="1">
                  <c:v>0</c:v>
                </c:pt>
                <c:pt idx="2" formatCode="#,##0">
                  <c:v>342300</c:v>
                </c:pt>
              </c:numCache>
            </c:numRef>
          </c:val>
        </c:ser>
        <c:ser>
          <c:idx val="2"/>
          <c:order val="2"/>
          <c:tx>
            <c:strRef>
              <c:f>Narnia!$E$3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Narnia!$E$4:$E$6</c:f>
              <c:numCache>
                <c:formatCode>#,##0</c:formatCode>
                <c:ptCount val="3"/>
                <c:pt idx="0">
                  <c:v>5413100</c:v>
                </c:pt>
                <c:pt idx="1">
                  <c:v>11766913</c:v>
                </c:pt>
                <c:pt idx="2">
                  <c:v>10964888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0971008"/>
        <c:axId val="180972544"/>
      </c:barChart>
      <c:dateAx>
        <c:axId val="1809710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0972544"/>
        <c:crosses val="autoZero"/>
        <c:auto val="1"/>
        <c:lblOffset val="100"/>
        <c:baseTimeUnit val="months"/>
      </c:dateAx>
      <c:valAx>
        <c:axId val="1809725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0971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Narnia!$L$3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Narnia!$L$4:$L$6</c:f>
              <c:numCache>
                <c:formatCode>#,##0</c:formatCode>
                <c:ptCount val="3"/>
                <c:pt idx="0">
                  <c:v>7072188</c:v>
                </c:pt>
                <c:pt idx="1">
                  <c:v>3878263</c:v>
                </c:pt>
                <c:pt idx="2">
                  <c:v>5470238</c:v>
                </c:pt>
              </c:numCache>
            </c:numRef>
          </c:val>
        </c:ser>
        <c:ser>
          <c:idx val="1"/>
          <c:order val="1"/>
          <c:tx>
            <c:strRef>
              <c:f>Narnia!$M$3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Narnia!$M$4:$M$6</c:f>
              <c:numCache>
                <c:formatCode>#,##0</c:formatCode>
                <c:ptCount val="3"/>
                <c:pt idx="0">
                  <c:v>220063</c:v>
                </c:pt>
                <c:pt idx="1">
                  <c:v>214463</c:v>
                </c:pt>
                <c:pt idx="2">
                  <c:v>322175</c:v>
                </c:pt>
              </c:numCache>
            </c:numRef>
          </c:val>
        </c:ser>
        <c:ser>
          <c:idx val="2"/>
          <c:order val="2"/>
          <c:tx>
            <c:strRef>
              <c:f>Narnia!$N$3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Narnia!$N$4:$N$6</c:f>
              <c:numCache>
                <c:formatCode>#,##0</c:formatCode>
                <c:ptCount val="3"/>
                <c:pt idx="0">
                  <c:v>6852125</c:v>
                </c:pt>
                <c:pt idx="1">
                  <c:v>3663800</c:v>
                </c:pt>
                <c:pt idx="2">
                  <c:v>5148063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364992"/>
        <c:axId val="181366784"/>
      </c:barChart>
      <c:dateAx>
        <c:axId val="181364992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366784"/>
        <c:crosses val="autoZero"/>
        <c:auto val="1"/>
        <c:lblOffset val="100"/>
        <c:baseTimeUnit val="months"/>
      </c:dateAx>
      <c:valAx>
        <c:axId val="1813667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136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Narnia!$F$3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Narnia!$F$4:$F$6</c:f>
              <c:numCache>
                <c:formatCode>General</c:formatCode>
                <c:ptCount val="3"/>
                <c:pt idx="0">
                  <c:v>65</c:v>
                </c:pt>
                <c:pt idx="1">
                  <c:v>123</c:v>
                </c:pt>
                <c:pt idx="2">
                  <c:v>111</c:v>
                </c:pt>
              </c:numCache>
            </c:numRef>
          </c:val>
        </c:ser>
        <c:ser>
          <c:idx val="4"/>
          <c:order val="1"/>
          <c:tx>
            <c:strRef>
              <c:f>Narnia!$G$3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Narnia!$G$4:$G$6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Narnia!$H$3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Narnia!$B$4:$B$6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Narnia!$H$4:$H$6</c:f>
              <c:numCache>
                <c:formatCode>General</c:formatCode>
                <c:ptCount val="3"/>
                <c:pt idx="0">
                  <c:v>60</c:v>
                </c:pt>
                <c:pt idx="1">
                  <c:v>123</c:v>
                </c:pt>
                <c:pt idx="2">
                  <c:v>108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472256"/>
        <c:axId val="181490432"/>
      </c:barChart>
      <c:dateAx>
        <c:axId val="1814722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490432"/>
        <c:crosses val="autoZero"/>
        <c:auto val="1"/>
        <c:lblOffset val="100"/>
        <c:baseTimeUnit val="months"/>
      </c:dateAx>
      <c:valAx>
        <c:axId val="18149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47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Narnia!$O$3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Narnia!$O$4:$O$6</c:f>
              <c:numCache>
                <c:formatCode>General</c:formatCode>
                <c:ptCount val="3"/>
                <c:pt idx="0">
                  <c:v>70</c:v>
                </c:pt>
                <c:pt idx="1">
                  <c:v>39</c:v>
                </c:pt>
                <c:pt idx="2">
                  <c:v>50</c:v>
                </c:pt>
              </c:numCache>
            </c:numRef>
          </c:val>
        </c:ser>
        <c:ser>
          <c:idx val="4"/>
          <c:order val="1"/>
          <c:tx>
            <c:strRef>
              <c:f>Narnia!$P$3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Narnia!$P$4:$P$6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5"/>
          <c:order val="2"/>
          <c:tx>
            <c:strRef>
              <c:f>Narnia!$Q$3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Narnia!$K$4:$K$6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Narnia!$Q$4:$Q$6</c:f>
              <c:numCache>
                <c:formatCode>General</c:formatCode>
                <c:ptCount val="3"/>
                <c:pt idx="0">
                  <c:v>68</c:v>
                </c:pt>
                <c:pt idx="1">
                  <c:v>37</c:v>
                </c:pt>
                <c:pt idx="2">
                  <c:v>47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539584"/>
        <c:axId val="181541120"/>
      </c:barChart>
      <c:dateAx>
        <c:axId val="181539584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541120"/>
        <c:crosses val="autoZero"/>
        <c:auto val="1"/>
        <c:lblOffset val="100"/>
        <c:baseTimeUnit val="months"/>
      </c:dateAx>
      <c:valAx>
        <c:axId val="18154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539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Irmayanti!$C$3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Irmayanti!$C$4:$C$6</c:f>
              <c:numCache>
                <c:formatCode>#,##0</c:formatCode>
                <c:ptCount val="3"/>
                <c:pt idx="0">
                  <c:v>5343188</c:v>
                </c:pt>
                <c:pt idx="1">
                  <c:v>6728313</c:v>
                </c:pt>
                <c:pt idx="2">
                  <c:v>6343313</c:v>
                </c:pt>
              </c:numCache>
            </c:numRef>
          </c:val>
        </c:ser>
        <c:ser>
          <c:idx val="1"/>
          <c:order val="1"/>
          <c:tx>
            <c:strRef>
              <c:f>Irmayanti!$D$3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Irmayanti!$D$4:$D$6</c:f>
              <c:numCache>
                <c:formatCode>#,##0</c:formatCode>
                <c:ptCount val="3"/>
                <c:pt idx="0">
                  <c:v>18000</c:v>
                </c:pt>
                <c:pt idx="1">
                  <c:v>524300</c:v>
                </c:pt>
                <c:pt idx="2">
                  <c:v>1271613</c:v>
                </c:pt>
              </c:numCache>
            </c:numRef>
          </c:val>
        </c:ser>
        <c:ser>
          <c:idx val="2"/>
          <c:order val="2"/>
          <c:tx>
            <c:strRef>
              <c:f>Irmayanti!$E$3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Irmayanti!$E$4:$E$6</c:f>
              <c:numCache>
                <c:formatCode>#,##0</c:formatCode>
                <c:ptCount val="3"/>
                <c:pt idx="0">
                  <c:v>5325188</c:v>
                </c:pt>
                <c:pt idx="1">
                  <c:v>6204013</c:v>
                </c:pt>
                <c:pt idx="2">
                  <c:v>5071700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058176"/>
        <c:axId val="181088640"/>
      </c:barChart>
      <c:dateAx>
        <c:axId val="1810581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088640"/>
        <c:crosses val="autoZero"/>
        <c:auto val="1"/>
        <c:lblOffset val="100"/>
        <c:baseTimeUnit val="months"/>
      </c:dateAx>
      <c:valAx>
        <c:axId val="1810886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1058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Nilai jual 2018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Irmayanti!$L$3</c:f>
              <c:strCache>
                <c:ptCount val="1"/>
                <c:pt idx="0">
                  <c:v>Nilai Jual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Irmayanti!$L$4:$L$6</c:f>
              <c:numCache>
                <c:formatCode>#,##0</c:formatCode>
                <c:ptCount val="3"/>
                <c:pt idx="0">
                  <c:v>10666338</c:v>
                </c:pt>
                <c:pt idx="1">
                  <c:v>8857363</c:v>
                </c:pt>
                <c:pt idx="2">
                  <c:v>10441025</c:v>
                </c:pt>
              </c:numCache>
            </c:numRef>
          </c:val>
        </c:ser>
        <c:ser>
          <c:idx val="1"/>
          <c:order val="1"/>
          <c:tx>
            <c:strRef>
              <c:f>Irmayanti!$M$3</c:f>
              <c:strCache>
                <c:ptCount val="1"/>
                <c:pt idx="0">
                  <c:v>Nilai Retur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Irmayanti!$M$4:$M$6</c:f>
              <c:numCache>
                <c:formatCode>#,##0</c:formatCode>
                <c:ptCount val="3"/>
                <c:pt idx="0">
                  <c:v>1865713</c:v>
                </c:pt>
                <c:pt idx="1">
                  <c:v>-2000</c:v>
                </c:pt>
                <c:pt idx="2">
                  <c:v>398825</c:v>
                </c:pt>
              </c:numCache>
            </c:numRef>
          </c:val>
        </c:ser>
        <c:ser>
          <c:idx val="2"/>
          <c:order val="2"/>
          <c:tx>
            <c:strRef>
              <c:f>Irmayanti!$N$3</c:f>
              <c:strCache>
                <c:ptCount val="1"/>
                <c:pt idx="0">
                  <c:v>Jual Net</c:v>
                </c:pt>
              </c:strCache>
            </c:strRef>
          </c:tx>
          <c:invertIfNegative val="0"/>
          <c:cat>
            <c:numRef>
              <c:f>Irmayanti!$K$4:$K$6</c:f>
              <c:numCache>
                <c:formatCode>mmm\-yy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Irmayanti!$N$4:$N$6</c:f>
              <c:numCache>
                <c:formatCode>#,##0</c:formatCode>
                <c:ptCount val="3"/>
                <c:pt idx="0">
                  <c:v>8800625</c:v>
                </c:pt>
                <c:pt idx="1">
                  <c:v>8859363</c:v>
                </c:pt>
                <c:pt idx="2">
                  <c:v>10042200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104000"/>
        <c:axId val="181109888"/>
      </c:barChart>
      <c:dateAx>
        <c:axId val="181104000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109888"/>
        <c:crosses val="autoZero"/>
        <c:auto val="1"/>
        <c:lblOffset val="100"/>
        <c:baseTimeUnit val="months"/>
      </c:dateAx>
      <c:valAx>
        <c:axId val="1811098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110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jual 2017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Irmayanti!$F$3</c:f>
              <c:strCache>
                <c:ptCount val="1"/>
                <c:pt idx="0">
                  <c:v>Jumlah Jual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Irmayanti!$F$4:$F$6</c:f>
              <c:numCache>
                <c:formatCode>General</c:formatCode>
                <c:ptCount val="3"/>
                <c:pt idx="0">
                  <c:v>55</c:v>
                </c:pt>
                <c:pt idx="1">
                  <c:v>66</c:v>
                </c:pt>
                <c:pt idx="2">
                  <c:v>58</c:v>
                </c:pt>
              </c:numCache>
            </c:numRef>
          </c:val>
        </c:ser>
        <c:ser>
          <c:idx val="4"/>
          <c:order val="1"/>
          <c:tx>
            <c:strRef>
              <c:f>Irmayanti!$G$3</c:f>
              <c:strCache>
                <c:ptCount val="1"/>
                <c:pt idx="0">
                  <c:v>Jumlah Retur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Irmayanti!$G$4:$G$6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5"/>
          <c:order val="2"/>
          <c:tx>
            <c:strRef>
              <c:f>Irmayanti!$H$3</c:f>
              <c:strCache>
                <c:ptCount val="1"/>
                <c:pt idx="0">
                  <c:v>Jual Net2</c:v>
                </c:pt>
              </c:strCache>
            </c:strRef>
          </c:tx>
          <c:invertIfNegative val="0"/>
          <c:cat>
            <c:numRef>
              <c:f>Irmayanti!$B$4:$B$6</c:f>
              <c:numCache>
                <c:formatCode>mmm\-yy</c:formatCode>
                <c:ptCount val="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</c:numCache>
            </c:numRef>
          </c:cat>
          <c:val>
            <c:numRef>
              <c:f>Irmayanti!$H$4:$H$6</c:f>
              <c:numCache>
                <c:formatCode>General</c:formatCode>
                <c:ptCount val="3"/>
                <c:pt idx="0">
                  <c:v>55</c:v>
                </c:pt>
                <c:pt idx="1">
                  <c:v>61</c:v>
                </c:pt>
                <c:pt idx="2">
                  <c:v>48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1223808"/>
        <c:axId val="181225344"/>
      </c:barChart>
      <c:dateAx>
        <c:axId val="18122380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81225344"/>
        <c:crosses val="autoZero"/>
        <c:auto val="1"/>
        <c:lblOffset val="100"/>
        <c:baseTimeUnit val="months"/>
      </c:dateAx>
      <c:valAx>
        <c:axId val="18122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22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4" Type="http://schemas.openxmlformats.org/officeDocument/2006/relationships/chart" Target="../charts/chart8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4" Type="http://schemas.openxmlformats.org/officeDocument/2006/relationships/chart" Target="../charts/chart8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9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4" Type="http://schemas.openxmlformats.org/officeDocument/2006/relationships/chart" Target="../charts/chart90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4" Type="http://schemas.openxmlformats.org/officeDocument/2006/relationships/chart" Target="../charts/chart100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4" Type="http://schemas.openxmlformats.org/officeDocument/2006/relationships/chart" Target="../charts/chart10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7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Relationship Id="rId4" Type="http://schemas.openxmlformats.org/officeDocument/2006/relationships/chart" Target="../charts/chart10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4" Type="http://schemas.openxmlformats.org/officeDocument/2006/relationships/chart" Target="../charts/chart112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4" Type="http://schemas.openxmlformats.org/officeDocument/2006/relationships/chart" Target="../charts/chart11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9.xml"/><Relationship Id="rId2" Type="http://schemas.openxmlformats.org/officeDocument/2006/relationships/chart" Target="../charts/chart118.xml"/><Relationship Id="rId1" Type="http://schemas.openxmlformats.org/officeDocument/2006/relationships/chart" Target="../charts/chart117.xml"/><Relationship Id="rId4" Type="http://schemas.openxmlformats.org/officeDocument/2006/relationships/chart" Target="../charts/chart120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4" Type="http://schemas.openxmlformats.org/officeDocument/2006/relationships/chart" Target="../charts/chart12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7.xml"/><Relationship Id="rId2" Type="http://schemas.openxmlformats.org/officeDocument/2006/relationships/chart" Target="../charts/chart126.xml"/><Relationship Id="rId1" Type="http://schemas.openxmlformats.org/officeDocument/2006/relationships/chart" Target="../charts/chart125.xml"/><Relationship Id="rId4" Type="http://schemas.openxmlformats.org/officeDocument/2006/relationships/chart" Target="../charts/chart12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19050</xdr:rowOff>
    </xdr:from>
    <xdr:to>
      <xdr:col>6</xdr:col>
      <xdr:colOff>695325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8</xdr:row>
      <xdr:rowOff>19050</xdr:rowOff>
    </xdr:from>
    <xdr:to>
      <xdr:col>15</xdr:col>
      <xdr:colOff>742950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28575</xdr:rowOff>
    </xdr:from>
    <xdr:to>
      <xdr:col>6</xdr:col>
      <xdr:colOff>704850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57150</xdr:rowOff>
    </xdr:from>
    <xdr:to>
      <xdr:col>15</xdr:col>
      <xdr:colOff>762000</xdr:colOff>
      <xdr:row>38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7</xdr:row>
      <xdr:rowOff>9525</xdr:rowOff>
    </xdr:from>
    <xdr:to>
      <xdr:col>7</xdr:col>
      <xdr:colOff>238125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23</xdr:row>
      <xdr:rowOff>28575</xdr:rowOff>
    </xdr:from>
    <xdr:to>
      <xdr:col>6</xdr:col>
      <xdr:colOff>885825</xdr:colOff>
      <xdr:row>37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28575</xdr:rowOff>
    </xdr:from>
    <xdr:to>
      <xdr:col>6</xdr:col>
      <xdr:colOff>781050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9525</xdr:rowOff>
    </xdr:from>
    <xdr:to>
      <xdr:col>6</xdr:col>
      <xdr:colOff>762000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19050</xdr:rowOff>
    </xdr:from>
    <xdr:to>
      <xdr:col>15</xdr:col>
      <xdr:colOff>781050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8</xdr:row>
      <xdr:rowOff>0</xdr:rowOff>
    </xdr:from>
    <xdr:to>
      <xdr:col>6</xdr:col>
      <xdr:colOff>742950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38100</xdr:rowOff>
    </xdr:from>
    <xdr:to>
      <xdr:col>6</xdr:col>
      <xdr:colOff>771525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28575</xdr:rowOff>
    </xdr:from>
    <xdr:to>
      <xdr:col>15</xdr:col>
      <xdr:colOff>771525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7</xdr:col>
      <xdr:colOff>152400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28575</xdr:rowOff>
    </xdr:from>
    <xdr:to>
      <xdr:col>15</xdr:col>
      <xdr:colOff>762000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180975</xdr:rowOff>
    </xdr:from>
    <xdr:to>
      <xdr:col>7</xdr:col>
      <xdr:colOff>476250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0</xdr:rowOff>
    </xdr:from>
    <xdr:to>
      <xdr:col>15</xdr:col>
      <xdr:colOff>781050</xdr:colOff>
      <xdr:row>38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28575</xdr:rowOff>
    </xdr:from>
    <xdr:to>
      <xdr:col>6</xdr:col>
      <xdr:colOff>790575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0</xdr:rowOff>
    </xdr:from>
    <xdr:to>
      <xdr:col>6</xdr:col>
      <xdr:colOff>790575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8</xdr:row>
      <xdr:rowOff>28575</xdr:rowOff>
    </xdr:from>
    <xdr:to>
      <xdr:col>15</xdr:col>
      <xdr:colOff>742950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24</xdr:row>
      <xdr:rowOff>28575</xdr:rowOff>
    </xdr:from>
    <xdr:to>
      <xdr:col>6</xdr:col>
      <xdr:colOff>809625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28575</xdr:rowOff>
    </xdr:from>
    <xdr:to>
      <xdr:col>15</xdr:col>
      <xdr:colOff>771525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19050</xdr:rowOff>
    </xdr:from>
    <xdr:to>
      <xdr:col>6</xdr:col>
      <xdr:colOff>771525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0</xdr:rowOff>
    </xdr:from>
    <xdr:to>
      <xdr:col>15</xdr:col>
      <xdr:colOff>771525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24</xdr:row>
      <xdr:rowOff>0</xdr:rowOff>
    </xdr:from>
    <xdr:to>
      <xdr:col>6</xdr:col>
      <xdr:colOff>781050</xdr:colOff>
      <xdr:row>38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24</xdr:row>
      <xdr:rowOff>9525</xdr:rowOff>
    </xdr:from>
    <xdr:to>
      <xdr:col>15</xdr:col>
      <xdr:colOff>790575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8</xdr:row>
      <xdr:rowOff>9525</xdr:rowOff>
    </xdr:from>
    <xdr:to>
      <xdr:col>6</xdr:col>
      <xdr:colOff>795337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</xdr:colOff>
      <xdr:row>8</xdr:row>
      <xdr:rowOff>38100</xdr:rowOff>
    </xdr:from>
    <xdr:to>
      <xdr:col>15</xdr:col>
      <xdr:colOff>766762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</xdr:colOff>
      <xdr:row>24</xdr:row>
      <xdr:rowOff>28575</xdr:rowOff>
    </xdr:from>
    <xdr:to>
      <xdr:col>6</xdr:col>
      <xdr:colOff>795337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24</xdr:row>
      <xdr:rowOff>38100</xdr:rowOff>
    </xdr:from>
    <xdr:to>
      <xdr:col>15</xdr:col>
      <xdr:colOff>785812</xdr:colOff>
      <xdr:row>38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6</xdr:col>
      <xdr:colOff>781050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38100</xdr:rowOff>
    </xdr:from>
    <xdr:to>
      <xdr:col>15</xdr:col>
      <xdr:colOff>781050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24</xdr:row>
      <xdr:rowOff>28575</xdr:rowOff>
    </xdr:from>
    <xdr:to>
      <xdr:col>6</xdr:col>
      <xdr:colOff>781050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19050</xdr:rowOff>
    </xdr:from>
    <xdr:to>
      <xdr:col>15</xdr:col>
      <xdr:colOff>781050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8</xdr:row>
      <xdr:rowOff>28575</xdr:rowOff>
    </xdr:from>
    <xdr:to>
      <xdr:col>6</xdr:col>
      <xdr:colOff>804862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595312</xdr:colOff>
      <xdr:row>8</xdr:row>
      <xdr:rowOff>19050</xdr:rowOff>
    </xdr:from>
    <xdr:to>
      <xdr:col>15</xdr:col>
      <xdr:colOff>747712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</xdr:colOff>
      <xdr:row>24</xdr:row>
      <xdr:rowOff>19050</xdr:rowOff>
    </xdr:from>
    <xdr:to>
      <xdr:col>6</xdr:col>
      <xdr:colOff>804862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24</xdr:row>
      <xdr:rowOff>19050</xdr:rowOff>
    </xdr:from>
    <xdr:to>
      <xdr:col>15</xdr:col>
      <xdr:colOff>785812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28575</xdr:rowOff>
    </xdr:from>
    <xdr:to>
      <xdr:col>6</xdr:col>
      <xdr:colOff>733425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0</xdr:rowOff>
    </xdr:from>
    <xdr:to>
      <xdr:col>15</xdr:col>
      <xdr:colOff>704850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24</xdr:row>
      <xdr:rowOff>38100</xdr:rowOff>
    </xdr:from>
    <xdr:to>
      <xdr:col>6</xdr:col>
      <xdr:colOff>742950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28575</xdr:rowOff>
    </xdr:from>
    <xdr:to>
      <xdr:col>15</xdr:col>
      <xdr:colOff>723900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8</xdr:row>
      <xdr:rowOff>28575</xdr:rowOff>
    </xdr:from>
    <xdr:to>
      <xdr:col>6</xdr:col>
      <xdr:colOff>766762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</xdr:colOff>
      <xdr:row>8</xdr:row>
      <xdr:rowOff>28575</xdr:rowOff>
    </xdr:from>
    <xdr:to>
      <xdr:col>15</xdr:col>
      <xdr:colOff>776287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24</xdr:row>
      <xdr:rowOff>9525</xdr:rowOff>
    </xdr:from>
    <xdr:to>
      <xdr:col>6</xdr:col>
      <xdr:colOff>785812</xdr:colOff>
      <xdr:row>38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604837</xdr:colOff>
      <xdr:row>24</xdr:row>
      <xdr:rowOff>19050</xdr:rowOff>
    </xdr:from>
    <xdr:to>
      <xdr:col>15</xdr:col>
      <xdr:colOff>757237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38100</xdr:rowOff>
    </xdr:from>
    <xdr:to>
      <xdr:col>6</xdr:col>
      <xdr:colOff>771525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28575</xdr:rowOff>
    </xdr:from>
    <xdr:to>
      <xdr:col>15</xdr:col>
      <xdr:colOff>771525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28575</xdr:rowOff>
    </xdr:from>
    <xdr:to>
      <xdr:col>6</xdr:col>
      <xdr:colOff>762000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28575</xdr:rowOff>
    </xdr:from>
    <xdr:to>
      <xdr:col>15</xdr:col>
      <xdr:colOff>781050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28575</xdr:rowOff>
    </xdr:from>
    <xdr:to>
      <xdr:col>6</xdr:col>
      <xdr:colOff>790575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8</xdr:row>
      <xdr:rowOff>28575</xdr:rowOff>
    </xdr:from>
    <xdr:to>
      <xdr:col>15</xdr:col>
      <xdr:colOff>752475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24</xdr:row>
      <xdr:rowOff>38100</xdr:rowOff>
    </xdr:from>
    <xdr:to>
      <xdr:col>6</xdr:col>
      <xdr:colOff>790575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9525</xdr:rowOff>
    </xdr:from>
    <xdr:to>
      <xdr:col>15</xdr:col>
      <xdr:colOff>781050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6</xdr:col>
      <xdr:colOff>781050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8</xdr:row>
      <xdr:rowOff>0</xdr:rowOff>
    </xdr:from>
    <xdr:to>
      <xdr:col>15</xdr:col>
      <xdr:colOff>771525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6</xdr:col>
      <xdr:colOff>771525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9525</xdr:rowOff>
    </xdr:from>
    <xdr:to>
      <xdr:col>15</xdr:col>
      <xdr:colOff>771525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8</xdr:row>
      <xdr:rowOff>0</xdr:rowOff>
    </xdr:from>
    <xdr:to>
      <xdr:col>6</xdr:col>
      <xdr:colOff>776287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</xdr:colOff>
      <xdr:row>8</xdr:row>
      <xdr:rowOff>19050</xdr:rowOff>
    </xdr:from>
    <xdr:to>
      <xdr:col>15</xdr:col>
      <xdr:colOff>766762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24</xdr:row>
      <xdr:rowOff>19050</xdr:rowOff>
    </xdr:from>
    <xdr:to>
      <xdr:col>6</xdr:col>
      <xdr:colOff>766762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24</xdr:row>
      <xdr:rowOff>47625</xdr:rowOff>
    </xdr:from>
    <xdr:to>
      <xdr:col>15</xdr:col>
      <xdr:colOff>776287</xdr:colOff>
      <xdr:row>38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9525</xdr:rowOff>
    </xdr:from>
    <xdr:to>
      <xdr:col>6</xdr:col>
      <xdr:colOff>771525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23</xdr:row>
      <xdr:rowOff>0</xdr:rowOff>
    </xdr:from>
    <xdr:to>
      <xdr:col>6</xdr:col>
      <xdr:colOff>771525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0</xdr:rowOff>
    </xdr:from>
    <xdr:to>
      <xdr:col>6</xdr:col>
      <xdr:colOff>752475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38100</xdr:rowOff>
    </xdr:from>
    <xdr:to>
      <xdr:col>15</xdr:col>
      <xdr:colOff>781050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6</xdr:col>
      <xdr:colOff>771525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24</xdr:row>
      <xdr:rowOff>28575</xdr:rowOff>
    </xdr:from>
    <xdr:to>
      <xdr:col>15</xdr:col>
      <xdr:colOff>781050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0.55</cdr:x>
      <cdr:y>0.08681</cdr:y>
    </cdr:from>
    <cdr:to>
      <cdr:x>0.75</cdr:x>
      <cdr:y>0.42014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4600" y="238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9525</xdr:rowOff>
    </xdr:from>
    <xdr:to>
      <xdr:col>6</xdr:col>
      <xdr:colOff>762000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8</xdr:row>
      <xdr:rowOff>19050</xdr:rowOff>
    </xdr:from>
    <xdr:to>
      <xdr:col>15</xdr:col>
      <xdr:colOff>752475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6</xdr:col>
      <xdr:colOff>771525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19050</xdr:rowOff>
    </xdr:from>
    <xdr:to>
      <xdr:col>15</xdr:col>
      <xdr:colOff>762000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19050</xdr:rowOff>
    </xdr:from>
    <xdr:to>
      <xdr:col>6</xdr:col>
      <xdr:colOff>771525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28575</xdr:rowOff>
    </xdr:from>
    <xdr:to>
      <xdr:col>15</xdr:col>
      <xdr:colOff>762000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</xdr:row>
      <xdr:rowOff>180975</xdr:rowOff>
    </xdr:from>
    <xdr:to>
      <xdr:col>6</xdr:col>
      <xdr:colOff>771525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171450</xdr:rowOff>
    </xdr:from>
    <xdr:to>
      <xdr:col>15</xdr:col>
      <xdr:colOff>781050</xdr:colOff>
      <xdr:row>38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9</xdr:row>
      <xdr:rowOff>19050</xdr:rowOff>
    </xdr:from>
    <xdr:to>
      <xdr:col>6</xdr:col>
      <xdr:colOff>981076</xdr:colOff>
      <xdr:row>25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9</xdr:row>
      <xdr:rowOff>19050</xdr:rowOff>
    </xdr:from>
    <xdr:to>
      <xdr:col>15</xdr:col>
      <xdr:colOff>118099</xdr:colOff>
      <xdr:row>24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25</xdr:row>
      <xdr:rowOff>0</xdr:rowOff>
    </xdr:from>
    <xdr:to>
      <xdr:col>6</xdr:col>
      <xdr:colOff>739140</xdr:colOff>
      <xdr:row>39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25</xdr:row>
      <xdr:rowOff>85725</xdr:rowOff>
    </xdr:from>
    <xdr:to>
      <xdr:col>15</xdr:col>
      <xdr:colOff>28576</xdr:colOff>
      <xdr:row>39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171450</xdr:rowOff>
    </xdr:from>
    <xdr:to>
      <xdr:col>15</xdr:col>
      <xdr:colOff>752475</xdr:colOff>
      <xdr:row>22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38100</xdr:rowOff>
    </xdr:from>
    <xdr:to>
      <xdr:col>6</xdr:col>
      <xdr:colOff>762000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24</xdr:row>
      <xdr:rowOff>28575</xdr:rowOff>
    </xdr:from>
    <xdr:to>
      <xdr:col>6</xdr:col>
      <xdr:colOff>781050</xdr:colOff>
      <xdr:row>38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19050</xdr:rowOff>
    </xdr:from>
    <xdr:to>
      <xdr:col>15</xdr:col>
      <xdr:colOff>771525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</xdr:colOff>
      <xdr:row>8</xdr:row>
      <xdr:rowOff>38100</xdr:rowOff>
    </xdr:from>
    <xdr:to>
      <xdr:col>6</xdr:col>
      <xdr:colOff>823912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8</xdr:row>
      <xdr:rowOff>19050</xdr:rowOff>
    </xdr:from>
    <xdr:to>
      <xdr:col>15</xdr:col>
      <xdr:colOff>785812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52387</xdr:colOff>
      <xdr:row>24</xdr:row>
      <xdr:rowOff>19050</xdr:rowOff>
    </xdr:from>
    <xdr:to>
      <xdr:col>6</xdr:col>
      <xdr:colOff>814387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</xdr:colOff>
      <xdr:row>23</xdr:row>
      <xdr:rowOff>171450</xdr:rowOff>
    </xdr:from>
    <xdr:to>
      <xdr:col>15</xdr:col>
      <xdr:colOff>785812</xdr:colOff>
      <xdr:row>38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6</xdr:col>
      <xdr:colOff>771525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0</xdr:rowOff>
    </xdr:from>
    <xdr:to>
      <xdr:col>15</xdr:col>
      <xdr:colOff>781050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24</xdr:row>
      <xdr:rowOff>19050</xdr:rowOff>
    </xdr:from>
    <xdr:to>
      <xdr:col>6</xdr:col>
      <xdr:colOff>790575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24</xdr:row>
      <xdr:rowOff>28575</xdr:rowOff>
    </xdr:from>
    <xdr:to>
      <xdr:col>15</xdr:col>
      <xdr:colOff>771525</xdr:colOff>
      <xdr:row>38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19050</xdr:rowOff>
    </xdr:from>
    <xdr:to>
      <xdr:col>6</xdr:col>
      <xdr:colOff>781050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19050</xdr:rowOff>
    </xdr:from>
    <xdr:to>
      <xdr:col>15</xdr:col>
      <xdr:colOff>762000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695325</xdr:colOff>
      <xdr:row>23</xdr:row>
      <xdr:rowOff>180975</xdr:rowOff>
    </xdr:from>
    <xdr:to>
      <xdr:col>6</xdr:col>
      <xdr:colOff>752475</xdr:colOff>
      <xdr:row>38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19050</xdr:rowOff>
    </xdr:from>
    <xdr:to>
      <xdr:col>15</xdr:col>
      <xdr:colOff>762000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8</xdr:row>
      <xdr:rowOff>19050</xdr:rowOff>
    </xdr:from>
    <xdr:to>
      <xdr:col>6</xdr:col>
      <xdr:colOff>795337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8</xdr:row>
      <xdr:rowOff>0</xdr:rowOff>
    </xdr:from>
    <xdr:to>
      <xdr:col>15</xdr:col>
      <xdr:colOff>785812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24</xdr:row>
      <xdr:rowOff>28575</xdr:rowOff>
    </xdr:from>
    <xdr:to>
      <xdr:col>6</xdr:col>
      <xdr:colOff>785812</xdr:colOff>
      <xdr:row>38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14287</xdr:colOff>
      <xdr:row>24</xdr:row>
      <xdr:rowOff>9525</xdr:rowOff>
    </xdr:from>
    <xdr:to>
      <xdr:col>15</xdr:col>
      <xdr:colOff>776287</xdr:colOff>
      <xdr:row>38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66675</xdr:rowOff>
    </xdr:from>
    <xdr:to>
      <xdr:col>6</xdr:col>
      <xdr:colOff>790575</xdr:colOff>
      <xdr:row>21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7</xdr:row>
      <xdr:rowOff>28575</xdr:rowOff>
    </xdr:from>
    <xdr:to>
      <xdr:col>15</xdr:col>
      <xdr:colOff>752475</xdr:colOff>
      <xdr:row>21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38100</xdr:rowOff>
    </xdr:from>
    <xdr:to>
      <xdr:col>6</xdr:col>
      <xdr:colOff>762000</xdr:colOff>
      <xdr:row>37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23</xdr:row>
      <xdr:rowOff>28575</xdr:rowOff>
    </xdr:from>
    <xdr:to>
      <xdr:col>15</xdr:col>
      <xdr:colOff>781050</xdr:colOff>
      <xdr:row>37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57150</xdr:rowOff>
    </xdr:from>
    <xdr:to>
      <xdr:col>18</xdr:col>
      <xdr:colOff>104775</xdr:colOff>
      <xdr:row>51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1981200</xdr:colOff>
      <xdr:row>8</xdr:row>
      <xdr:rowOff>66675</xdr:rowOff>
    </xdr:from>
    <xdr:to>
      <xdr:col>7</xdr:col>
      <xdr:colOff>419100</xdr:colOff>
      <xdr:row>22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9525</xdr:rowOff>
    </xdr:from>
    <xdr:to>
      <xdr:col>7</xdr:col>
      <xdr:colOff>438150</xdr:colOff>
      <xdr:row>38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38099</xdr:colOff>
      <xdr:row>8</xdr:row>
      <xdr:rowOff>19050</xdr:rowOff>
    </xdr:from>
    <xdr:to>
      <xdr:col>17</xdr:col>
      <xdr:colOff>0</xdr:colOff>
      <xdr:row>22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47624</xdr:colOff>
      <xdr:row>24</xdr:row>
      <xdr:rowOff>38100</xdr:rowOff>
    </xdr:from>
    <xdr:to>
      <xdr:col>17</xdr:col>
      <xdr:colOff>9525</xdr:colOff>
      <xdr:row>38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8</xdr:row>
      <xdr:rowOff>28575</xdr:rowOff>
    </xdr:from>
    <xdr:to>
      <xdr:col>5</xdr:col>
      <xdr:colOff>990600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0</xdr:rowOff>
    </xdr:from>
    <xdr:to>
      <xdr:col>14</xdr:col>
      <xdr:colOff>1019175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38100</xdr:rowOff>
    </xdr:from>
    <xdr:to>
      <xdr:col>5</xdr:col>
      <xdr:colOff>1009650</xdr:colOff>
      <xdr:row>38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24</xdr:row>
      <xdr:rowOff>9525</xdr:rowOff>
    </xdr:from>
    <xdr:to>
      <xdr:col>14</xdr:col>
      <xdr:colOff>1028700</xdr:colOff>
      <xdr:row>38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8</xdr:row>
      <xdr:rowOff>28575</xdr:rowOff>
    </xdr:from>
    <xdr:to>
      <xdr:col>6</xdr:col>
      <xdr:colOff>180975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</xdr:row>
      <xdr:rowOff>0</xdr:rowOff>
    </xdr:from>
    <xdr:to>
      <xdr:col>14</xdr:col>
      <xdr:colOff>1000125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24</xdr:row>
      <xdr:rowOff>38100</xdr:rowOff>
    </xdr:from>
    <xdr:to>
      <xdr:col>6</xdr:col>
      <xdr:colOff>47625</xdr:colOff>
      <xdr:row>38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24</xdr:row>
      <xdr:rowOff>66675</xdr:rowOff>
    </xdr:from>
    <xdr:to>
      <xdr:col>14</xdr:col>
      <xdr:colOff>1028700</xdr:colOff>
      <xdr:row>38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19049</xdr:rowOff>
    </xdr:from>
    <xdr:to>
      <xdr:col>6</xdr:col>
      <xdr:colOff>971550</xdr:colOff>
      <xdr:row>22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19049</xdr:colOff>
      <xdr:row>8</xdr:row>
      <xdr:rowOff>28575</xdr:rowOff>
    </xdr:from>
    <xdr:to>
      <xdr:col>15</xdr:col>
      <xdr:colOff>981074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24</xdr:row>
      <xdr:rowOff>19050</xdr:rowOff>
    </xdr:from>
    <xdr:to>
      <xdr:col>6</xdr:col>
      <xdr:colOff>962025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19049</xdr:colOff>
      <xdr:row>24</xdr:row>
      <xdr:rowOff>19050</xdr:rowOff>
    </xdr:from>
    <xdr:to>
      <xdr:col>15</xdr:col>
      <xdr:colOff>981074</xdr:colOff>
      <xdr:row>38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38100</xdr:rowOff>
    </xdr:from>
    <xdr:to>
      <xdr:col>6</xdr:col>
      <xdr:colOff>762000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23</xdr:row>
      <xdr:rowOff>0</xdr:rowOff>
    </xdr:from>
    <xdr:to>
      <xdr:col>8</xdr:col>
      <xdr:colOff>114300</xdr:colOff>
      <xdr:row>37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28575</xdr:rowOff>
    </xdr:from>
    <xdr:to>
      <xdr:col>7</xdr:col>
      <xdr:colOff>123825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8</xdr:row>
      <xdr:rowOff>28575</xdr:rowOff>
    </xdr:from>
    <xdr:to>
      <xdr:col>15</xdr:col>
      <xdr:colOff>781050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19050</xdr:rowOff>
    </xdr:from>
    <xdr:to>
      <xdr:col>6</xdr:col>
      <xdr:colOff>762000</xdr:colOff>
      <xdr:row>38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24</xdr:row>
      <xdr:rowOff>38100</xdr:rowOff>
    </xdr:from>
    <xdr:to>
      <xdr:col>15</xdr:col>
      <xdr:colOff>762000</xdr:colOff>
      <xdr:row>38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2" name="Table62" displayName="Table62" ref="B3:H7" totalsRowCount="1" headerRowDxfId="990" dataDxfId="989">
  <autoFilter ref="B3:H6"/>
  <tableColumns count="7">
    <tableColumn id="1" name="Tanggal" dataDxfId="988" totalsRowDxfId="987"/>
    <tableColumn id="2" name="Nilai Jual" totalsRowFunction="custom" dataDxfId="986" totalsRowDxfId="985">
      <totalsRowFormula>SUM(Table62[Nilai Jual])</totalsRowFormula>
    </tableColumn>
    <tableColumn id="3" name="Nilai Retur" totalsRowFunction="custom" dataDxfId="984" totalsRowDxfId="983">
      <totalsRowFormula>SUM(Table62[Nilai Retur])</totalsRowFormula>
    </tableColumn>
    <tableColumn id="4" name="Jual Net" totalsRowFunction="custom" dataDxfId="982" totalsRowDxfId="981">
      <totalsRowFormula>SUM(Table62[Jual Net])</totalsRowFormula>
    </tableColumn>
    <tableColumn id="5" name="Jumlah Jual" totalsRowFunction="custom" dataDxfId="980" totalsRowDxfId="979">
      <totalsRowFormula>SUM(Table62[Jumlah Jual])</totalsRowFormula>
    </tableColumn>
    <tableColumn id="6" name="Jumlah Retur" totalsRowFunction="custom" dataDxfId="978" totalsRowDxfId="977">
      <totalsRowFormula>SUM(Table62[Jumlah Retur])</totalsRowFormula>
    </tableColumn>
    <tableColumn id="7" name="Jual Net2" totalsRowFunction="custom" dataDxfId="976" totalsRowDxfId="975">
      <totalsRowFormula>SUM(Table62[Jual Net2])</totalsRow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6" name="Table6" displayName="Table6" ref="K3:Q7" totalsRowCount="1" headerRowDxfId="852" dataDxfId="851">
  <autoFilter ref="K3:Q6"/>
  <tableColumns count="7">
    <tableColumn id="1" name="Tanggal" dataDxfId="850" totalsRowDxfId="849"/>
    <tableColumn id="2" name="Nilai Jual" totalsRowFunction="sum" dataDxfId="848" totalsRowDxfId="847"/>
    <tableColumn id="3" name="Nilai Retur" totalsRowFunction="sum" totalsRowDxfId="846"/>
    <tableColumn id="4" name="Jual Net" totalsRowFunction="sum" dataDxfId="845" totalsRowDxfId="844"/>
    <tableColumn id="5" name="Jumlah Jual" totalsRowFunction="sum" dataDxfId="843" totalsRowDxfId="842"/>
    <tableColumn id="6" name="Jumlah Retur" totalsRowFunction="sum" dataDxfId="841" totalsRowDxfId="840"/>
    <tableColumn id="7" name="Jual Net2" totalsRowFunction="sum" dataDxfId="839" totalsRowDxfId="838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3:H7" totalsRowCount="1" headerRowDxfId="837" dataDxfId="836">
  <autoFilter ref="B3:H6"/>
  <tableColumns count="7">
    <tableColumn id="1" name="Tanggal" dataDxfId="835" totalsRowDxfId="834"/>
    <tableColumn id="2" name="Nilai Jual" totalsRowFunction="sum" dataDxfId="833" totalsRowDxfId="832"/>
    <tableColumn id="3" name="Nilai Retur" totalsRowFunction="sum" dataDxfId="831" totalsRowDxfId="830"/>
    <tableColumn id="4" name="Jual Net" totalsRowFunction="sum" dataDxfId="829" totalsRowDxfId="828"/>
    <tableColumn id="5" name="Jumlah Jual" totalsRowFunction="sum" dataDxfId="827" totalsRowDxfId="826"/>
    <tableColumn id="6" name="Jumlah Retur" totalsRowFunction="sum" dataDxfId="825" totalsRowDxfId="824"/>
    <tableColumn id="7" name="Jual Net2" totalsRowFunction="sum" dataDxfId="823" totalsRowDxfId="82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8" name="Table8" displayName="Table8" ref="K3:Q7" totalsRowCount="1" headerRowDxfId="821" dataDxfId="820">
  <autoFilter ref="K3:Q6"/>
  <tableColumns count="7">
    <tableColumn id="1" name="Tanggal" dataDxfId="819" totalsRowDxfId="818"/>
    <tableColumn id="2" name="Nilai Jual" totalsRowFunction="sum" dataDxfId="817" totalsRowDxfId="816"/>
    <tableColumn id="3" name="Nilai Retur" totalsRowFunction="sum" dataDxfId="815" totalsRowDxfId="814"/>
    <tableColumn id="4" name="Jual Net" totalsRowFunction="sum" dataDxfId="813" totalsRowDxfId="812"/>
    <tableColumn id="5" name="Jumlah Jual" totalsRowFunction="sum" dataDxfId="811" totalsRowDxfId="810"/>
    <tableColumn id="6" name="Jumlah Retur" totalsRowFunction="sum" dataDxfId="809" totalsRowDxfId="808"/>
    <tableColumn id="7" name="Jual Net2" totalsRowFunction="sum" dataDxfId="807" totalsRowDxfId="806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9" name="Table9" displayName="Table9" ref="B3:H7" totalsRowCount="1" headerRowDxfId="805" dataDxfId="804">
  <autoFilter ref="B3:H6"/>
  <tableColumns count="7">
    <tableColumn id="1" name="Tanggal" dataDxfId="803" totalsRowDxfId="802"/>
    <tableColumn id="2" name="Nilai Jual" totalsRowFunction="sum" dataDxfId="801" totalsRowDxfId="800"/>
    <tableColumn id="3" name="Nilai Retur" totalsRowFunction="sum" dataDxfId="799" totalsRowDxfId="798"/>
    <tableColumn id="4" name="Jual Net" totalsRowFunction="sum" dataDxfId="797" totalsRowDxfId="796"/>
    <tableColumn id="5" name="Jumlah Jual" totalsRowFunction="sum" dataDxfId="795" totalsRowDxfId="794"/>
    <tableColumn id="6" name="Jumlah Retur" totalsRowFunction="sum" dataDxfId="793" totalsRowDxfId="792"/>
    <tableColumn id="7" name="Jual Net2" totalsRowFunction="sum" dataDxfId="791" totalsRowDxfId="790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0" name="Table10" displayName="Table10" ref="K3:Q7" totalsRowCount="1" headerRowDxfId="789" dataDxfId="788">
  <autoFilter ref="K3:Q6"/>
  <tableColumns count="7">
    <tableColumn id="1" name="Tanggal" dataDxfId="787" totalsRowDxfId="786"/>
    <tableColumn id="2" name="Nilai Jual" totalsRowFunction="sum" dataDxfId="785" totalsRowDxfId="784"/>
    <tableColumn id="3" name="Nilai Retur" totalsRowFunction="sum" dataDxfId="783" totalsRowDxfId="782"/>
    <tableColumn id="4" name="Jual Net" totalsRowFunction="sum" dataDxfId="781" totalsRowDxfId="780"/>
    <tableColumn id="5" name="Jumlah Jual" totalsRowFunction="sum" dataDxfId="779" totalsRowDxfId="778"/>
    <tableColumn id="6" name="Jumlah Retur" totalsRowFunction="sum" dataDxfId="777" totalsRowDxfId="776"/>
    <tableColumn id="7" name="Jual Net2" totalsRowFunction="sum" dataDxfId="775" totalsRowDxfId="774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1" name="Table11" displayName="Table11" ref="B3:H6" totalsRowShown="0" headerRowDxfId="773" dataDxfId="772">
  <autoFilter ref="B3:H6"/>
  <tableColumns count="7">
    <tableColumn id="1" name="Tanggal" dataDxfId="771"/>
    <tableColumn id="2" name="Nilai Jual" dataDxfId="770"/>
    <tableColumn id="3" name="Nilai Retur" dataDxfId="769"/>
    <tableColumn id="4" name="Jual Net" dataDxfId="768"/>
    <tableColumn id="5" name="Jumlah Jual" dataDxfId="767"/>
    <tableColumn id="6" name="Jumlah Retur" dataDxfId="766"/>
    <tableColumn id="7" name="Jual Net2" dataDxfId="765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2" name="Table12" displayName="Table12" ref="B3:H7" totalsRowCount="1" headerRowDxfId="764" dataDxfId="763">
  <autoFilter ref="B3:H6"/>
  <tableColumns count="7">
    <tableColumn id="1" name="Tanggal" dataDxfId="762" totalsRowDxfId="761"/>
    <tableColumn id="2" name="Nilai Jual" totalsRowFunction="sum" dataDxfId="760" totalsRowDxfId="759"/>
    <tableColumn id="3" name="Nilai Retur" totalsRowFunction="sum" dataDxfId="758" totalsRowDxfId="757"/>
    <tableColumn id="4" name="Jual Net" totalsRowFunction="sum" dataDxfId="756" totalsRowDxfId="755"/>
    <tableColumn id="5" name="Jumlah Jual" totalsRowFunction="sum" dataDxfId="754" totalsRowDxfId="753"/>
    <tableColumn id="6" name="Jumlah Retur" totalsRowFunction="sum" dataDxfId="752" totalsRowDxfId="751"/>
    <tableColumn id="7" name="Jual Net2" totalsRowFunction="sum" dataDxfId="750" totalsRowDxfId="749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3" name="Table13" displayName="Table13" ref="K3:Q7" totalsRowCount="1" headerRowDxfId="748" dataDxfId="747">
  <autoFilter ref="K3:Q6"/>
  <tableColumns count="7">
    <tableColumn id="1" name="Tanggal" dataDxfId="746" totalsRowDxfId="745"/>
    <tableColumn id="2" name="Nilai Jual" totalsRowFunction="sum" dataDxfId="744" totalsRowDxfId="743"/>
    <tableColumn id="3" name="Nilai Retur" totalsRowFunction="sum" totalsRowDxfId="742"/>
    <tableColumn id="4" name="Jual Net" totalsRowFunction="sum" dataDxfId="741" totalsRowDxfId="740"/>
    <tableColumn id="5" name="Jumlah Jual" totalsRowFunction="sum" dataDxfId="739" totalsRowDxfId="738"/>
    <tableColumn id="6" name="Jumlah Retur" totalsRowFunction="sum" dataDxfId="737" totalsRowDxfId="736"/>
    <tableColumn id="7" name="Jual Net2" totalsRowFunction="sum" dataDxfId="735" totalsRowDxfId="734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4" name="Table14" displayName="Table14" ref="B3:H6" totalsRowShown="0" headerRowDxfId="733" dataDxfId="732">
  <autoFilter ref="B3:H6"/>
  <tableColumns count="7">
    <tableColumn id="1" name="Tanggal" dataDxfId="731"/>
    <tableColumn id="2" name="Nilai Jual" dataDxfId="730"/>
    <tableColumn id="3" name="Nilai Retur" dataDxfId="729"/>
    <tableColumn id="4" name="Jual Net" dataDxfId="728"/>
    <tableColumn id="5" name="Jumlah Jual" dataDxfId="727"/>
    <tableColumn id="6" name="Jumlah Retur" dataDxfId="726"/>
    <tableColumn id="7" name="Jual Net2" dataDxfId="725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5" name="Table15" displayName="Table15" ref="B3:H7" totalsRowCount="1" headerRowDxfId="724" dataDxfId="723">
  <autoFilter ref="B3:H6"/>
  <tableColumns count="7">
    <tableColumn id="1" name="Tanggal" dataDxfId="722" totalsRowDxfId="721"/>
    <tableColumn id="2" name="Nilai Jual" totalsRowFunction="sum" dataDxfId="720" totalsRowDxfId="719"/>
    <tableColumn id="3" name="Nilai Retur" totalsRowFunction="sum" dataDxfId="718" totalsRowDxfId="717"/>
    <tableColumn id="4" name="Jual Net" totalsRowFunction="sum" dataDxfId="716" totalsRowDxfId="715"/>
    <tableColumn id="5" name="Jumlah Jual" totalsRowFunction="sum" dataDxfId="714" totalsRowDxfId="713"/>
    <tableColumn id="6" name="Jumlah Retur" totalsRowFunction="sum" dataDxfId="712" totalsRowDxfId="711"/>
    <tableColumn id="7" name="Jual Net2" totalsRowFunction="sum" dataDxfId="710" totalsRowDxfId="70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3" name="Table63" displayName="Table63" ref="K3:Q7" totalsRowCount="1" headerRowDxfId="974" dataDxfId="973">
  <autoFilter ref="K3:Q6"/>
  <tableColumns count="7">
    <tableColumn id="1" name="Tanggal" dataDxfId="972" totalsRowDxfId="971"/>
    <tableColumn id="2" name="Nilai Jual" totalsRowFunction="custom" dataDxfId="970" totalsRowDxfId="969">
      <totalsRowFormula>SUM(L4:L6)</totalsRowFormula>
    </tableColumn>
    <tableColumn id="3" name="Nilai Retur" totalsRowFunction="custom" dataDxfId="968" totalsRowDxfId="967">
      <totalsRowFormula>SUM(M4:M6)</totalsRowFormula>
    </tableColumn>
    <tableColumn id="4" name="Jual Net" totalsRowFunction="custom" dataDxfId="966" totalsRowDxfId="965">
      <totalsRowFormula>SUM(N4:N6)</totalsRowFormula>
    </tableColumn>
    <tableColumn id="5" name="Jumlah Jual" totalsRowFunction="custom" dataDxfId="964" totalsRowDxfId="963">
      <totalsRowFormula>SUM(O4:O6)</totalsRowFormula>
    </tableColumn>
    <tableColumn id="6" name="Jumlah Retur" totalsRowFunction="custom" dataDxfId="962" totalsRowDxfId="961">
      <totalsRowFormula>SUM(P4:P6)</totalsRowFormula>
    </tableColumn>
    <tableColumn id="7" name="Jual Net2" totalsRowFunction="custom" dataDxfId="960" totalsRowDxfId="959">
      <totalsRowFormula>SUM(Q4:Q6)</totalsRowFormula>
    </tableColumn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17" name="Table17" displayName="Table17" ref="K3:Q7" totalsRowCount="1" headerRowDxfId="708" dataDxfId="707">
  <autoFilter ref="K3:Q6"/>
  <tableColumns count="7">
    <tableColumn id="1" name="Tanggal" dataDxfId="706" totalsRowDxfId="705"/>
    <tableColumn id="2" name="Nilai Jual" totalsRowFunction="sum" dataDxfId="704" totalsRowDxfId="703"/>
    <tableColumn id="3" name="Nilai Retur" totalsRowFunction="sum" totalsRowDxfId="702"/>
    <tableColumn id="4" name="Jual Net" totalsRowFunction="sum" dataDxfId="701" totalsRowDxfId="700"/>
    <tableColumn id="5" name="Jumlah Jual" totalsRowFunction="sum" dataDxfId="699" totalsRowDxfId="698"/>
    <tableColumn id="6" name="Jumlah Retur" totalsRowFunction="sum" dataDxfId="697" totalsRowDxfId="696"/>
    <tableColumn id="7" name="Jual Net2" totalsRowFunction="sum" dataDxfId="695" totalsRowDxfId="694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18" name="Table18" displayName="Table18" ref="B3:H7" totalsRowCount="1" headerRowDxfId="693" dataDxfId="692">
  <autoFilter ref="B3:H6"/>
  <tableColumns count="7">
    <tableColumn id="1" name="Tanggal" dataDxfId="691" totalsRowDxfId="690"/>
    <tableColumn id="2" name="Nilai Jual" totalsRowFunction="sum" dataDxfId="689" totalsRowDxfId="688"/>
    <tableColumn id="3" name="Nilai Retur" totalsRowFunction="sum" dataDxfId="687" totalsRowDxfId="686"/>
    <tableColumn id="4" name="Jual Net" totalsRowFunction="sum" dataDxfId="685" totalsRowDxfId="684"/>
    <tableColumn id="5" name="Jumlah Jual" totalsRowFunction="sum" dataDxfId="683" totalsRowDxfId="682"/>
    <tableColumn id="6" name="Jumlah Retur" totalsRowFunction="sum" dataDxfId="681" totalsRowDxfId="680"/>
    <tableColumn id="7" name="Jual Net2" totalsRowFunction="sum" dataDxfId="679" totalsRowDxfId="678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19" name="Table19" displayName="Table19" ref="K3:Q7" totalsRowCount="1" headerRowDxfId="677" dataDxfId="676">
  <autoFilter ref="K3:Q6"/>
  <tableColumns count="7">
    <tableColumn id="1" name="Tanggal" dataDxfId="675" totalsRowDxfId="674"/>
    <tableColumn id="2" name="Nilai Jual" totalsRowFunction="sum" dataDxfId="673" totalsRowDxfId="672"/>
    <tableColumn id="3" name="Nilai Retur" totalsRowFunction="sum" totalsRowDxfId="671"/>
    <tableColumn id="4" name="Jual Net" totalsRowFunction="sum" dataDxfId="670" totalsRowDxfId="669"/>
    <tableColumn id="5" name="Jumlah Jual" totalsRowFunction="sum" dataDxfId="668" totalsRowDxfId="667"/>
    <tableColumn id="6" name="Jumlah Retur" totalsRowFunction="sum" dataDxfId="666" totalsRowDxfId="665"/>
    <tableColumn id="7" name="Jual Net2" totalsRowFunction="sum" dataDxfId="664" totalsRowDxfId="663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0" name="Table20" displayName="Table20" ref="B3:H7" totalsRowCount="1" headerRowDxfId="662" dataDxfId="661">
  <autoFilter ref="B3:H6"/>
  <tableColumns count="7">
    <tableColumn id="1" name="Tanggal" dataDxfId="660" totalsRowDxfId="659"/>
    <tableColumn id="2" name="Nilai Jual" totalsRowFunction="sum" dataDxfId="658" totalsRowDxfId="657"/>
    <tableColumn id="3" name="Nilai Retur" totalsRowFunction="sum" dataDxfId="656" totalsRowDxfId="655"/>
    <tableColumn id="4" name="Jual Net" totalsRowFunction="sum" dataDxfId="654" totalsRowDxfId="653"/>
    <tableColumn id="5" name="Jumlah Jual" totalsRowFunction="sum" dataDxfId="652" totalsRowDxfId="651"/>
    <tableColumn id="6" name="Jumlah Retur" totalsRowFunction="sum" dataDxfId="650" totalsRowDxfId="649"/>
    <tableColumn id="7" name="Jual Net2" totalsRowFunction="sum" dataDxfId="648" totalsRowDxfId="647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1" name="Table21" displayName="Table21" ref="K3:Q7" totalsRowCount="1" headerRowDxfId="646" dataDxfId="645">
  <autoFilter ref="K3:Q6"/>
  <tableColumns count="7">
    <tableColumn id="1" name="Tanggal" dataDxfId="644" totalsRowDxfId="643"/>
    <tableColumn id="2" name="Nilai Jual" totalsRowFunction="sum" dataDxfId="642" totalsRowDxfId="641"/>
    <tableColumn id="3" name="Nilai Retur" totalsRowFunction="sum" dataDxfId="640" totalsRowDxfId="639"/>
    <tableColumn id="4" name="Jual Net" totalsRowFunction="sum" dataDxfId="638" totalsRowDxfId="637"/>
    <tableColumn id="5" name="Jumlah Jual" totalsRowFunction="sum" dataDxfId="636" totalsRowDxfId="635"/>
    <tableColumn id="6" name="Jumlah Retur" totalsRowFunction="sum" dataDxfId="634" totalsRowDxfId="633"/>
    <tableColumn id="7" name="Jual Net2" totalsRowFunction="sum" dataDxfId="632" totalsRowDxfId="63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2" name="Table22" displayName="Table22" ref="B3:H7" totalsRowCount="1" headerRowDxfId="630" dataDxfId="629">
  <autoFilter ref="B3:H6"/>
  <tableColumns count="7">
    <tableColumn id="1" name="Tanggal" dataDxfId="628" totalsRowDxfId="627"/>
    <tableColumn id="2" name="Nilai Jual" totalsRowFunction="sum" dataDxfId="626" totalsRowDxfId="625"/>
    <tableColumn id="3" name="Nilai Retur" totalsRowFunction="sum" dataDxfId="624" totalsRowDxfId="623"/>
    <tableColumn id="4" name="Jual Net" totalsRowFunction="sum" dataDxfId="622" totalsRowDxfId="621"/>
    <tableColumn id="5" name="Jumlah Jual" totalsRowFunction="sum" dataDxfId="620" totalsRowDxfId="619"/>
    <tableColumn id="6" name="Jumlah Retur" totalsRowFunction="sum" dataDxfId="618" totalsRowDxfId="617"/>
    <tableColumn id="7" name="Jual Net2" totalsRowFunction="sum" dataDxfId="616" totalsRowDxfId="615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3" name="Table23" displayName="Table23" ref="K3:Q7" totalsRowCount="1" headerRowDxfId="614" dataDxfId="613">
  <autoFilter ref="K3:Q6"/>
  <tableColumns count="7">
    <tableColumn id="1" name="Tanggal" dataDxfId="612" totalsRowDxfId="611"/>
    <tableColumn id="2" name="Nilai Jual" totalsRowFunction="sum" dataDxfId="610" totalsRowDxfId="609"/>
    <tableColumn id="3" name="Nilai Retur" totalsRowFunction="sum" dataDxfId="608" totalsRowDxfId="607"/>
    <tableColumn id="4" name="Jual Net" totalsRowFunction="sum" dataDxfId="606" totalsRowDxfId="605"/>
    <tableColumn id="5" name="Jumlah Jual" totalsRowFunction="sum" dataDxfId="604" totalsRowDxfId="603"/>
    <tableColumn id="6" name="Jumlah Retur" totalsRowFunction="sum" dataDxfId="602" totalsRowDxfId="601"/>
    <tableColumn id="7" name="Jual Net2" totalsRowFunction="sum" dataDxfId="600" totalsRowDxfId="599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4" name="Table24" displayName="Table24" ref="B3:H7" totalsRowCount="1" headerRowDxfId="598" dataDxfId="597">
  <autoFilter ref="B3:H6"/>
  <tableColumns count="7">
    <tableColumn id="1" name="Tanggal" dataDxfId="596" totalsRowDxfId="595"/>
    <tableColumn id="2" name="Nilai Jual" totalsRowFunction="sum" dataDxfId="594" totalsRowDxfId="593"/>
    <tableColumn id="3" name="Nilai Retur" totalsRowFunction="sum" dataDxfId="592" totalsRowDxfId="591"/>
    <tableColumn id="4" name="Jual Net" totalsRowFunction="sum" dataDxfId="590" totalsRowDxfId="589"/>
    <tableColumn id="5" name="Jumlah Jual" totalsRowFunction="sum" dataDxfId="588" totalsRowDxfId="587"/>
    <tableColumn id="6" name="Jumlah Retur" totalsRowFunction="sum" dataDxfId="586" totalsRowDxfId="585"/>
    <tableColumn id="7" name="Jual Net2" totalsRowFunction="sum" dataDxfId="584" totalsRowDxfId="583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5" name="Table25" displayName="Table25" ref="K3:Q7" totalsRowCount="1" headerRowDxfId="582" dataDxfId="581">
  <autoFilter ref="K3:Q6"/>
  <tableColumns count="7">
    <tableColumn id="1" name="Tanggal" dataDxfId="580" totalsRowDxfId="579"/>
    <tableColumn id="2" name="Nilai Jual" totalsRowFunction="sum" dataDxfId="578" totalsRowDxfId="577"/>
    <tableColumn id="3" name="Nilai Retur" totalsRowFunction="sum" dataDxfId="576" totalsRowDxfId="575"/>
    <tableColumn id="4" name="Jual Net" totalsRowFunction="sum" dataDxfId="574" totalsRowDxfId="573"/>
    <tableColumn id="5" name="Jumlah Jual" totalsRowFunction="sum" dataDxfId="572" totalsRowDxfId="571"/>
    <tableColumn id="6" name="Jumlah Retur" totalsRowFunction="sum" dataDxfId="570" totalsRowDxfId="569"/>
    <tableColumn id="7" name="Jual Net2" totalsRowFunction="sum" dataDxfId="568" totalsRowDxfId="567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6" name="Table26" displayName="Table26" ref="B3:H7" totalsRowCount="1" headerRowDxfId="566" dataDxfId="565">
  <autoFilter ref="B3:H6"/>
  <tableColumns count="7">
    <tableColumn id="1" name="Tanggal" dataDxfId="564" totalsRowDxfId="563"/>
    <tableColumn id="2" name="Nilai Jual" totalsRowFunction="sum" dataDxfId="562" totalsRowDxfId="561"/>
    <tableColumn id="3" name="Nilai Retur" totalsRowFunction="sum" totalsRowDxfId="560"/>
    <tableColumn id="4" name="Jual Net" totalsRowFunction="sum" dataDxfId="559" totalsRowDxfId="558"/>
    <tableColumn id="5" name="Jumlah Jual" totalsRowFunction="sum" dataDxfId="557" totalsRowDxfId="556"/>
    <tableColumn id="6" name="Jumlah Retur" totalsRowFunction="sum" dataDxfId="555" totalsRowDxfId="554"/>
    <tableColumn id="7" name="Jual Net2" totalsRowFunction="sum" dataDxfId="553" totalsRowDxfId="55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4" name="Table64" displayName="Table64" ref="B3:H7" totalsRowCount="1" headerRowDxfId="958" dataDxfId="957">
  <autoFilter ref="B3:H6"/>
  <tableColumns count="7">
    <tableColumn id="1" name="Tanggal" dataDxfId="956" totalsRowDxfId="955"/>
    <tableColumn id="2" name="Nilai Jual" totalsRowFunction="custom" dataDxfId="954" totalsRowDxfId="953">
      <totalsRowFormula>SUM(C4:C6)</totalsRowFormula>
    </tableColumn>
    <tableColumn id="3" name="Nilai Retur" totalsRowFunction="custom" dataDxfId="952" totalsRowDxfId="951">
      <totalsRowFormula>SUM(D4:D6)</totalsRowFormula>
    </tableColumn>
    <tableColumn id="4" name="Jual Net" totalsRowFunction="custom" dataDxfId="950" totalsRowDxfId="949">
      <totalsRowFormula>SUM(E4:E6)</totalsRowFormula>
    </tableColumn>
    <tableColumn id="5" name="Jumlah Jual" totalsRowFunction="custom" dataDxfId="948" totalsRowDxfId="947">
      <totalsRowFormula>SUM(F4:F6)</totalsRowFormula>
    </tableColumn>
    <tableColumn id="6" name="Jumlah Retur" totalsRowFunction="custom" dataDxfId="946" totalsRowDxfId="945">
      <totalsRowFormula>SUM(G4:G6)</totalsRowFormula>
    </tableColumn>
    <tableColumn id="7" name="Jual Net2" totalsRowFunction="custom" dataDxfId="944" totalsRowDxfId="943">
      <totalsRowFormula>SUM(H4:H6)</totalsRowFormula>
    </tableColumn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27" name="Table27" displayName="Table27" ref="K3:Q7" totalsRowCount="1" headerRowDxfId="551" dataDxfId="550">
  <autoFilter ref="K3:Q6"/>
  <tableColumns count="7">
    <tableColumn id="1" name="Tanggal" dataDxfId="549" totalsRowDxfId="548"/>
    <tableColumn id="2" name="Nilai Jual" totalsRowFunction="sum" dataDxfId="547" totalsRowDxfId="546"/>
    <tableColumn id="3" name="Nilai Retur" totalsRowFunction="sum" dataDxfId="545" totalsRowDxfId="544"/>
    <tableColumn id="4" name="Jual Net" totalsRowFunction="sum" dataDxfId="543" totalsRowDxfId="542"/>
    <tableColumn id="5" name="Jumlah Jual" totalsRowFunction="sum" dataDxfId="541" totalsRowDxfId="540"/>
    <tableColumn id="6" name="Jumlah Retur" totalsRowFunction="sum" dataDxfId="539" totalsRowDxfId="538"/>
    <tableColumn id="7" name="Jual Net2" totalsRowFunction="sum" dataDxfId="537" totalsRowDxfId="536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28" name="Table28" displayName="Table28" ref="B3:H7" totalsRowCount="1" headerRowDxfId="535" dataDxfId="534">
  <autoFilter ref="B3:H6"/>
  <tableColumns count="7">
    <tableColumn id="1" name="Tanggal" dataDxfId="533" totalsRowDxfId="532"/>
    <tableColumn id="2" name="Nilai Jual" totalsRowFunction="sum" dataDxfId="531" totalsRowDxfId="530"/>
    <tableColumn id="3" name="Nilai Retur" totalsRowFunction="sum" dataDxfId="529" totalsRowDxfId="528"/>
    <tableColumn id="4" name="Jual Net" totalsRowFunction="sum" dataDxfId="527" totalsRowDxfId="526"/>
    <tableColumn id="5" name="Jumlah Jual" totalsRowFunction="sum" dataDxfId="525" totalsRowDxfId="524"/>
    <tableColumn id="6" name="Jumlah Retur" totalsRowFunction="sum" dataDxfId="523" totalsRowDxfId="522"/>
    <tableColumn id="7" name="Jual Net2" totalsRowFunction="sum" dataDxfId="521" totalsRowDxfId="52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29" name="Table29" displayName="Table29" ref="K3:Q7" totalsRowCount="1" headerRowDxfId="519" dataDxfId="518">
  <autoFilter ref="K3:Q6"/>
  <tableColumns count="7">
    <tableColumn id="1" name="Tanggal" dataDxfId="517" totalsRowDxfId="516"/>
    <tableColumn id="2" name="Nilai Jual" totalsRowFunction="sum" dataDxfId="515" totalsRowDxfId="514"/>
    <tableColumn id="3" name="Nilai Retur" totalsRowFunction="sum" dataDxfId="513" totalsRowDxfId="512"/>
    <tableColumn id="4" name="Jual Net" totalsRowFunction="sum" dataDxfId="511" totalsRowDxfId="510"/>
    <tableColumn id="5" name="Jumlah Jual" totalsRowFunction="sum" dataDxfId="509" totalsRowDxfId="508"/>
    <tableColumn id="6" name="Jumlah Retur" totalsRowFunction="sum" dataDxfId="507" totalsRowDxfId="506"/>
    <tableColumn id="7" name="Jual Net2" totalsRowFunction="sum" dataDxfId="505" totalsRowDxfId="504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0" name="Table30" displayName="Table30" ref="B3:H7" totalsRowCount="1" headerRowDxfId="503" dataDxfId="502">
  <autoFilter ref="B3:H6"/>
  <tableColumns count="7">
    <tableColumn id="1" name="Tanggal" dataDxfId="501" totalsRowDxfId="500"/>
    <tableColumn id="2" name="Nilai Jual" totalsRowFunction="sum" dataDxfId="499" totalsRowDxfId="498"/>
    <tableColumn id="3" name="Nilai Retur" totalsRowFunction="sum" dataDxfId="497" totalsRowDxfId="496"/>
    <tableColumn id="4" name="Jual Net" totalsRowFunction="sum" dataDxfId="495" totalsRowDxfId="494"/>
    <tableColumn id="5" name="Jumlah Jual" totalsRowFunction="sum" dataDxfId="493" totalsRowDxfId="492"/>
    <tableColumn id="6" name="Jumlah Retur" totalsRowFunction="sum" dataDxfId="491" totalsRowDxfId="490"/>
    <tableColumn id="7" name="Jual Net2" totalsRowFunction="sum" dataDxfId="489" totalsRowDxfId="488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1" name="Table31" displayName="Table31" ref="K3:Q7" totalsRowCount="1" headerRowDxfId="487" dataDxfId="486">
  <autoFilter ref="K3:Q6"/>
  <tableColumns count="7">
    <tableColumn id="1" name="Tanggal" dataDxfId="485" totalsRowDxfId="484"/>
    <tableColumn id="2" name="Nilai Jual" totalsRowFunction="sum" dataDxfId="483" totalsRowDxfId="482"/>
    <tableColumn id="3" name="Nilai Retur" totalsRowFunction="sum" totalsRowDxfId="481"/>
    <tableColumn id="4" name="Jual Net" totalsRowFunction="sum" dataDxfId="480" totalsRowDxfId="479"/>
    <tableColumn id="5" name="Jumlah Jual" totalsRowFunction="sum" dataDxfId="478" totalsRowDxfId="477"/>
    <tableColumn id="6" name="Jumlah Retur" totalsRowFunction="sum" dataDxfId="476" totalsRowDxfId="475"/>
    <tableColumn id="7" name="Jual Net2" totalsRowFunction="sum" dataDxfId="474" totalsRowDxfId="473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2" name="Table32" displayName="Table32" ref="B3:H7" totalsRowCount="1" headerRowDxfId="472" dataDxfId="471">
  <autoFilter ref="B3:H6"/>
  <tableColumns count="7">
    <tableColumn id="1" name="Tanggal" dataDxfId="470" totalsRowDxfId="469"/>
    <tableColumn id="2" name="Nilai Jual" totalsRowFunction="sum" dataDxfId="468" totalsRowDxfId="467"/>
    <tableColumn id="3" name="Nilai Retur" totalsRowFunction="sum" dataDxfId="466" totalsRowDxfId="465"/>
    <tableColumn id="4" name="Jual Net" totalsRowFunction="sum" dataDxfId="464" totalsRowDxfId="463"/>
    <tableColumn id="5" name="Jumlah Jual" totalsRowFunction="sum" dataDxfId="462" totalsRowDxfId="461"/>
    <tableColumn id="6" name="Jumlah Retur" totalsRowFunction="sum" dataDxfId="460" totalsRowDxfId="459"/>
    <tableColumn id="7" name="Jual Net2" totalsRowFunction="sum" dataDxfId="458" totalsRowDxfId="457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3" name="Table33" displayName="Table33" ref="K3:Q7" totalsRowCount="1" headerRowDxfId="456" dataDxfId="455">
  <autoFilter ref="K3:Q6"/>
  <tableColumns count="7">
    <tableColumn id="1" name="Tanggal" dataDxfId="454" totalsRowDxfId="453"/>
    <tableColumn id="2" name="Nilai Jual" totalsRowFunction="sum" dataDxfId="452" totalsRowDxfId="451"/>
    <tableColumn id="3" name="Nilai Retur" totalsRowFunction="sum" dataDxfId="450" totalsRowDxfId="449"/>
    <tableColumn id="4" name="Jual Net" totalsRowFunction="sum" dataDxfId="448" totalsRowDxfId="447"/>
    <tableColumn id="5" name="Jumlah Jual" totalsRowFunction="sum" dataDxfId="446" totalsRowDxfId="445"/>
    <tableColumn id="6" name="Jumlah Retur" totalsRowFunction="sum" dataDxfId="444" totalsRowDxfId="443"/>
    <tableColumn id="7" name="Jual Net2" totalsRowFunction="sum" dataDxfId="442" totalsRowDxfId="441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4" name="Table34" displayName="Table34" ref="B3:H7" totalsRowCount="1" headerRowDxfId="440" dataDxfId="439">
  <autoFilter ref="B3:H6"/>
  <tableColumns count="7">
    <tableColumn id="1" name="Tanggal" dataDxfId="438" totalsRowDxfId="437"/>
    <tableColumn id="2" name="Nilai Jual" totalsRowFunction="sum" dataDxfId="436" totalsRowDxfId="435"/>
    <tableColumn id="3" name="Nilai Retur" totalsRowFunction="sum" dataDxfId="434" totalsRowDxfId="433"/>
    <tableColumn id="4" name="Jual Net" totalsRowFunction="sum" dataDxfId="432" totalsRowDxfId="431"/>
    <tableColumn id="5" name="Jumlah Jual" totalsRowFunction="sum" dataDxfId="430" totalsRowDxfId="429"/>
    <tableColumn id="6" name="Jumlah Retur" totalsRowFunction="sum" dataDxfId="428" totalsRowDxfId="427"/>
    <tableColumn id="7" name="Jual Net2" totalsRowFunction="sum" dataDxfId="426" totalsRowDxfId="425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5" name="Table35" displayName="Table35" ref="K3:Q7" totalsRowCount="1" headerRowDxfId="424" dataDxfId="423">
  <autoFilter ref="K3:Q6"/>
  <tableColumns count="7">
    <tableColumn id="1" name="Tanggal" dataDxfId="422" totalsRowDxfId="421"/>
    <tableColumn id="2" name="Nilai Jual" totalsRowFunction="sum" dataDxfId="420" totalsRowDxfId="419"/>
    <tableColumn id="3" name="Nilai Retur" totalsRowFunction="sum" dataDxfId="418" totalsRowDxfId="417"/>
    <tableColumn id="4" name="Jual Net" totalsRowFunction="sum" dataDxfId="416" totalsRowDxfId="415"/>
    <tableColumn id="5" name="Jumlah Jual" totalsRowFunction="sum" dataDxfId="414" totalsRowDxfId="413"/>
    <tableColumn id="6" name="Jumlah Retur" totalsRowFunction="sum" dataDxfId="412" totalsRowDxfId="411"/>
    <tableColumn id="7" name="Jual Net2" totalsRowFunction="sum" dataDxfId="410" totalsRowDxfId="409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6" name="Table36" displayName="Table36" ref="B3:H7" totalsRowCount="1" headerRowDxfId="408" dataDxfId="407">
  <autoFilter ref="B3:H6"/>
  <tableColumns count="7">
    <tableColumn id="1" name="Tanggal" dataDxfId="406" totalsRowDxfId="405"/>
    <tableColumn id="2" name="Nilai Jual" totalsRowFunction="sum" dataDxfId="404" totalsRowDxfId="403"/>
    <tableColumn id="3" name="Nilai Retur" totalsRowFunction="sum" dataDxfId="402" totalsRowDxfId="401"/>
    <tableColumn id="4" name="Jual Net" totalsRowFunction="sum" dataDxfId="400" totalsRowDxfId="399"/>
    <tableColumn id="5" name="Jumlah Jual" totalsRowFunction="sum" dataDxfId="398" totalsRowDxfId="397"/>
    <tableColumn id="6" name="Jumlah Retur" totalsRowFunction="sum" dataDxfId="396" totalsRowDxfId="395"/>
    <tableColumn id="7" name="Jual Net2" totalsRowFunction="sum" dataDxfId="394" totalsRowDxfId="39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5" name="Table65" displayName="Table65" ref="K3:Q7" totalsRowCount="1" headerRowDxfId="942">
  <autoFilter ref="K3:Q6"/>
  <tableColumns count="7">
    <tableColumn id="1" name="Tanggal" dataDxfId="941" totalsRowDxfId="940"/>
    <tableColumn id="2" name="Nilai Jual" totalsRowFunction="sum" dataDxfId="939" totalsRowDxfId="938"/>
    <tableColumn id="3" name="Nilai Retur" totalsRowFunction="sum" dataDxfId="937" totalsRowDxfId="936"/>
    <tableColumn id="4" name="Jual Net" totalsRowFunction="sum" dataDxfId="935" totalsRowDxfId="934"/>
    <tableColumn id="5" name="Jumlah Jual" totalsRowFunction="sum" totalsRowDxfId="933"/>
    <tableColumn id="6" name="Jumlah Retur" totalsRowFunction="sum" dataDxfId="932" totalsRowDxfId="931"/>
    <tableColumn id="7" name="Jual Net2" totalsRowFunction="sum" totalsRowDxfId="930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37" name="Table37" displayName="Table37" ref="K3:Q7" totalsRowCount="1" headerRowDxfId="392" dataDxfId="391">
  <autoFilter ref="K3:Q6"/>
  <tableColumns count="7">
    <tableColumn id="1" name="Tanggal" dataDxfId="390" totalsRowDxfId="389"/>
    <tableColumn id="2" name="Nilai Jual" totalsRowFunction="sum" dataDxfId="388" totalsRowDxfId="387"/>
    <tableColumn id="3" name="Nilai Retur" totalsRowFunction="sum" dataDxfId="386" totalsRowDxfId="385"/>
    <tableColumn id="4" name="Jual Net" totalsRowFunction="sum" dataDxfId="384" totalsRowDxfId="383"/>
    <tableColumn id="5" name="Jumlah Jual" totalsRowFunction="sum" dataDxfId="382" totalsRowDxfId="381"/>
    <tableColumn id="6" name="Jumlah Retur" totalsRowFunction="sum" dataDxfId="380" totalsRowDxfId="379"/>
    <tableColumn id="7" name="Jual Net2" totalsRowFunction="sum" dataDxfId="378" totalsRowDxfId="377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39" name="Table39" displayName="Table39" ref="B3:H7" totalsRowCount="1" headerRowDxfId="376" dataDxfId="375">
  <autoFilter ref="B3:H6"/>
  <tableColumns count="7">
    <tableColumn id="1" name="Tanggal" dataDxfId="374" totalsRowDxfId="373"/>
    <tableColumn id="2" name="Nilai Jual" totalsRowFunction="sum" dataDxfId="372" totalsRowDxfId="371"/>
    <tableColumn id="3" name="Nilai Retur" totalsRowFunction="sum" dataDxfId="370" totalsRowDxfId="369"/>
    <tableColumn id="4" name="Jual Net" totalsRowFunction="sum" dataDxfId="368" totalsRowDxfId="367"/>
    <tableColumn id="5" name="Jumlah Jual" totalsRowFunction="sum" dataDxfId="366" totalsRowDxfId="365"/>
    <tableColumn id="6" name="Jumlah Retur" totalsRowFunction="sum" dataDxfId="364" totalsRowDxfId="363"/>
    <tableColumn id="7" name="Jual Net2" totalsRowFunction="sum" dataDxfId="362" totalsRowDxfId="361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0" name="Table40" displayName="Table40" ref="K3:Q7" totalsRowCount="1" headerRowDxfId="360" dataDxfId="359">
  <autoFilter ref="K3:Q6"/>
  <tableColumns count="7">
    <tableColumn id="1" name="Tanggal" dataDxfId="358" totalsRowDxfId="357"/>
    <tableColumn id="2" name="Nilai Jual" totalsRowFunction="sum" dataDxfId="356" totalsRowDxfId="355"/>
    <tableColumn id="3" name="Nilai Retur" totalsRowFunction="sum" dataDxfId="354" totalsRowDxfId="353"/>
    <tableColumn id="4" name="Jual Net" totalsRowFunction="sum" dataDxfId="352" totalsRowDxfId="351"/>
    <tableColumn id="5" name="Jumlah Jual" totalsRowFunction="sum" dataDxfId="350" totalsRowDxfId="349"/>
    <tableColumn id="6" name="Jumlah Retur" totalsRowFunction="sum" dataDxfId="348" totalsRowDxfId="347"/>
    <tableColumn id="7" name="Jual Net2" totalsRowFunction="sum" dataDxfId="346" totalsRowDxfId="345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1" name="Table41" displayName="Table41" ref="B3:H7" totalsRowCount="1" headerRowDxfId="344" dataDxfId="343">
  <autoFilter ref="B3:H6"/>
  <tableColumns count="7">
    <tableColumn id="1" name="Tanggal" dataDxfId="342" totalsRowDxfId="341"/>
    <tableColumn id="2" name="Nilai Jual" totalsRowFunction="sum" dataDxfId="340" totalsRowDxfId="339"/>
    <tableColumn id="3" name="Nilai Retur" totalsRowFunction="sum" dataDxfId="338" totalsRowDxfId="337"/>
    <tableColumn id="4" name="Jual Net" totalsRowFunction="sum" dataDxfId="336" totalsRowDxfId="335"/>
    <tableColumn id="5" name="Jumlah Jual" totalsRowFunction="sum" dataDxfId="334" totalsRowDxfId="333"/>
    <tableColumn id="6" name="Jumlah Retur" totalsRowFunction="sum" dataDxfId="332" totalsRowDxfId="331"/>
    <tableColumn id="7" name="Jual Net2" totalsRowFunction="sum" dataDxfId="330" totalsRowDxfId="329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3" name="Table43" displayName="Table43" ref="K3:Q7" totalsRowCount="1" headerRowDxfId="328" dataDxfId="327">
  <autoFilter ref="K3:Q6"/>
  <tableColumns count="7">
    <tableColumn id="1" name="Tanggal" dataDxfId="326" totalsRowDxfId="325"/>
    <tableColumn id="2" name="Nilai Jual" totalsRowFunction="sum" dataDxfId="324" totalsRowDxfId="323"/>
    <tableColumn id="3" name="Nilai Retur" totalsRowFunction="sum" dataDxfId="322" totalsRowDxfId="321"/>
    <tableColumn id="4" name="Jual Net" totalsRowFunction="sum" dataDxfId="320" totalsRowDxfId="319"/>
    <tableColumn id="5" name="Jumlah Jual" totalsRowFunction="sum" dataDxfId="318" totalsRowDxfId="317"/>
    <tableColumn id="6" name="Jumlah Retur" totalsRowFunction="sum" dataDxfId="316" totalsRowDxfId="315"/>
    <tableColumn id="7" name="Jual Net2" totalsRowFunction="sum" dataDxfId="314" totalsRowDxfId="313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4" name="Table44" displayName="Table44" ref="B3:H7" totalsRowCount="1" headerRowDxfId="312" dataDxfId="311">
  <autoFilter ref="B3:H6"/>
  <tableColumns count="7">
    <tableColumn id="1" name="Tanggal" dataDxfId="310" totalsRowDxfId="309"/>
    <tableColumn id="2" name="Nilai Jual" totalsRowFunction="sum" dataDxfId="308" totalsRowDxfId="307"/>
    <tableColumn id="3" name="Nilai Retur" totalsRowFunction="sum" dataDxfId="306" totalsRowDxfId="305"/>
    <tableColumn id="4" name="Jual Net" totalsRowFunction="sum" dataDxfId="304" totalsRowDxfId="303"/>
    <tableColumn id="5" name="Jumlah Jual" totalsRowFunction="sum" dataDxfId="302" totalsRowDxfId="301"/>
    <tableColumn id="6" name="Jumlah Retur" totalsRowFunction="sum" dataDxfId="300" totalsRowDxfId="299"/>
    <tableColumn id="7" name="Jual Net2" totalsRowFunction="sum" dataDxfId="298" totalsRowDxfId="297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5" name="Table45" displayName="Table45" ref="K3:Q7" totalsRowCount="1" headerRowDxfId="296" dataDxfId="295">
  <autoFilter ref="K3:Q6"/>
  <tableColumns count="7">
    <tableColumn id="1" name="Tanggal" dataDxfId="294" totalsRowDxfId="293"/>
    <tableColumn id="2" name="Nilai Jual" totalsRowFunction="sum" dataDxfId="292" totalsRowDxfId="291"/>
    <tableColumn id="3" name="Nilai Retur" totalsRowFunction="sum" dataDxfId="290" totalsRowDxfId="289"/>
    <tableColumn id="4" name="Jual Net" totalsRowFunction="sum" dataDxfId="288" totalsRowDxfId="287"/>
    <tableColumn id="5" name="Jumlah Jual" totalsRowFunction="sum" dataDxfId="286" totalsRowDxfId="285"/>
    <tableColumn id="6" name="Jumlah Retur" totalsRowFunction="sum" dataDxfId="284" totalsRowDxfId="283"/>
    <tableColumn id="7" name="Jual Net2" totalsRowFunction="sum" dataDxfId="282" totalsRowDxfId="281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id="46" name="Table46" displayName="Table46" ref="B3:H6" totalsRowShown="0" headerRowDxfId="280" dataDxfId="279">
  <autoFilter ref="B3:H6"/>
  <tableColumns count="7">
    <tableColumn id="1" name="Tanggal" dataDxfId="278"/>
    <tableColumn id="2" name="Nilai Jual" dataDxfId="277"/>
    <tableColumn id="3" name="Nilai Retur" dataDxfId="276"/>
    <tableColumn id="4" name="Jual Net" dataDxfId="275"/>
    <tableColumn id="5" name="Jumlah Jual" dataDxfId="274"/>
    <tableColumn id="6" name="Jumlah Retur" dataDxfId="273"/>
    <tableColumn id="7" name="Jual Net2" dataDxfId="27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id="47" name="Table47" displayName="Table47" ref="B3:H7" totalsRowCount="1" headerRowDxfId="271" dataDxfId="270">
  <autoFilter ref="B3:H6"/>
  <tableColumns count="7">
    <tableColumn id="1" name="Tanggal" dataDxfId="269" totalsRowDxfId="268"/>
    <tableColumn id="2" name="Nilai Jual" totalsRowFunction="sum" dataDxfId="267" totalsRowDxfId="266"/>
    <tableColumn id="3" name="Nilai Retur" totalsRowFunction="sum" totalsRowDxfId="265"/>
    <tableColumn id="4" name="Jual Net" totalsRowFunction="sum" dataDxfId="264" totalsRowDxfId="263"/>
    <tableColumn id="5" name="Jumlah Jual" totalsRowFunction="sum" dataDxfId="262" totalsRowDxfId="261"/>
    <tableColumn id="6" name="Jumlah Retur" totalsRowFunction="sum" dataDxfId="260" totalsRowDxfId="259"/>
    <tableColumn id="7" name="Jual Net2" totalsRowFunction="sum" dataDxfId="258" totalsRowDxfId="257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id="48" name="Table48" displayName="Table48" ref="K3:Q7" totalsRowCount="1" headerRowDxfId="256" dataDxfId="255">
  <autoFilter ref="K3:Q6"/>
  <tableColumns count="7">
    <tableColumn id="1" name="Tanggal" dataDxfId="254" totalsRowDxfId="253"/>
    <tableColumn id="2" name="Nilai Jual" totalsRowFunction="sum" dataDxfId="252" totalsRowDxfId="251"/>
    <tableColumn id="3" name="Nilai Retur" totalsRowFunction="sum" dataDxfId="250" totalsRowDxfId="249"/>
    <tableColumn id="4" name="Jual Net" totalsRowFunction="sum" dataDxfId="248" totalsRowDxfId="247"/>
    <tableColumn id="5" name="Jumlah Jual" totalsRowFunction="sum" dataDxfId="246" totalsRowDxfId="245"/>
    <tableColumn id="6" name="Jumlah Retur" totalsRowFunction="sum" dataDxfId="244" totalsRowDxfId="243"/>
    <tableColumn id="7" name="Jual Net2" totalsRowFunction="sum" dataDxfId="242" totalsRowDxfId="24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B3:H7" totalsRowCount="1" headerRowDxfId="929" headerRowBorderDxfId="928" tableBorderDxfId="927" totalsRowBorderDxfId="926">
  <autoFilter ref="B3:H6"/>
  <tableColumns count="7">
    <tableColumn id="1" name="Periode" dataDxfId="925" totalsRowDxfId="924"/>
    <tableColumn id="2" name="Nilai Jual" totalsRowFunction="sum" dataDxfId="923" totalsRowDxfId="922"/>
    <tableColumn id="3" name="Nilai Retur" totalsRowFunction="sum" dataDxfId="921" totalsRowDxfId="920"/>
    <tableColumn id="4" name="Jual Net" totalsRowFunction="sum" dataDxfId="919" totalsRowDxfId="918"/>
    <tableColumn id="5" name="Jumlah Jual" totalsRowFunction="sum" dataDxfId="917" totalsRowDxfId="916"/>
    <tableColumn id="6" name="Jumlah Retur" totalsRowFunction="sum" dataDxfId="915" totalsRowDxfId="914"/>
    <tableColumn id="7" name="Jual Net2" totalsRowFunction="sum" dataDxfId="913" totalsRowDxfId="912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id="49" name="Table49" displayName="Table49" ref="B3:H7" totalsRowCount="1" headerRowDxfId="240" dataDxfId="239">
  <autoFilter ref="B3:H6"/>
  <tableColumns count="7">
    <tableColumn id="1" name="Tanggal" dataDxfId="238" totalsRowDxfId="237"/>
    <tableColumn id="2" name="Nilai Jual" totalsRowFunction="sum" dataDxfId="236" totalsRowDxfId="235"/>
    <tableColumn id="3" name="Nilai Retur" totalsRowFunction="sum" dataDxfId="234" totalsRowDxfId="233"/>
    <tableColumn id="4" name="Jual Net" totalsRowFunction="sum" dataDxfId="232" totalsRowDxfId="231"/>
    <tableColumn id="5" name="Jumlah Jual" totalsRowFunction="sum" dataDxfId="230" totalsRowDxfId="229"/>
    <tableColumn id="6" name="Jumlah Retur" totalsRowFunction="sum" dataDxfId="228" totalsRowDxfId="227"/>
    <tableColumn id="7" name="Jual Net2" totalsRowFunction="sum" dataDxfId="226" totalsRowDxfId="225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id="50" name="Table50" displayName="Table50" ref="K3:Q7" totalsRowCount="1" headerRowDxfId="224" dataDxfId="223">
  <autoFilter ref="K3:Q6"/>
  <tableColumns count="7">
    <tableColumn id="1" name="Tanggal" dataDxfId="222" totalsRowDxfId="221"/>
    <tableColumn id="2" name="Nilai Jual" totalsRowFunction="sum" dataDxfId="220" totalsRowDxfId="219"/>
    <tableColumn id="3" name="Nilai Retur" totalsRowFunction="sum" dataDxfId="218" totalsRowDxfId="217"/>
    <tableColumn id="4" name="Jual Net" totalsRowFunction="sum" dataDxfId="216" totalsRowDxfId="215"/>
    <tableColumn id="5" name="Jumlah Jual" totalsRowFunction="sum" dataDxfId="214" totalsRowDxfId="213"/>
    <tableColumn id="6" name="Jumlah Retur" totalsRowFunction="sum" dataDxfId="212" totalsRowDxfId="211"/>
    <tableColumn id="7" name="Jual Net2" totalsRowFunction="sum" dataDxfId="210" totalsRowDxfId="209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id="51" name="Table51" displayName="Table51" ref="B3:H7" totalsRowCount="1" headerRowDxfId="208" dataDxfId="207">
  <autoFilter ref="B3:H6"/>
  <tableColumns count="7">
    <tableColumn id="1" name="Tanggal" dataDxfId="206" totalsRowDxfId="205"/>
    <tableColumn id="2" name="Nilai Jual" totalsRowFunction="sum" dataDxfId="204" totalsRowDxfId="203"/>
    <tableColumn id="3" name="Nilai Retur" totalsRowFunction="sum" dataDxfId="202" totalsRowDxfId="201"/>
    <tableColumn id="4" name="Jual Net" totalsRowFunction="sum" dataDxfId="200" totalsRowDxfId="199"/>
    <tableColumn id="5" name="Jumlah Jual" totalsRowFunction="sum" dataDxfId="198" totalsRowDxfId="197"/>
    <tableColumn id="6" name="Jumlah Retur" totalsRowFunction="sum" dataDxfId="196" totalsRowDxfId="195"/>
    <tableColumn id="7" name="Jual Net2" totalsRowFunction="sum" dataDxfId="194" totalsRowDxfId="193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id="52" name="Table52" displayName="Table52" ref="K3:Q7" totalsRowCount="1" headerRowDxfId="192" dataDxfId="191">
  <autoFilter ref="K3:Q6"/>
  <tableColumns count="7">
    <tableColumn id="1" name="Tanggal" dataDxfId="190" totalsRowDxfId="189"/>
    <tableColumn id="2" name="Nilai Jual" totalsRowFunction="sum" dataDxfId="188" totalsRowDxfId="187"/>
    <tableColumn id="3" name="Nilai Retur" totalsRowFunction="sum" dataDxfId="186" totalsRowDxfId="185"/>
    <tableColumn id="4" name="Jual Net" totalsRowFunction="sum" dataDxfId="184" totalsRowDxfId="183"/>
    <tableColumn id="5" name="Jumlah Jual" totalsRowFunction="sum" dataDxfId="182" totalsRowDxfId="181"/>
    <tableColumn id="6" name="Jumlah Retur" totalsRowFunction="sum" dataDxfId="180" totalsRowDxfId="179"/>
    <tableColumn id="7" name="Jual Net2" totalsRowFunction="sum" dataDxfId="178" totalsRowDxfId="177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id="53" name="Table53" displayName="Table53" ref="B3:H7" totalsRowCount="1" headerRowDxfId="176" dataDxfId="175">
  <autoFilter ref="B3:H6"/>
  <tableColumns count="7">
    <tableColumn id="1" name="Tanggal" dataDxfId="174" totalsRowDxfId="173"/>
    <tableColumn id="2" name="Nilai Jual" totalsRowFunction="sum" dataDxfId="172" totalsRowDxfId="171"/>
    <tableColumn id="3" name="Nilai Retur" totalsRowFunction="sum" dataDxfId="170" totalsRowDxfId="169"/>
    <tableColumn id="4" name="Jual Net" totalsRowFunction="sum" dataDxfId="168" totalsRowDxfId="167"/>
    <tableColumn id="5" name="Jumlah Jual" totalsRowFunction="sum" dataDxfId="166" totalsRowDxfId="165"/>
    <tableColumn id="6" name="Jumlah Retur" totalsRowFunction="sum" dataDxfId="164" totalsRowDxfId="163"/>
    <tableColumn id="7" name="Jual Net2" totalsRowFunction="sum" dataDxfId="162" totalsRowDxfId="161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id="54" name="Table54" displayName="Table54" ref="K3:Q7" totalsRowCount="1" headerRowDxfId="160" dataDxfId="159">
  <autoFilter ref="K3:Q6"/>
  <tableColumns count="7">
    <tableColumn id="1" name="Tanggal" dataDxfId="158" totalsRowDxfId="157"/>
    <tableColumn id="2" name="Nilai Jual" totalsRowFunction="sum" dataDxfId="156" totalsRowDxfId="155"/>
    <tableColumn id="3" name="Nilai Retur" totalsRowFunction="sum" dataDxfId="154" totalsRowDxfId="153"/>
    <tableColumn id="4" name="Jual Net" totalsRowFunction="sum" dataDxfId="152" totalsRowDxfId="151"/>
    <tableColumn id="5" name="Jumlah Jual" totalsRowFunction="sum" dataDxfId="150" totalsRowDxfId="149"/>
    <tableColumn id="6" name="Jumlah Retur" totalsRowFunction="sum" dataDxfId="148" totalsRowDxfId="147"/>
    <tableColumn id="7" name="Jual Net2" totalsRowFunction="sum" dataDxfId="146" totalsRowDxfId="145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id="16" name="Table16" displayName="Table16" ref="B3:H7" totalsRowCount="1" headerRowDxfId="144" dataDxfId="143">
  <autoFilter ref="B3:H6"/>
  <tableColumns count="7">
    <tableColumn id="1" name="Tanggal" dataDxfId="142" totalsRowDxfId="141"/>
    <tableColumn id="2" name="Nilai Jual" totalsRowFunction="sum" dataDxfId="140" totalsRowDxfId="139"/>
    <tableColumn id="3" name="Nilai Retur" totalsRowFunction="sum" dataDxfId="138" totalsRowDxfId="137"/>
    <tableColumn id="4" name="Jual Net" totalsRowFunction="sum" dataDxfId="136" totalsRowDxfId="135"/>
    <tableColumn id="5" name="Jumlah Jual" totalsRowFunction="sum" dataDxfId="134" totalsRowDxfId="133"/>
    <tableColumn id="6" name="Jumlah Retur" totalsRowFunction="sum" dataDxfId="132" totalsRowDxfId="131"/>
    <tableColumn id="7" name="Jual Net2" totalsRowFunction="sum" dataDxfId="130" totalsRowDxfId="129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id="38" name="Table38" displayName="Table38" ref="K3:Q7" totalsRowCount="1" headerRowDxfId="128" dataDxfId="127">
  <autoFilter ref="K3:Q6"/>
  <tableColumns count="7">
    <tableColumn id="1" name="Tanggal" dataDxfId="126" totalsRowDxfId="125"/>
    <tableColumn id="2" name="Nilai Jual" totalsRowFunction="sum" dataDxfId="124" totalsRowDxfId="123"/>
    <tableColumn id="3" name="Nilai Retur" totalsRowFunction="sum" dataDxfId="122" totalsRowDxfId="121"/>
    <tableColumn id="4" name="Jual Net" totalsRowFunction="sum" dataDxfId="120" totalsRowDxfId="119"/>
    <tableColumn id="5" name="Jumlah Jual" totalsRowFunction="sum" dataDxfId="118" totalsRowDxfId="117"/>
    <tableColumn id="6" name="Jumlah Retur" totalsRowFunction="sum" dataDxfId="116" totalsRowDxfId="115"/>
    <tableColumn id="7" name="Jual Net2" totalsRowFunction="sum" dataDxfId="114" totalsRowDxfId="113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id="42" name="Table42" displayName="Table42" ref="B3:H7" totalsRowCount="1" headerRowDxfId="112" dataDxfId="111">
  <autoFilter ref="B3:H6"/>
  <tableColumns count="7">
    <tableColumn id="1" name="Tanggal" dataDxfId="110" totalsRowDxfId="109"/>
    <tableColumn id="2" name="Nilai Jual" totalsRowFunction="sum" dataDxfId="108" totalsRowDxfId="107"/>
    <tableColumn id="3" name="Nilai Retur" totalsRowFunction="sum" dataDxfId="106" totalsRowDxfId="105"/>
    <tableColumn id="4" name="Jual Net" totalsRowFunction="sum" dataDxfId="104" totalsRowDxfId="103"/>
    <tableColumn id="5" name="Jumlah Jual" totalsRowFunction="sum" dataDxfId="102" totalsRowDxfId="101"/>
    <tableColumn id="6" name="Jumlah Retur" totalsRowFunction="sum" dataDxfId="100" totalsRowDxfId="99"/>
    <tableColumn id="7" name="Jual Net2" totalsRowFunction="sum" dataDxfId="98" totalsRowDxfId="97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id="55" name="Table55" displayName="Table55" ref="K3:Q7" totalsRowCount="1" headerRowDxfId="96" dataDxfId="95">
  <autoFilter ref="K3:Q6"/>
  <tableColumns count="7">
    <tableColumn id="1" name="Tanggal" dataDxfId="94" totalsRowDxfId="93"/>
    <tableColumn id="2" name="Nilai Jual" totalsRowFunction="sum" dataDxfId="92" totalsRowDxfId="91"/>
    <tableColumn id="3" name="Nilai Retur" totalsRowFunction="sum" dataDxfId="90" totalsRowDxfId="89"/>
    <tableColumn id="4" name="Jual Net" totalsRowFunction="sum" dataDxfId="88" totalsRowDxfId="87"/>
    <tableColumn id="5" name="Jumlah Jual" totalsRowFunction="sum" dataDxfId="86" totalsRowDxfId="85"/>
    <tableColumn id="6" name="Jumlah Retur" totalsRowFunction="sum" dataDxfId="84" totalsRowDxfId="83"/>
    <tableColumn id="7" name="Jual Net2" totalsRowFunction="sum" dataDxfId="82" totalsRowDxfId="8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K3:Q7" totalsRowCount="1" headerRowDxfId="911" headerRowBorderDxfId="910" tableBorderDxfId="909" totalsRowBorderDxfId="908">
  <autoFilter ref="K3:Q6"/>
  <tableColumns count="7">
    <tableColumn id="1" name="Periode" dataDxfId="907" totalsRowDxfId="906"/>
    <tableColumn id="2" name="Nilai Jual" totalsRowFunction="sum" dataDxfId="905" totalsRowDxfId="904"/>
    <tableColumn id="3" name="Nilai Retur" totalsRowFunction="sum" dataDxfId="903" totalsRowDxfId="902"/>
    <tableColumn id="4" name="Jual Net" totalsRowFunction="sum" dataDxfId="901" totalsRowDxfId="900"/>
    <tableColumn id="5" name="Jumlah Jual" totalsRowFunction="sum" dataDxfId="899" totalsRowDxfId="898"/>
    <tableColumn id="6" name="Jumlah Retur" totalsRowFunction="sum" dataDxfId="897" totalsRowDxfId="896"/>
    <tableColumn id="7" name="Jual Net2" totalsRowFunction="sum" dataDxfId="895" totalsRowDxfId="894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id="56" name="Table56" displayName="Table56" ref="B3:H7" totalsRowCount="1" headerRowDxfId="80" dataDxfId="79">
  <autoFilter ref="B3:H6"/>
  <tableColumns count="7">
    <tableColumn id="1" name="Tanggal" dataDxfId="78" totalsRowDxfId="77"/>
    <tableColumn id="2" name="Nilai Jual" totalsRowFunction="sum" dataDxfId="76" totalsRowDxfId="75"/>
    <tableColumn id="3" name="Nilai Retur" totalsRowFunction="sum" dataDxfId="74" totalsRowDxfId="73"/>
    <tableColumn id="4" name="Jual Net" totalsRowFunction="sum" dataDxfId="72" totalsRowDxfId="71"/>
    <tableColumn id="5" name="Jumlah Jual" totalsRowFunction="sum" dataDxfId="70" totalsRowDxfId="69"/>
    <tableColumn id="6" name="Jumlah Retur" totalsRowFunction="sum" dataDxfId="68" totalsRowDxfId="67"/>
    <tableColumn id="7" name="Jual Net2" totalsRowFunction="sum" dataDxfId="66" totalsRowDxfId="65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id="57" name="Table57" displayName="Table57" ref="K3:Q7" totalsRowCount="1" headerRowDxfId="64" dataDxfId="63">
  <autoFilter ref="K3:Q6"/>
  <tableColumns count="7">
    <tableColumn id="1" name="Tanggal" dataDxfId="62" totalsRowDxfId="61"/>
    <tableColumn id="2" name="Nilai Jual" totalsRowFunction="sum" dataDxfId="60" totalsRowDxfId="59"/>
    <tableColumn id="3" name="Nilai Retur" totalsRowFunction="sum" dataDxfId="58" totalsRowDxfId="57"/>
    <tableColumn id="4" name="Jual Net" totalsRowFunction="sum" dataDxfId="56" totalsRowDxfId="55"/>
    <tableColumn id="5" name="Jumlah Jual" totalsRowFunction="sum" dataDxfId="54" totalsRowDxfId="53"/>
    <tableColumn id="6" name="Jumlah Retur" totalsRowFunction="sum" dataDxfId="52" totalsRowDxfId="51"/>
    <tableColumn id="7" name="Jual Net2" totalsRowFunction="sum" dataDxfId="50" totalsRowDxfId="49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id="58" name="Table58" displayName="Table58" ref="B3:H7" totalsRowCount="1" headerRowDxfId="48" dataDxfId="47">
  <autoFilter ref="B3:H6"/>
  <tableColumns count="7">
    <tableColumn id="1" name="Tanggal" dataDxfId="46" totalsRowDxfId="45"/>
    <tableColumn id="2" name="Nilai Jual" totalsRowFunction="sum" dataDxfId="44" totalsRowDxfId="43"/>
    <tableColumn id="3" name="Nilai Retur" totalsRowFunction="sum" dataDxfId="42" totalsRowDxfId="41"/>
    <tableColumn id="4" name="Jual Net" totalsRowFunction="sum" dataDxfId="40" totalsRowDxfId="39"/>
    <tableColumn id="5" name="Jumlah Jual" totalsRowFunction="sum" dataDxfId="38" totalsRowDxfId="37"/>
    <tableColumn id="6" name="Jumlah Retur" totalsRowFunction="sum" dataDxfId="36" totalsRowDxfId="35"/>
    <tableColumn id="7" name="Jual Net2" totalsRowFunction="sum" dataDxfId="34" totalsRowDxfId="33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id="59" name="Table59" displayName="Table59" ref="K3:Q7" totalsRowCount="1" headerRowDxfId="32" dataDxfId="31">
  <autoFilter ref="K3:Q6"/>
  <tableColumns count="7">
    <tableColumn id="1" name="Tanggal" dataDxfId="30" totalsRowDxfId="29"/>
    <tableColumn id="2" name="Nilai Jual" totalsRowFunction="sum" dataDxfId="28" totalsRowDxfId="27"/>
    <tableColumn id="3" name="Nilai Retur" totalsRowFunction="sum" dataDxfId="26" totalsRowDxfId="25"/>
    <tableColumn id="4" name="Jual Net" totalsRowFunction="sum" dataDxfId="24" totalsRowDxfId="23"/>
    <tableColumn id="5" name="Jumlah Jual" totalsRowFunction="sum" dataDxfId="22" totalsRowDxfId="21"/>
    <tableColumn id="6" name="Jumlah Retur" totalsRowFunction="sum" dataDxfId="20" totalsRowDxfId="19"/>
    <tableColumn id="7" name="Jual Net2" totalsRowFunction="sum" dataDxfId="18" totalsRowDxfId="17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id="60" name="Table60" displayName="Table60" ref="B3:H6" totalsRowShown="0" headerRowDxfId="16" dataDxfId="15">
  <autoFilter ref="B3:H6"/>
  <tableColumns count="7">
    <tableColumn id="1" name="Tanggal" dataDxfId="14"/>
    <tableColumn id="2" name="Nilai Jual" dataDxfId="13"/>
    <tableColumn id="3" name="Nilai Retur"/>
    <tableColumn id="4" name="Jual Net" dataDxfId="12"/>
    <tableColumn id="5" name="Jumlah Jual" dataDxfId="11"/>
    <tableColumn id="6" name="Jumlah Retur" dataDxfId="10"/>
    <tableColumn id="7" name="Jual Net2" dataDxfId="9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id="61" name="Table61" displayName="Table61" ref="K3:Q4" totalsRowShown="0" headerRowDxfId="8" dataDxfId="7">
  <autoFilter ref="K3:Q4"/>
  <tableColumns count="7">
    <tableColumn id="1" name="Tanggal" dataDxfId="6"/>
    <tableColumn id="2" name="Nilai Jual" dataDxfId="5"/>
    <tableColumn id="3" name="Nilai Retur" dataDxfId="4"/>
    <tableColumn id="4" name="Jual Net" dataDxfId="3"/>
    <tableColumn id="5" name="Jumlah Jual" dataDxfId="2"/>
    <tableColumn id="6" name="Jumlah Retur" dataDxfId="1"/>
    <tableColumn id="7" name="Jual Net2" dataDxfId="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B3:H7" totalsRowCount="1" headerRowDxfId="893" headerRowBorderDxfId="892" tableBorderDxfId="891" totalsRowBorderDxfId="890">
  <autoFilter ref="B3:H6"/>
  <tableColumns count="7">
    <tableColumn id="1" name="Periode" dataDxfId="889" totalsRowDxfId="888"/>
    <tableColumn id="2" name="Nilai Jual" totalsRowFunction="sum" dataDxfId="887" totalsRowDxfId="886"/>
    <tableColumn id="3" name="Nilai Retur" totalsRowFunction="sum" totalsRowDxfId="885"/>
    <tableColumn id="4" name="Jual Net" totalsRowFunction="sum" dataDxfId="884" totalsRowDxfId="883"/>
    <tableColumn id="5" name="Jumlah Jual" totalsRowFunction="sum" dataDxfId="882" totalsRowDxfId="881"/>
    <tableColumn id="6" name="Jumlah Retur" totalsRowFunction="sum" dataDxfId="880" totalsRowDxfId="879"/>
    <tableColumn id="7" name="Jual Net2" totalsRowFunction="sum" dataDxfId="878" totalsRowDxfId="877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4" name="Table4" displayName="Table4" ref="K3:Q5" totalsRowShown="0" headerRowDxfId="876" dataDxfId="875">
  <autoFilter ref="K3:Q5"/>
  <tableColumns count="7">
    <tableColumn id="1" name="Periode" dataDxfId="874"/>
    <tableColumn id="2" name="Nilai Jual" dataDxfId="873"/>
    <tableColumn id="3" name="Nilai Retur"/>
    <tableColumn id="4" name="Jual Net" dataDxfId="872"/>
    <tableColumn id="5" name="Jumlah Jual" dataDxfId="871"/>
    <tableColumn id="6" name="Jumlah Retur" dataDxfId="870"/>
    <tableColumn id="7" name="Jual Net2" dataDxfId="86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5" name="Table5" displayName="Table5" ref="B3:H7" totalsRowCount="1" headerRowDxfId="868" dataDxfId="867">
  <autoFilter ref="B3:H6"/>
  <tableColumns count="7">
    <tableColumn id="1" name="Tanggal" dataDxfId="866" totalsRowDxfId="865"/>
    <tableColumn id="2" name="Nilai Jual" totalsRowFunction="sum" dataDxfId="864" totalsRowDxfId="863"/>
    <tableColumn id="3" name="Nilai Retur" totalsRowFunction="sum" dataDxfId="862" totalsRowDxfId="861"/>
    <tableColumn id="4" name="Jual Net" totalsRowFunction="sum" dataDxfId="860" totalsRowDxfId="859"/>
    <tableColumn id="5" name="Jumlah Jual" totalsRowFunction="sum" dataDxfId="858" totalsRowDxfId="857"/>
    <tableColumn id="6" name="Jumlah Retur" totalsRowFunction="sum" dataDxfId="856" totalsRowDxfId="855"/>
    <tableColumn id="7" name="Jual Net2" totalsRowFunction="sum" dataDxfId="854" totalsRowDxfId="85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table" Target="../tables/table43.x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2" Type="http://schemas.openxmlformats.org/officeDocument/2006/relationships/table" Target="../tables/table50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5.xml"/><Relationship Id="rId2" Type="http://schemas.openxmlformats.org/officeDocument/2006/relationships/table" Target="../tables/table54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5.xml"/><Relationship Id="rId2" Type="http://schemas.openxmlformats.org/officeDocument/2006/relationships/table" Target="../tables/table64.xml"/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15" x14ac:dyDescent="0.25"/>
  <cols>
    <col min="2" max="2" width="9.85546875" customWidth="1"/>
    <col min="3" max="3" width="11.140625" bestFit="1" customWidth="1"/>
    <col min="4" max="4" width="12.5703125" customWidth="1"/>
    <col min="5" max="5" width="11.140625" bestFit="1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2.7109375" bestFit="1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t="s">
        <v>42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143851488</v>
      </c>
      <c r="D4" s="4">
        <v>17109838</v>
      </c>
      <c r="E4" s="4">
        <v>126741650</v>
      </c>
      <c r="F4" s="4">
        <v>1538</v>
      </c>
      <c r="G4" s="3">
        <v>170</v>
      </c>
      <c r="H4" s="4">
        <v>1368</v>
      </c>
      <c r="K4" s="2">
        <v>43101</v>
      </c>
      <c r="L4" s="4">
        <v>53093863</v>
      </c>
      <c r="M4" s="4">
        <v>9849613</v>
      </c>
      <c r="N4" s="4">
        <v>43244250</v>
      </c>
      <c r="O4" s="3">
        <v>577</v>
      </c>
      <c r="P4" s="3">
        <v>110</v>
      </c>
      <c r="Q4" s="3">
        <v>467</v>
      </c>
    </row>
    <row r="5" spans="1:17" ht="15" customHeight="1" x14ac:dyDescent="0.25">
      <c r="A5" s="1"/>
      <c r="B5" s="2">
        <v>42767</v>
      </c>
      <c r="C5" s="4">
        <v>169420913</v>
      </c>
      <c r="D5" s="4">
        <v>29690325</v>
      </c>
      <c r="E5" s="4">
        <v>139730588</v>
      </c>
      <c r="F5" s="4">
        <v>1699</v>
      </c>
      <c r="G5" s="3">
        <v>315</v>
      </c>
      <c r="H5" s="4">
        <v>1384</v>
      </c>
      <c r="K5" s="2">
        <v>43132</v>
      </c>
      <c r="L5" s="4">
        <v>69718863</v>
      </c>
      <c r="M5" s="4">
        <v>14087675</v>
      </c>
      <c r="N5" s="4">
        <v>55631188</v>
      </c>
      <c r="O5" s="3">
        <v>733</v>
      </c>
      <c r="P5" s="3">
        <v>133</v>
      </c>
      <c r="Q5" s="3">
        <v>600</v>
      </c>
    </row>
    <row r="6" spans="1:17" ht="15" customHeight="1" x14ac:dyDescent="0.25">
      <c r="B6" s="2">
        <v>42795</v>
      </c>
      <c r="C6" s="4">
        <v>273012425</v>
      </c>
      <c r="D6" s="4">
        <v>58608638</v>
      </c>
      <c r="E6" s="4">
        <v>214403788</v>
      </c>
      <c r="F6" s="4">
        <v>2684</v>
      </c>
      <c r="G6" s="3">
        <v>582</v>
      </c>
      <c r="H6" s="4">
        <v>2102</v>
      </c>
      <c r="K6" s="2">
        <v>43160</v>
      </c>
      <c r="L6" s="4">
        <v>88331163</v>
      </c>
      <c r="M6" s="4">
        <v>19821200</v>
      </c>
      <c r="N6" s="4">
        <v>68509963</v>
      </c>
      <c r="O6" s="3">
        <v>915</v>
      </c>
      <c r="P6" s="3">
        <v>196</v>
      </c>
      <c r="Q6" s="3">
        <v>719</v>
      </c>
    </row>
    <row r="7" spans="1:17" ht="15" customHeight="1" x14ac:dyDescent="0.25">
      <c r="B7" s="30"/>
      <c r="C7" s="4">
        <f>SUM(Table62[Nilai Jual])</f>
        <v>586284826</v>
      </c>
      <c r="D7" s="4">
        <f>SUM(Table62[Nilai Retur])</f>
        <v>105408801</v>
      </c>
      <c r="E7" s="4">
        <f>SUM(Table62[Jual Net])</f>
        <v>480876026</v>
      </c>
      <c r="F7" s="4">
        <f>SUM(Table62[Jumlah Jual])</f>
        <v>5921</v>
      </c>
      <c r="G7" s="4">
        <f>SUM(Table62[Jumlah Retur])</f>
        <v>1067</v>
      </c>
      <c r="H7" s="4">
        <f>SUM(Table62[Jual Net2])</f>
        <v>4854</v>
      </c>
      <c r="K7" s="30"/>
      <c r="L7" s="4">
        <f>SUM(L4:L6)</f>
        <v>211143889</v>
      </c>
      <c r="M7" s="4">
        <f>SUM(M4:M6)</f>
        <v>43758488</v>
      </c>
      <c r="N7" s="4">
        <f>SUM(N4:N6)</f>
        <v>167385401</v>
      </c>
      <c r="O7" s="4">
        <f t="shared" ref="O7:Q7" si="0">SUM(O4:O6)</f>
        <v>2225</v>
      </c>
      <c r="P7" s="4">
        <f t="shared" si="0"/>
        <v>439</v>
      </c>
      <c r="Q7" s="4">
        <f t="shared" si="0"/>
        <v>1786</v>
      </c>
    </row>
    <row r="8" spans="1:17" x14ac:dyDescent="0.25">
      <c r="B8" s="2"/>
      <c r="C8" s="4"/>
      <c r="D8" s="4"/>
      <c r="E8" s="4"/>
      <c r="F8" s="4"/>
      <c r="G8" s="3"/>
      <c r="H8" s="4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RowHeight="15" x14ac:dyDescent="0.25"/>
  <cols>
    <col min="1" max="1" width="19.42578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11" ht="30" x14ac:dyDescent="0.25">
      <c r="A1" s="28" t="s">
        <v>16</v>
      </c>
      <c r="B1" s="68">
        <v>2017</v>
      </c>
      <c r="C1" s="68"/>
      <c r="D1" s="68"/>
      <c r="E1" s="68"/>
      <c r="F1" s="68"/>
      <c r="G1" s="68"/>
      <c r="H1" s="68"/>
    </row>
    <row r="3" spans="1:11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11" ht="15" customHeight="1" x14ac:dyDescent="0.25">
      <c r="B4" s="2">
        <v>42736</v>
      </c>
      <c r="C4" s="4">
        <v>18896238</v>
      </c>
      <c r="D4" s="4">
        <v>6587875</v>
      </c>
      <c r="E4" s="4">
        <v>12308363</v>
      </c>
      <c r="F4" s="3">
        <v>188</v>
      </c>
      <c r="G4" s="3">
        <v>67</v>
      </c>
      <c r="H4" s="3">
        <v>121</v>
      </c>
      <c r="K4" t="s">
        <v>1</v>
      </c>
    </row>
    <row r="5" spans="1:11" ht="15" customHeight="1" x14ac:dyDescent="0.25">
      <c r="B5" s="2">
        <v>42767</v>
      </c>
      <c r="C5" s="4">
        <v>26993663</v>
      </c>
      <c r="D5" s="4">
        <v>8755250</v>
      </c>
      <c r="E5" s="4">
        <v>18238413</v>
      </c>
      <c r="F5" s="3">
        <v>263</v>
      </c>
      <c r="G5" s="3">
        <v>93</v>
      </c>
      <c r="H5" s="3">
        <v>170</v>
      </c>
      <c r="K5" t="s">
        <v>1</v>
      </c>
    </row>
    <row r="6" spans="1:11" ht="15" customHeight="1" x14ac:dyDescent="0.25">
      <c r="B6" s="2">
        <v>42795</v>
      </c>
      <c r="C6" s="4">
        <v>65075063</v>
      </c>
      <c r="D6" s="4">
        <v>15188425</v>
      </c>
      <c r="E6" s="4">
        <v>49886638</v>
      </c>
      <c r="F6" s="3">
        <v>642</v>
      </c>
      <c r="G6" s="3">
        <v>132</v>
      </c>
      <c r="H6" s="3">
        <v>510</v>
      </c>
      <c r="K6" t="s">
        <v>1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6.28515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17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12686450</v>
      </c>
      <c r="D4" s="4">
        <v>742613</v>
      </c>
      <c r="E4" s="4">
        <v>11943838</v>
      </c>
      <c r="F4" s="3">
        <v>109</v>
      </c>
      <c r="G4" s="3">
        <v>7</v>
      </c>
      <c r="H4" s="3">
        <v>102</v>
      </c>
      <c r="K4" s="2">
        <v>43101</v>
      </c>
      <c r="L4" s="4">
        <v>10443038</v>
      </c>
      <c r="M4" s="3">
        <v>0</v>
      </c>
      <c r="N4" s="4">
        <v>10443038</v>
      </c>
      <c r="O4" s="3">
        <v>84</v>
      </c>
      <c r="P4" s="3">
        <v>0</v>
      </c>
      <c r="Q4" s="3">
        <v>84</v>
      </c>
    </row>
    <row r="5" spans="1:17" x14ac:dyDescent="0.25">
      <c r="B5" s="2">
        <v>42767</v>
      </c>
      <c r="C5" s="4">
        <v>17144663</v>
      </c>
      <c r="D5" s="4">
        <v>211488</v>
      </c>
      <c r="E5" s="4">
        <v>16933175</v>
      </c>
      <c r="F5" s="3">
        <v>145</v>
      </c>
      <c r="G5" s="3">
        <v>2</v>
      </c>
      <c r="H5" s="3">
        <v>143</v>
      </c>
      <c r="K5" s="2">
        <v>43132</v>
      </c>
      <c r="L5" s="4">
        <v>15020688</v>
      </c>
      <c r="M5" s="4">
        <v>503388</v>
      </c>
      <c r="N5" s="4">
        <v>14517300</v>
      </c>
      <c r="O5" s="3">
        <v>142</v>
      </c>
      <c r="P5" s="3">
        <v>5</v>
      </c>
      <c r="Q5" s="3">
        <v>137</v>
      </c>
    </row>
    <row r="6" spans="1:17" ht="15" customHeight="1" x14ac:dyDescent="0.25">
      <c r="B6" s="2">
        <v>42795</v>
      </c>
      <c r="C6" s="4">
        <v>17946688</v>
      </c>
      <c r="D6" s="4">
        <v>610838</v>
      </c>
      <c r="E6" s="4">
        <v>17335850</v>
      </c>
      <c r="F6" s="3">
        <v>146</v>
      </c>
      <c r="G6" s="3">
        <v>5</v>
      </c>
      <c r="H6" s="3">
        <v>141</v>
      </c>
      <c r="K6" s="2">
        <v>43160</v>
      </c>
      <c r="L6" s="4">
        <v>18219163</v>
      </c>
      <c r="M6" s="4">
        <v>724325</v>
      </c>
      <c r="N6" s="4">
        <v>17494838</v>
      </c>
      <c r="O6" s="3">
        <v>160</v>
      </c>
      <c r="P6" s="3">
        <v>7</v>
      </c>
      <c r="Q6" s="3">
        <v>153</v>
      </c>
    </row>
    <row r="7" spans="1:17" ht="15" customHeight="1" x14ac:dyDescent="0.25">
      <c r="B7" s="30"/>
      <c r="C7" s="4">
        <f>SUBTOTAL(109,Table15[Nilai Jual])</f>
        <v>47777801</v>
      </c>
      <c r="D7" s="4">
        <f>SUBTOTAL(109,Table15[Nilai Retur])</f>
        <v>1564939</v>
      </c>
      <c r="E7" s="4">
        <f>SUBTOTAL(109,Table15[Jual Net])</f>
        <v>46212863</v>
      </c>
      <c r="F7" s="4">
        <f>SUBTOTAL(109,Table15[Jumlah Jual])</f>
        <v>400</v>
      </c>
      <c r="G7" s="4">
        <f>SUBTOTAL(109,Table15[Jumlah Retur])</f>
        <v>14</v>
      </c>
      <c r="H7" s="4">
        <f>SUBTOTAL(109,Table15[Jual Net2])</f>
        <v>386</v>
      </c>
      <c r="K7" s="30"/>
      <c r="L7" s="4">
        <f>SUBTOTAL(109,Table17[Nilai Jual])</f>
        <v>43682889</v>
      </c>
      <c r="M7" s="4">
        <f>SUBTOTAL(109,Table17[Nilai Retur])</f>
        <v>1227713</v>
      </c>
      <c r="N7" s="4">
        <f>SUBTOTAL(109,Table17[Jual Net])</f>
        <v>42455176</v>
      </c>
      <c r="O7" s="4">
        <f>SUBTOTAL(109,Table17[Jumlah Jual])</f>
        <v>386</v>
      </c>
      <c r="P7" s="4">
        <f>SUBTOTAL(109,Table17[Jumlah Retur])</f>
        <v>12</v>
      </c>
      <c r="Q7" s="4">
        <f>SUBTOTAL(109,Table17[Jual Net2])</f>
        <v>374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4.28515625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18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2" spans="1:17" x14ac:dyDescent="0.25">
      <c r="A2" s="18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11499775</v>
      </c>
      <c r="D4" s="4">
        <v>822850</v>
      </c>
      <c r="E4" s="4">
        <v>10676925</v>
      </c>
      <c r="F4" s="3">
        <v>109</v>
      </c>
      <c r="G4" s="3">
        <v>8</v>
      </c>
      <c r="H4" s="3">
        <v>101</v>
      </c>
      <c r="K4" s="2">
        <v>43101</v>
      </c>
      <c r="L4" s="4">
        <v>2369500</v>
      </c>
      <c r="M4" s="3">
        <v>0</v>
      </c>
      <c r="N4" s="4">
        <v>2369500</v>
      </c>
      <c r="O4" s="3">
        <v>24</v>
      </c>
      <c r="P4" s="3">
        <v>0</v>
      </c>
      <c r="Q4" s="3">
        <v>24</v>
      </c>
    </row>
    <row r="5" spans="1:17" ht="15" customHeight="1" x14ac:dyDescent="0.25">
      <c r="B5" s="2">
        <v>42767</v>
      </c>
      <c r="C5" s="4">
        <v>20612288</v>
      </c>
      <c r="D5" s="4">
        <v>2328638</v>
      </c>
      <c r="E5" s="4">
        <v>18283650</v>
      </c>
      <c r="F5" s="3">
        <v>193</v>
      </c>
      <c r="G5" s="3">
        <v>21</v>
      </c>
      <c r="H5" s="3">
        <v>172</v>
      </c>
      <c r="K5" s="2">
        <v>43132</v>
      </c>
      <c r="L5" s="4">
        <v>14588000</v>
      </c>
      <c r="M5" s="4">
        <v>980263</v>
      </c>
      <c r="N5" s="4">
        <v>13607738</v>
      </c>
      <c r="O5" s="3">
        <v>145</v>
      </c>
      <c r="P5" s="3">
        <v>9</v>
      </c>
      <c r="Q5" s="3">
        <v>136</v>
      </c>
    </row>
    <row r="6" spans="1:17" ht="15" customHeight="1" x14ac:dyDescent="0.25">
      <c r="B6" s="2">
        <v>42795</v>
      </c>
      <c r="C6" s="4">
        <v>32027713</v>
      </c>
      <c r="D6" s="4">
        <v>3483463</v>
      </c>
      <c r="E6" s="4">
        <v>28544250</v>
      </c>
      <c r="F6" s="3">
        <v>289</v>
      </c>
      <c r="G6" s="3">
        <v>30</v>
      </c>
      <c r="H6" s="3">
        <v>259</v>
      </c>
      <c r="K6" s="2">
        <v>43160</v>
      </c>
      <c r="L6" s="4">
        <v>18573713</v>
      </c>
      <c r="M6" s="4">
        <v>747425</v>
      </c>
      <c r="N6" s="4">
        <v>17826288</v>
      </c>
      <c r="O6" s="3">
        <v>173</v>
      </c>
      <c r="P6" s="3">
        <v>8</v>
      </c>
      <c r="Q6" s="3">
        <v>165</v>
      </c>
    </row>
    <row r="7" spans="1:17" ht="15" customHeight="1" x14ac:dyDescent="0.25">
      <c r="B7" s="30"/>
      <c r="C7" s="4">
        <f>SUBTOTAL(109,Table18[Nilai Jual])</f>
        <v>64139776</v>
      </c>
      <c r="D7" s="4">
        <f>SUBTOTAL(109,Table18[Nilai Retur])</f>
        <v>6634951</v>
      </c>
      <c r="E7" s="4">
        <f>SUBTOTAL(109,Table18[Jual Net])</f>
        <v>57504825</v>
      </c>
      <c r="F7" s="4">
        <f>SUBTOTAL(109,Table18[Jumlah Jual])</f>
        <v>591</v>
      </c>
      <c r="G7" s="4">
        <f>SUBTOTAL(109,Table18[Jumlah Retur])</f>
        <v>59</v>
      </c>
      <c r="H7" s="4">
        <f>SUBTOTAL(109,Table18[Jual Net2])</f>
        <v>532</v>
      </c>
      <c r="K7" s="30"/>
      <c r="L7" s="4">
        <f>SUBTOTAL(109,Table19[Nilai Jual])</f>
        <v>35531213</v>
      </c>
      <c r="M7" s="4">
        <f>SUBTOTAL(109,Table19[Nilai Retur])</f>
        <v>1727688</v>
      </c>
      <c r="N7" s="4">
        <f>SUBTOTAL(109,Table19[Jual Net])</f>
        <v>33803526</v>
      </c>
      <c r="O7" s="4">
        <f>SUBTOTAL(109,Table19[Jumlah Jual])</f>
        <v>342</v>
      </c>
      <c r="P7" s="4">
        <f>SUBTOTAL(109,Table19[Jumlah Retur])</f>
        <v>17</v>
      </c>
      <c r="Q7" s="4">
        <f>SUBTOTAL(109,Table19[Jual Net2])</f>
        <v>325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19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10915888</v>
      </c>
      <c r="D4" s="4">
        <v>605150</v>
      </c>
      <c r="E4" s="4">
        <v>10310738</v>
      </c>
      <c r="F4" s="3">
        <v>103</v>
      </c>
      <c r="G4" s="3">
        <v>7</v>
      </c>
      <c r="H4" s="3">
        <v>96</v>
      </c>
      <c r="K4" s="2">
        <v>43101</v>
      </c>
      <c r="L4" s="4">
        <v>8076775</v>
      </c>
      <c r="M4" s="4">
        <v>228025</v>
      </c>
      <c r="N4" s="4">
        <v>7848750</v>
      </c>
      <c r="O4" s="3">
        <v>75</v>
      </c>
      <c r="P4" s="3">
        <v>2</v>
      </c>
      <c r="Q4" s="3">
        <v>73</v>
      </c>
    </row>
    <row r="5" spans="1:17" ht="15" customHeight="1" x14ac:dyDescent="0.25">
      <c r="B5" s="2">
        <v>42767</v>
      </c>
      <c r="C5" s="4">
        <v>18635488</v>
      </c>
      <c r="D5" s="4">
        <v>540838</v>
      </c>
      <c r="E5" s="4">
        <v>18094650</v>
      </c>
      <c r="F5" s="3">
        <v>189</v>
      </c>
      <c r="G5" s="3">
        <v>5</v>
      </c>
      <c r="H5" s="3">
        <v>184</v>
      </c>
      <c r="K5" s="2">
        <v>43132</v>
      </c>
      <c r="L5" s="4">
        <v>8414000</v>
      </c>
      <c r="M5" s="4">
        <v>195825</v>
      </c>
      <c r="N5" s="4">
        <v>8218175</v>
      </c>
      <c r="O5" s="3">
        <v>78</v>
      </c>
      <c r="P5" s="3">
        <v>2</v>
      </c>
      <c r="Q5" s="3">
        <v>76</v>
      </c>
    </row>
    <row r="6" spans="1:17" ht="15" customHeight="1" x14ac:dyDescent="0.25">
      <c r="B6" s="2">
        <v>42795</v>
      </c>
      <c r="C6" s="4">
        <v>18730775</v>
      </c>
      <c r="D6" s="4">
        <v>460950</v>
      </c>
      <c r="E6" s="4">
        <v>18269825</v>
      </c>
      <c r="F6" s="3">
        <v>184</v>
      </c>
      <c r="G6" s="3">
        <v>5</v>
      </c>
      <c r="H6" s="3">
        <v>179</v>
      </c>
      <c r="K6" s="2">
        <v>43160</v>
      </c>
      <c r="L6" s="4">
        <v>7812788</v>
      </c>
      <c r="M6" s="4">
        <v>382463</v>
      </c>
      <c r="N6" s="4">
        <v>7430325</v>
      </c>
      <c r="O6" s="3">
        <v>68</v>
      </c>
      <c r="P6" s="3">
        <v>2</v>
      </c>
      <c r="Q6" s="3">
        <v>66</v>
      </c>
    </row>
    <row r="7" spans="1:17" ht="15" customHeight="1" x14ac:dyDescent="0.25">
      <c r="B7" s="30"/>
      <c r="C7" s="4">
        <f>SUBTOTAL(109,Table20[Nilai Jual])</f>
        <v>48282151</v>
      </c>
      <c r="D7" s="4">
        <f>SUBTOTAL(109,Table20[Nilai Retur])</f>
        <v>1606938</v>
      </c>
      <c r="E7" s="4">
        <f>SUBTOTAL(109,Table20[Jual Net])</f>
        <v>46675213</v>
      </c>
      <c r="F7" s="4">
        <f>SUBTOTAL(109,Table20[Jumlah Jual])</f>
        <v>476</v>
      </c>
      <c r="G7" s="4">
        <f>SUBTOTAL(109,Table20[Jumlah Retur])</f>
        <v>17</v>
      </c>
      <c r="H7" s="4">
        <f>SUBTOTAL(109,Table20[Jual Net2])</f>
        <v>459</v>
      </c>
      <c r="K7" s="30"/>
      <c r="L7" s="4">
        <f>SUBTOTAL(109,Table21[Nilai Jual])</f>
        <v>24303563</v>
      </c>
      <c r="M7" s="4">
        <f>SUBTOTAL(109,Table21[Nilai Retur])</f>
        <v>806313</v>
      </c>
      <c r="N7" s="4">
        <f>SUBTOTAL(109,Table21[Jual Net])</f>
        <v>23497250</v>
      </c>
      <c r="O7" s="4">
        <f>SUBTOTAL(109,Table21[Jumlah Jual])</f>
        <v>221</v>
      </c>
      <c r="P7" s="4">
        <f>SUBTOTAL(109,Table21[Jumlah Retur])</f>
        <v>6</v>
      </c>
      <c r="Q7" s="4">
        <f>SUBTOTAL(109,Table21[Jual Net2])</f>
        <v>215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1" sqref="Q11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20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11328013</v>
      </c>
      <c r="D4" s="4">
        <v>1307688</v>
      </c>
      <c r="E4" s="4">
        <v>10020325</v>
      </c>
      <c r="F4" s="3">
        <v>112</v>
      </c>
      <c r="G4" s="3">
        <v>5</v>
      </c>
      <c r="H4" s="3">
        <v>107</v>
      </c>
      <c r="K4" s="2">
        <v>43101</v>
      </c>
      <c r="L4" s="4">
        <v>2825288</v>
      </c>
      <c r="M4" s="4">
        <v>114450</v>
      </c>
      <c r="N4" s="4">
        <v>2710838</v>
      </c>
      <c r="O4" s="3">
        <v>27</v>
      </c>
      <c r="P4" s="3">
        <v>1</v>
      </c>
      <c r="Q4" s="3">
        <v>26</v>
      </c>
    </row>
    <row r="5" spans="1:17" ht="15" customHeight="1" x14ac:dyDescent="0.25">
      <c r="B5" s="2">
        <v>42767</v>
      </c>
      <c r="C5" s="4">
        <v>45165925</v>
      </c>
      <c r="D5" s="4">
        <v>5717163</v>
      </c>
      <c r="E5" s="4">
        <v>39448763</v>
      </c>
      <c r="F5" s="3">
        <v>434</v>
      </c>
      <c r="G5" s="3">
        <v>56</v>
      </c>
      <c r="H5" s="3">
        <v>378</v>
      </c>
      <c r="K5" s="2">
        <v>43132</v>
      </c>
      <c r="L5" s="4">
        <v>7780588</v>
      </c>
      <c r="M5" s="4">
        <v>936250</v>
      </c>
      <c r="N5" s="4">
        <v>6844338</v>
      </c>
      <c r="O5" s="3">
        <v>73</v>
      </c>
      <c r="P5" s="3">
        <v>19</v>
      </c>
      <c r="Q5" s="3">
        <v>54</v>
      </c>
    </row>
    <row r="6" spans="1:17" ht="15" customHeight="1" x14ac:dyDescent="0.25">
      <c r="B6" s="2">
        <v>42795</v>
      </c>
      <c r="C6" s="4">
        <v>51899575</v>
      </c>
      <c r="D6" s="4">
        <v>6874700</v>
      </c>
      <c r="E6" s="4">
        <v>45024875</v>
      </c>
      <c r="F6" s="3">
        <v>504</v>
      </c>
      <c r="G6" s="3">
        <v>69</v>
      </c>
      <c r="H6" s="3">
        <v>435</v>
      </c>
      <c r="K6" s="2">
        <v>43160</v>
      </c>
      <c r="L6" s="4">
        <v>35356650</v>
      </c>
      <c r="M6" s="4">
        <v>12631362</v>
      </c>
      <c r="N6" s="4">
        <v>22725289</v>
      </c>
      <c r="O6" s="3">
        <v>329</v>
      </c>
      <c r="P6" s="3">
        <v>19</v>
      </c>
      <c r="Q6" s="3">
        <v>310</v>
      </c>
    </row>
    <row r="7" spans="1:17" ht="15" customHeight="1" x14ac:dyDescent="0.25">
      <c r="B7" s="30"/>
      <c r="C7" s="4">
        <f>SUBTOTAL(109,Table22[Nilai Jual])</f>
        <v>108393513</v>
      </c>
      <c r="D7" s="4">
        <f>SUBTOTAL(109,Table22[Nilai Retur])</f>
        <v>13899551</v>
      </c>
      <c r="E7" s="4">
        <f>SUBTOTAL(109,Table22[Jual Net])</f>
        <v>94493963</v>
      </c>
      <c r="F7" s="4">
        <f>SUBTOTAL(109,Table22[Jumlah Jual])</f>
        <v>1050</v>
      </c>
      <c r="G7" s="4">
        <f>SUBTOTAL(109,Table22[Jumlah Retur])</f>
        <v>130</v>
      </c>
      <c r="H7" s="4">
        <f>SUBTOTAL(109,Table22[Jual Net2])</f>
        <v>920</v>
      </c>
      <c r="K7" s="30"/>
      <c r="L7" s="4">
        <f>SUBTOTAL(109,Table23[Nilai Jual])</f>
        <v>45962526</v>
      </c>
      <c r="M7" s="4">
        <f>SUBTOTAL(109,Table23[Nilai Retur])</f>
        <v>13682062</v>
      </c>
      <c r="N7" s="4">
        <f>SUBTOTAL(109,Table23[Jual Net])</f>
        <v>32280465</v>
      </c>
      <c r="O7" s="4">
        <f>SUBTOTAL(109,Table23[Jumlah Jual])</f>
        <v>429</v>
      </c>
      <c r="P7" s="4">
        <f>SUBTOTAL(109,Table23[Jumlah Retur])</f>
        <v>39</v>
      </c>
      <c r="Q7" s="4">
        <f>SUBTOTAL(109,Table23[Jual Net2])</f>
        <v>390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22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9824500</v>
      </c>
      <c r="D4" s="4">
        <v>651262</v>
      </c>
      <c r="E4" s="4">
        <v>9173238</v>
      </c>
      <c r="F4" s="3">
        <v>95</v>
      </c>
      <c r="G4" s="3">
        <v>5</v>
      </c>
      <c r="H4" s="3">
        <v>90</v>
      </c>
      <c r="K4" s="2">
        <v>43101</v>
      </c>
      <c r="L4" s="4">
        <v>11873138</v>
      </c>
      <c r="M4" s="4">
        <v>1331225</v>
      </c>
      <c r="N4" s="4">
        <v>10541913</v>
      </c>
      <c r="O4" s="3">
        <v>118</v>
      </c>
      <c r="P4" s="3">
        <v>12</v>
      </c>
      <c r="Q4" s="3">
        <v>106</v>
      </c>
    </row>
    <row r="5" spans="1:17" ht="15" customHeight="1" x14ac:dyDescent="0.25">
      <c r="B5" s="2">
        <v>42767</v>
      </c>
      <c r="C5" s="4">
        <v>12306613</v>
      </c>
      <c r="D5" s="4">
        <v>1423450</v>
      </c>
      <c r="E5" s="4">
        <v>10883163</v>
      </c>
      <c r="F5" s="3">
        <v>115</v>
      </c>
      <c r="G5" s="3">
        <v>14</v>
      </c>
      <c r="H5" s="3">
        <v>101</v>
      </c>
      <c r="K5" s="2">
        <v>43132</v>
      </c>
      <c r="L5" s="4">
        <v>6990550</v>
      </c>
      <c r="M5" s="4">
        <v>754513</v>
      </c>
      <c r="N5" s="4">
        <v>6236038</v>
      </c>
      <c r="O5" s="3">
        <v>67</v>
      </c>
      <c r="P5" s="3">
        <v>6</v>
      </c>
      <c r="Q5" s="3">
        <v>61</v>
      </c>
    </row>
    <row r="6" spans="1:17" ht="15" customHeight="1" x14ac:dyDescent="0.25">
      <c r="B6" s="2">
        <v>42795</v>
      </c>
      <c r="C6" s="4">
        <v>22677375</v>
      </c>
      <c r="D6" s="4">
        <v>1978375</v>
      </c>
      <c r="E6" s="4">
        <v>20699000</v>
      </c>
      <c r="F6" s="3">
        <v>202</v>
      </c>
      <c r="G6" s="3">
        <v>19</v>
      </c>
      <c r="H6" s="3">
        <v>183</v>
      </c>
      <c r="K6" s="2">
        <v>43160</v>
      </c>
      <c r="L6" s="4">
        <v>10016388</v>
      </c>
      <c r="M6" s="4">
        <v>363650</v>
      </c>
      <c r="N6" s="4">
        <v>9652738</v>
      </c>
      <c r="O6" s="3">
        <v>90</v>
      </c>
      <c r="P6" s="3">
        <v>4</v>
      </c>
      <c r="Q6" s="3">
        <v>86</v>
      </c>
    </row>
    <row r="7" spans="1:17" ht="15" customHeight="1" x14ac:dyDescent="0.25">
      <c r="B7" s="30"/>
      <c r="C7" s="4">
        <f>SUBTOTAL(109,Table24[Nilai Jual])</f>
        <v>44808488</v>
      </c>
      <c r="D7" s="4">
        <f>SUBTOTAL(109,Table24[Nilai Retur])</f>
        <v>4053087</v>
      </c>
      <c r="E7" s="4">
        <f>SUBTOTAL(109,Table24[Jual Net])</f>
        <v>40755401</v>
      </c>
      <c r="F7" s="4">
        <f>SUBTOTAL(109,Table24[Jumlah Jual])</f>
        <v>412</v>
      </c>
      <c r="G7" s="4">
        <f>SUBTOTAL(109,Table24[Jumlah Retur])</f>
        <v>38</v>
      </c>
      <c r="H7" s="4">
        <f>SUBTOTAL(109,Table24[Jual Net2])</f>
        <v>374</v>
      </c>
      <c r="K7" s="30"/>
      <c r="L7" s="4">
        <f>SUBTOTAL(109,Table25[Nilai Jual])</f>
        <v>28880076</v>
      </c>
      <c r="M7" s="4">
        <f>SUBTOTAL(109,Table25[Nilai Retur])</f>
        <v>2449388</v>
      </c>
      <c r="N7" s="4">
        <f>SUBTOTAL(109,Table25[Jual Net])</f>
        <v>26430689</v>
      </c>
      <c r="O7" s="4">
        <f>SUBTOTAL(109,Table25[Jumlah Jual])</f>
        <v>275</v>
      </c>
      <c r="P7" s="4">
        <f>SUBTOTAL(109,Table25[Jumlah Retur])</f>
        <v>22</v>
      </c>
      <c r="Q7" s="4">
        <f>SUBTOTAL(109,Table25[Jual Net2])</f>
        <v>253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23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9029388</v>
      </c>
      <c r="D4" s="4">
        <v>88900</v>
      </c>
      <c r="E4" s="4">
        <v>8940488</v>
      </c>
      <c r="F4" s="3">
        <v>95</v>
      </c>
      <c r="G4" s="3">
        <v>1</v>
      </c>
      <c r="H4" s="3">
        <v>94</v>
      </c>
      <c r="K4" s="2">
        <v>43101</v>
      </c>
      <c r="L4" s="4">
        <v>37063163</v>
      </c>
      <c r="M4" s="3">
        <v>0</v>
      </c>
      <c r="N4" s="4">
        <v>37063163</v>
      </c>
      <c r="O4" s="3">
        <v>306</v>
      </c>
      <c r="P4" s="3">
        <v>0</v>
      </c>
      <c r="Q4" s="3">
        <v>306</v>
      </c>
    </row>
    <row r="5" spans="1:17" x14ac:dyDescent="0.25">
      <c r="B5" s="2">
        <v>42767</v>
      </c>
      <c r="C5" s="4">
        <v>14615038</v>
      </c>
      <c r="D5" s="4">
        <v>141400</v>
      </c>
      <c r="E5" s="4">
        <v>14473638</v>
      </c>
      <c r="F5" s="3">
        <v>159</v>
      </c>
      <c r="G5" s="3">
        <v>1</v>
      </c>
      <c r="H5" s="3">
        <v>158</v>
      </c>
      <c r="K5" s="2">
        <v>43132</v>
      </c>
      <c r="L5" s="4">
        <v>30029388</v>
      </c>
      <c r="M5" s="3">
        <v>0</v>
      </c>
      <c r="N5" s="4">
        <v>30029388</v>
      </c>
      <c r="O5" s="3">
        <v>242</v>
      </c>
      <c r="P5" s="3">
        <v>0</v>
      </c>
      <c r="Q5" s="3">
        <v>242</v>
      </c>
    </row>
    <row r="6" spans="1:17" x14ac:dyDescent="0.25">
      <c r="B6" s="2">
        <v>42795</v>
      </c>
      <c r="C6" s="4">
        <v>10488625</v>
      </c>
      <c r="D6" s="3">
        <v>0</v>
      </c>
      <c r="E6" s="4">
        <v>10488625</v>
      </c>
      <c r="F6" s="3">
        <v>114</v>
      </c>
      <c r="G6" s="3">
        <v>0</v>
      </c>
      <c r="H6" s="3">
        <v>114</v>
      </c>
      <c r="K6" s="2">
        <v>43160</v>
      </c>
      <c r="L6" s="4">
        <v>21627988</v>
      </c>
      <c r="M6" s="3">
        <v>0</v>
      </c>
      <c r="N6" s="4">
        <v>21627988</v>
      </c>
      <c r="O6" s="3">
        <v>172</v>
      </c>
      <c r="P6" s="3">
        <v>0</v>
      </c>
      <c r="Q6" s="3">
        <v>172</v>
      </c>
    </row>
    <row r="7" spans="1:17" x14ac:dyDescent="0.25">
      <c r="B7" s="30"/>
      <c r="C7" s="4">
        <f>SUBTOTAL(109,Table26[Nilai Jual])</f>
        <v>34133051</v>
      </c>
      <c r="D7" s="4">
        <f>SUBTOTAL(109,Table26[Nilai Retur])</f>
        <v>230300</v>
      </c>
      <c r="E7" s="4">
        <f>SUBTOTAL(109,Table26[Jual Net])</f>
        <v>33902751</v>
      </c>
      <c r="F7" s="4">
        <f>SUBTOTAL(109,Table26[Jumlah Jual])</f>
        <v>368</v>
      </c>
      <c r="G7" s="4">
        <f>SUBTOTAL(109,Table26[Jumlah Retur])</f>
        <v>2</v>
      </c>
      <c r="H7" s="4">
        <f>SUBTOTAL(109,Table26[Jual Net2])</f>
        <v>366</v>
      </c>
      <c r="K7" s="30"/>
      <c r="L7" s="4">
        <f>SUBTOTAL(109,Table27[Nilai Jual])</f>
        <v>88720539</v>
      </c>
      <c r="M7" s="4">
        <f>SUBTOTAL(109,Table27[Nilai Retur])</f>
        <v>0</v>
      </c>
      <c r="N7" s="4">
        <f>SUBTOTAL(109,Table27[Jual Net])</f>
        <v>88720539</v>
      </c>
      <c r="O7" s="4">
        <f>SUBTOTAL(109,Table27[Jumlah Jual])</f>
        <v>720</v>
      </c>
      <c r="P7" s="4">
        <f>SUBTOTAL(109,Table27[Jumlah Retur])</f>
        <v>0</v>
      </c>
      <c r="Q7" s="4">
        <f>SUBTOTAL(109,Table27[Jual Net2])</f>
        <v>720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8.140625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24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2" spans="1:17" x14ac:dyDescent="0.25">
      <c r="A2" s="29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11957138</v>
      </c>
      <c r="D4" s="4">
        <v>3700375</v>
      </c>
      <c r="E4" s="4">
        <v>8256763</v>
      </c>
      <c r="F4" s="3">
        <v>117</v>
      </c>
      <c r="G4" s="3">
        <v>34</v>
      </c>
      <c r="H4" s="3">
        <v>83</v>
      </c>
      <c r="K4" s="2">
        <v>43101</v>
      </c>
      <c r="L4" s="4">
        <v>6679400</v>
      </c>
      <c r="M4" s="4">
        <v>2039900</v>
      </c>
      <c r="N4" s="4">
        <v>4639500</v>
      </c>
      <c r="O4" s="3">
        <v>58</v>
      </c>
      <c r="P4" s="3">
        <v>17</v>
      </c>
      <c r="Q4" s="3">
        <v>41</v>
      </c>
    </row>
    <row r="5" spans="1:17" x14ac:dyDescent="0.25">
      <c r="B5" s="2">
        <v>42767</v>
      </c>
      <c r="C5" s="4">
        <v>14770175</v>
      </c>
      <c r="D5" s="4">
        <v>4032438</v>
      </c>
      <c r="E5" s="4">
        <v>10737738</v>
      </c>
      <c r="F5" s="3">
        <v>145</v>
      </c>
      <c r="G5" s="3">
        <v>39</v>
      </c>
      <c r="H5" s="3">
        <v>106</v>
      </c>
      <c r="K5" s="2">
        <v>43132</v>
      </c>
      <c r="L5" s="4">
        <v>8759738</v>
      </c>
      <c r="M5" s="4">
        <v>5545200</v>
      </c>
      <c r="N5" s="4">
        <v>3214538</v>
      </c>
      <c r="O5" s="3">
        <v>76</v>
      </c>
      <c r="P5" s="3">
        <v>15</v>
      </c>
      <c r="Q5" s="3">
        <v>61</v>
      </c>
    </row>
    <row r="6" spans="1:17" x14ac:dyDescent="0.25">
      <c r="B6" s="2">
        <v>42795</v>
      </c>
      <c r="C6" s="4">
        <v>24850088</v>
      </c>
      <c r="D6" s="4">
        <v>3883275</v>
      </c>
      <c r="E6" s="4">
        <v>20966813</v>
      </c>
      <c r="F6" s="3">
        <v>241</v>
      </c>
      <c r="G6" s="3">
        <v>38</v>
      </c>
      <c r="H6" s="3">
        <v>203</v>
      </c>
      <c r="K6" s="2">
        <v>43160</v>
      </c>
      <c r="L6" s="4">
        <v>5502075</v>
      </c>
      <c r="M6" s="4">
        <v>2585902</v>
      </c>
      <c r="N6" s="4">
        <v>2916173</v>
      </c>
      <c r="O6" s="3">
        <v>47</v>
      </c>
      <c r="P6" s="3">
        <v>30</v>
      </c>
      <c r="Q6" s="3">
        <v>17</v>
      </c>
    </row>
    <row r="7" spans="1:17" x14ac:dyDescent="0.25">
      <c r="B7" s="30"/>
      <c r="C7" s="4">
        <f>SUBTOTAL(109,Table28[Nilai Jual])</f>
        <v>51577401</v>
      </c>
      <c r="D7" s="4">
        <f>SUBTOTAL(109,Table28[Nilai Retur])</f>
        <v>11616088</v>
      </c>
      <c r="E7" s="4">
        <f>SUBTOTAL(109,Table28[Jual Net])</f>
        <v>39961314</v>
      </c>
      <c r="F7" s="4">
        <f>SUBTOTAL(109,Table28[Jumlah Jual])</f>
        <v>503</v>
      </c>
      <c r="G7" s="4">
        <f>SUBTOTAL(109,Table28[Jumlah Retur])</f>
        <v>111</v>
      </c>
      <c r="H7" s="4">
        <f>SUBTOTAL(109,Table28[Jual Net2])</f>
        <v>392</v>
      </c>
      <c r="K7" s="30"/>
      <c r="L7" s="4">
        <f>SUBTOTAL(109,Table29[Nilai Jual])</f>
        <v>20941213</v>
      </c>
      <c r="M7" s="4">
        <f>SUBTOTAL(109,Table29[Nilai Retur])</f>
        <v>10171002</v>
      </c>
      <c r="N7" s="4">
        <f>SUBTOTAL(109,Table29[Jual Net])</f>
        <v>10770211</v>
      </c>
      <c r="O7" s="4">
        <f>SUBTOTAL(109,Table29[Jumlah Jual])</f>
        <v>181</v>
      </c>
      <c r="P7" s="4">
        <f>SUBTOTAL(109,Table29[Jumlah Retur])</f>
        <v>62</v>
      </c>
      <c r="Q7" s="4">
        <f>SUBTOTAL(109,Table29[Jual Net2])</f>
        <v>119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1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25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2" spans="1:17" x14ac:dyDescent="0.25">
      <c r="A2" s="29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8362113</v>
      </c>
      <c r="D4" s="4">
        <v>255300</v>
      </c>
      <c r="E4" s="4">
        <v>8106813</v>
      </c>
      <c r="F4" s="3">
        <v>81</v>
      </c>
      <c r="G4" s="3">
        <v>0</v>
      </c>
      <c r="H4" s="3">
        <v>81</v>
      </c>
      <c r="K4" s="2">
        <v>43101</v>
      </c>
      <c r="L4" s="4">
        <v>5080425</v>
      </c>
      <c r="M4" s="3">
        <v>0</v>
      </c>
      <c r="N4" s="4">
        <v>5080425</v>
      </c>
      <c r="O4" s="3">
        <v>50</v>
      </c>
      <c r="P4" s="3">
        <v>0</v>
      </c>
      <c r="Q4" s="3">
        <v>50</v>
      </c>
    </row>
    <row r="5" spans="1:17" x14ac:dyDescent="0.25">
      <c r="B5" s="2">
        <v>42767</v>
      </c>
      <c r="C5" s="4">
        <v>10091375</v>
      </c>
      <c r="D5" s="4">
        <v>307650</v>
      </c>
      <c r="E5" s="4">
        <v>9783725</v>
      </c>
      <c r="F5" s="3">
        <v>99</v>
      </c>
      <c r="G5" s="3">
        <v>2</v>
      </c>
      <c r="H5" s="3">
        <v>97</v>
      </c>
      <c r="K5" s="2">
        <v>43132</v>
      </c>
      <c r="L5" s="4">
        <v>3715775</v>
      </c>
      <c r="M5" s="4">
        <v>28875</v>
      </c>
      <c r="N5" s="4">
        <v>3686901</v>
      </c>
      <c r="O5" s="3">
        <v>42</v>
      </c>
      <c r="P5" s="3">
        <v>1</v>
      </c>
      <c r="Q5" s="3">
        <v>41</v>
      </c>
    </row>
    <row r="6" spans="1:17" x14ac:dyDescent="0.25">
      <c r="B6" s="2">
        <v>42795</v>
      </c>
      <c r="C6" s="4">
        <v>11987063</v>
      </c>
      <c r="D6" s="4">
        <v>320738</v>
      </c>
      <c r="E6" s="4">
        <v>11666325</v>
      </c>
      <c r="F6" s="3">
        <v>114</v>
      </c>
      <c r="G6" s="3">
        <v>3</v>
      </c>
      <c r="H6" s="3">
        <v>111</v>
      </c>
      <c r="K6" s="2">
        <v>43160</v>
      </c>
      <c r="L6" s="4">
        <v>3539813</v>
      </c>
      <c r="M6" s="4">
        <v>110075</v>
      </c>
      <c r="N6" s="4">
        <v>3429738</v>
      </c>
      <c r="O6" s="3">
        <v>37</v>
      </c>
      <c r="P6" s="3">
        <v>1</v>
      </c>
      <c r="Q6" s="3">
        <v>36</v>
      </c>
    </row>
    <row r="7" spans="1:17" x14ac:dyDescent="0.25">
      <c r="B7" s="30"/>
      <c r="C7" s="4">
        <f>SUBTOTAL(109,Table30[Nilai Jual])</f>
        <v>30440551</v>
      </c>
      <c r="D7" s="4">
        <f>SUBTOTAL(109,Table30[Nilai Retur])</f>
        <v>883688</v>
      </c>
      <c r="E7" s="4">
        <f>SUBTOTAL(109,Table30[Jual Net])</f>
        <v>29556863</v>
      </c>
      <c r="F7" s="4">
        <f>SUBTOTAL(109,Table30[Jumlah Jual])</f>
        <v>294</v>
      </c>
      <c r="G7" s="4">
        <f>SUBTOTAL(109,Table30[Jumlah Retur])</f>
        <v>5</v>
      </c>
      <c r="H7" s="4">
        <f>SUBTOTAL(109,Table30[Jual Net2])</f>
        <v>289</v>
      </c>
      <c r="K7" s="30"/>
      <c r="L7" s="4">
        <f>SUBTOTAL(109,Table31[Nilai Jual])</f>
        <v>12336013</v>
      </c>
      <c r="M7" s="4">
        <f>SUBTOTAL(109,Table31[Nilai Retur])</f>
        <v>138950</v>
      </c>
      <c r="N7" s="4">
        <f>SUBTOTAL(109,Table31[Jual Net])</f>
        <v>12197064</v>
      </c>
      <c r="O7" s="4">
        <f>SUBTOTAL(109,Table31[Jumlah Jual])</f>
        <v>129</v>
      </c>
      <c r="P7" s="4">
        <f>SUBTOTAL(109,Table31[Jumlah Retur])</f>
        <v>2</v>
      </c>
      <c r="Q7" s="4">
        <f>SUBTOTAL(109,Table31[Jual Net2])</f>
        <v>127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26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11774350</v>
      </c>
      <c r="D4" s="4">
        <v>3934350</v>
      </c>
      <c r="E4" s="4">
        <v>7840000</v>
      </c>
      <c r="F4" s="3">
        <v>117</v>
      </c>
      <c r="G4" s="3">
        <v>40</v>
      </c>
      <c r="H4" s="3">
        <v>77</v>
      </c>
      <c r="K4" s="2">
        <v>43101</v>
      </c>
      <c r="L4" s="4">
        <v>2321813</v>
      </c>
      <c r="M4" s="4">
        <v>618713</v>
      </c>
      <c r="N4" s="4">
        <v>1703100</v>
      </c>
      <c r="O4" s="3">
        <v>24</v>
      </c>
      <c r="P4" s="3">
        <v>5</v>
      </c>
      <c r="Q4" s="3">
        <v>19</v>
      </c>
    </row>
    <row r="5" spans="1:17" x14ac:dyDescent="0.25">
      <c r="B5" s="2">
        <v>42767</v>
      </c>
      <c r="C5" s="4">
        <v>12374513</v>
      </c>
      <c r="D5" s="4">
        <v>3894188</v>
      </c>
      <c r="E5" s="4">
        <v>8480325</v>
      </c>
      <c r="F5" s="3">
        <v>117</v>
      </c>
      <c r="G5" s="3">
        <v>39</v>
      </c>
      <c r="H5" s="3">
        <v>78</v>
      </c>
      <c r="K5" s="2">
        <v>43132</v>
      </c>
      <c r="L5" s="4">
        <v>4984613</v>
      </c>
      <c r="M5" s="4">
        <v>651525</v>
      </c>
      <c r="N5" s="4">
        <v>4333088</v>
      </c>
      <c r="O5" s="3">
        <v>47</v>
      </c>
      <c r="P5" s="3">
        <v>12</v>
      </c>
      <c r="Q5" s="3">
        <v>35</v>
      </c>
    </row>
    <row r="6" spans="1:17" x14ac:dyDescent="0.25">
      <c r="B6" s="2">
        <v>42795</v>
      </c>
      <c r="C6" s="4">
        <v>20044588</v>
      </c>
      <c r="D6" s="4">
        <v>4112588</v>
      </c>
      <c r="E6" s="4">
        <v>15932000</v>
      </c>
      <c r="F6" s="3">
        <v>182</v>
      </c>
      <c r="G6" s="3">
        <v>35</v>
      </c>
      <c r="H6" s="3">
        <v>147</v>
      </c>
      <c r="K6" s="2">
        <v>43160</v>
      </c>
      <c r="L6" s="4">
        <v>22105738</v>
      </c>
      <c r="M6" s="4">
        <v>3430875</v>
      </c>
      <c r="N6" s="4">
        <v>18674863</v>
      </c>
      <c r="O6" s="3">
        <v>197</v>
      </c>
      <c r="P6" s="3">
        <v>23</v>
      </c>
      <c r="Q6" s="3">
        <v>174</v>
      </c>
    </row>
    <row r="7" spans="1:17" x14ac:dyDescent="0.25">
      <c r="B7" s="30"/>
      <c r="C7" s="4">
        <f>SUBTOTAL(109,Table32[Nilai Jual])</f>
        <v>44193451</v>
      </c>
      <c r="D7" s="4">
        <f>SUBTOTAL(109,Table32[Nilai Retur])</f>
        <v>11941126</v>
      </c>
      <c r="E7" s="4">
        <f>SUBTOTAL(109,Table32[Jual Net])</f>
        <v>32252325</v>
      </c>
      <c r="F7" s="4">
        <f>SUBTOTAL(109,Table32[Jumlah Jual])</f>
        <v>416</v>
      </c>
      <c r="G7" s="4">
        <f>SUBTOTAL(109,Table32[Jumlah Retur])</f>
        <v>114</v>
      </c>
      <c r="H7" s="4">
        <f>SUBTOTAL(109,Table32[Jual Net2])</f>
        <v>302</v>
      </c>
      <c r="K7" s="30"/>
      <c r="L7" s="4">
        <f>SUBTOTAL(109,Table33[Nilai Jual])</f>
        <v>29412164</v>
      </c>
      <c r="M7" s="4">
        <f>SUBTOTAL(109,Table33[Nilai Retur])</f>
        <v>4701113</v>
      </c>
      <c r="N7" s="4">
        <f>SUBTOTAL(109,Table33[Jual Net])</f>
        <v>24711051</v>
      </c>
      <c r="O7" s="4">
        <f>SUBTOTAL(109,Table33[Jumlah Jual])</f>
        <v>268</v>
      </c>
      <c r="P7" s="4">
        <f>SUBTOTAL(109,Table33[Jumlah Retur])</f>
        <v>40</v>
      </c>
      <c r="Q7" s="4">
        <f>SUBTOTAL(109,Table33[Jual Net2])</f>
        <v>228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3" sqref="R13"/>
    </sheetView>
  </sheetViews>
  <sheetFormatPr defaultRowHeight="15" x14ac:dyDescent="0.25"/>
  <cols>
    <col min="1" max="1" width="15.7109375" customWidth="1"/>
    <col min="2" max="2" width="9.85546875" customWidth="1"/>
    <col min="3" max="3" width="11.140625" bestFit="1" customWidth="1"/>
    <col min="4" max="4" width="12.5703125" customWidth="1"/>
    <col min="5" max="5" width="11.140625" bestFit="1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bestFit="1" customWidth="1"/>
    <col min="13" max="13" width="12.5703125" customWidth="1"/>
    <col min="14" max="14" width="11.140625" bestFit="1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43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2" spans="1:17" x14ac:dyDescent="0.25">
      <c r="A2" s="29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122635188</v>
      </c>
      <c r="D4" s="4">
        <v>7883138</v>
      </c>
      <c r="E4" s="4">
        <v>114752050</v>
      </c>
      <c r="F4" s="4">
        <v>1193</v>
      </c>
      <c r="G4" s="3">
        <v>76</v>
      </c>
      <c r="H4" s="4">
        <v>1117</v>
      </c>
      <c r="K4" s="2">
        <v>43101</v>
      </c>
      <c r="L4" s="4">
        <v>127254138</v>
      </c>
      <c r="M4" s="4">
        <v>13312163</v>
      </c>
      <c r="N4" s="4">
        <v>113941975</v>
      </c>
      <c r="O4" s="4">
        <v>1173</v>
      </c>
      <c r="P4" s="3">
        <v>114</v>
      </c>
      <c r="Q4" s="4">
        <v>1059</v>
      </c>
    </row>
    <row r="5" spans="1:17" ht="15" customHeight="1" x14ac:dyDescent="0.25">
      <c r="B5" s="2">
        <v>42767</v>
      </c>
      <c r="C5" s="4">
        <v>151669700</v>
      </c>
      <c r="D5" s="4">
        <v>12131925</v>
      </c>
      <c r="E5" s="4">
        <v>139537775</v>
      </c>
      <c r="F5" s="4">
        <v>1460</v>
      </c>
      <c r="G5" s="3">
        <v>108</v>
      </c>
      <c r="H5" s="4">
        <v>1352</v>
      </c>
      <c r="K5" s="2">
        <v>43132</v>
      </c>
      <c r="L5" s="4">
        <v>153689900</v>
      </c>
      <c r="M5" s="4">
        <v>11111363</v>
      </c>
      <c r="N5" s="4">
        <v>142578538</v>
      </c>
      <c r="O5" s="4">
        <v>1409</v>
      </c>
      <c r="P5" s="3">
        <v>108</v>
      </c>
      <c r="Q5" s="4">
        <v>1301</v>
      </c>
    </row>
    <row r="6" spans="1:17" ht="15" customHeight="1" x14ac:dyDescent="0.25">
      <c r="B6" s="2">
        <v>42795</v>
      </c>
      <c r="C6" s="4">
        <v>175152688</v>
      </c>
      <c r="D6" s="4">
        <v>10025838</v>
      </c>
      <c r="E6" s="4">
        <v>165126850</v>
      </c>
      <c r="F6" s="4">
        <v>1652</v>
      </c>
      <c r="G6" s="3">
        <v>91</v>
      </c>
      <c r="H6" s="4">
        <v>1561</v>
      </c>
      <c r="K6" s="2">
        <v>43160</v>
      </c>
      <c r="L6" s="4">
        <v>176340850</v>
      </c>
      <c r="M6" s="4">
        <v>19028713</v>
      </c>
      <c r="N6" s="4">
        <v>157312138</v>
      </c>
      <c r="O6" s="4">
        <v>1595</v>
      </c>
      <c r="P6" s="3">
        <v>164</v>
      </c>
      <c r="Q6" s="4">
        <v>1431</v>
      </c>
    </row>
    <row r="7" spans="1:17" ht="15" customHeight="1" x14ac:dyDescent="0.25">
      <c r="B7" s="30"/>
      <c r="C7" s="4">
        <f>SUM(C4:C6)</f>
        <v>449457576</v>
      </c>
      <c r="D7" s="4">
        <f t="shared" ref="D7:H7" si="0">SUM(D4:D6)</f>
        <v>30040901</v>
      </c>
      <c r="E7" s="4">
        <f t="shared" si="0"/>
        <v>419416675</v>
      </c>
      <c r="F7" s="4">
        <f t="shared" si="0"/>
        <v>4305</v>
      </c>
      <c r="G7" s="4">
        <f t="shared" si="0"/>
        <v>275</v>
      </c>
      <c r="H7" s="4">
        <f t="shared" si="0"/>
        <v>4030</v>
      </c>
      <c r="K7" s="30"/>
      <c r="L7" s="4">
        <f>SUBTOTAL(109,Table65[Nilai Jual])</f>
        <v>457284888</v>
      </c>
      <c r="M7" s="4">
        <f>SUBTOTAL(109,Table65[Nilai Retur])</f>
        <v>43452239</v>
      </c>
      <c r="N7" s="4">
        <f>SUBTOTAL(109,Table65[Jual Net])</f>
        <v>413832651</v>
      </c>
      <c r="O7" s="4">
        <f>SUBTOTAL(109,Table65[Jumlah Jual])</f>
        <v>4177</v>
      </c>
      <c r="P7" s="4">
        <f>SUBTOTAL(109,Table65[Jumlah Retur])</f>
        <v>386</v>
      </c>
      <c r="Q7" s="4">
        <f>SUBTOTAL(109,Table65[Jual Net2])</f>
        <v>3791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.5703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2.7109375" bestFit="1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9" t="s">
        <v>27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8274875</v>
      </c>
      <c r="D4" s="4">
        <v>522113</v>
      </c>
      <c r="E4" s="4">
        <v>7752763</v>
      </c>
      <c r="F4" s="3">
        <v>92</v>
      </c>
      <c r="G4" s="3">
        <v>5</v>
      </c>
      <c r="H4" s="3">
        <v>87</v>
      </c>
      <c r="K4" s="2">
        <v>43101</v>
      </c>
      <c r="L4" s="4">
        <v>58977188</v>
      </c>
      <c r="M4" s="4">
        <v>3908800</v>
      </c>
      <c r="N4" s="4">
        <v>55068388</v>
      </c>
      <c r="O4" s="3">
        <v>604</v>
      </c>
      <c r="P4" s="3">
        <v>35</v>
      </c>
      <c r="Q4" s="3">
        <v>569</v>
      </c>
    </row>
    <row r="5" spans="1:17" ht="15" customHeight="1" x14ac:dyDescent="0.25">
      <c r="B5" s="2">
        <v>42767</v>
      </c>
      <c r="C5" s="4">
        <v>6207250</v>
      </c>
      <c r="D5" s="4">
        <v>286388</v>
      </c>
      <c r="E5" s="4">
        <v>5920863</v>
      </c>
      <c r="F5" s="3">
        <v>67</v>
      </c>
      <c r="G5" s="3">
        <v>4</v>
      </c>
      <c r="H5" s="3">
        <v>63</v>
      </c>
      <c r="K5" s="2">
        <v>43132</v>
      </c>
      <c r="L5" s="4">
        <v>34651225</v>
      </c>
      <c r="M5" s="4">
        <v>2313675</v>
      </c>
      <c r="N5" s="4">
        <v>32337550</v>
      </c>
      <c r="O5" s="3">
        <v>326</v>
      </c>
      <c r="P5" s="3">
        <v>21</v>
      </c>
      <c r="Q5" s="3">
        <v>305</v>
      </c>
    </row>
    <row r="6" spans="1:17" ht="15" customHeight="1" x14ac:dyDescent="0.25">
      <c r="B6" s="2">
        <v>42795</v>
      </c>
      <c r="C6" s="4">
        <v>25652025</v>
      </c>
      <c r="D6" s="4">
        <v>212013</v>
      </c>
      <c r="E6" s="4">
        <v>25440013</v>
      </c>
      <c r="F6" s="3">
        <v>362</v>
      </c>
      <c r="G6" s="3">
        <v>2</v>
      </c>
      <c r="H6" s="3">
        <v>360</v>
      </c>
      <c r="K6" s="2">
        <v>43160</v>
      </c>
      <c r="L6" s="4">
        <v>16894588</v>
      </c>
      <c r="M6" s="4">
        <v>2111025</v>
      </c>
      <c r="N6" s="4">
        <v>14783563</v>
      </c>
      <c r="O6" s="3">
        <v>163</v>
      </c>
      <c r="P6" s="3">
        <v>19</v>
      </c>
      <c r="Q6" s="3">
        <v>144</v>
      </c>
    </row>
    <row r="7" spans="1:17" ht="15" customHeight="1" x14ac:dyDescent="0.25">
      <c r="B7" s="30"/>
      <c r="C7" s="4">
        <f>SUBTOTAL(109,Table34[Nilai Jual])</f>
        <v>40134150</v>
      </c>
      <c r="D7" s="4">
        <f>SUBTOTAL(109,Table34[Nilai Retur])</f>
        <v>1020514</v>
      </c>
      <c r="E7" s="4">
        <f>SUBTOTAL(109,Table34[Jual Net])</f>
        <v>39113639</v>
      </c>
      <c r="F7" s="4">
        <f>SUBTOTAL(109,Table34[Jumlah Jual])</f>
        <v>521</v>
      </c>
      <c r="G7" s="4">
        <f>SUBTOTAL(109,Table34[Jumlah Retur])</f>
        <v>11</v>
      </c>
      <c r="H7" s="4">
        <f>SUBTOTAL(109,Table34[Jual Net2])</f>
        <v>510</v>
      </c>
      <c r="K7" s="30"/>
      <c r="L7" s="4">
        <f>SUBTOTAL(109,Table35[Nilai Jual])</f>
        <v>110523001</v>
      </c>
      <c r="M7" s="4">
        <f>SUBTOTAL(109,Table35[Nilai Retur])</f>
        <v>8333500</v>
      </c>
      <c r="N7" s="4">
        <f>SUBTOTAL(109,Table35[Jual Net])</f>
        <v>102189501</v>
      </c>
      <c r="O7" s="4">
        <f>SUBTOTAL(109,Table35[Jumlah Jual])</f>
        <v>1093</v>
      </c>
      <c r="P7" s="4">
        <f>SUBTOTAL(109,Table35[Jumlah Retur])</f>
        <v>75</v>
      </c>
      <c r="Q7" s="4">
        <f>SUBTOTAL(109,Table35[Jual Net2])</f>
        <v>1018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28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10870913</v>
      </c>
      <c r="D4" s="4">
        <v>3240738</v>
      </c>
      <c r="E4" s="4">
        <v>7630175</v>
      </c>
      <c r="F4" s="3">
        <v>112</v>
      </c>
      <c r="G4" s="3">
        <v>33</v>
      </c>
      <c r="H4" s="3">
        <v>79</v>
      </c>
      <c r="K4" s="2">
        <v>43101</v>
      </c>
      <c r="L4" s="4">
        <v>1865938</v>
      </c>
      <c r="M4" s="4">
        <v>322438</v>
      </c>
      <c r="N4" s="4">
        <v>1543500</v>
      </c>
      <c r="O4" s="3">
        <v>18</v>
      </c>
      <c r="P4" s="3">
        <v>3</v>
      </c>
      <c r="Q4" s="3">
        <v>15</v>
      </c>
    </row>
    <row r="5" spans="1:17" x14ac:dyDescent="0.25">
      <c r="B5" s="2">
        <v>42767</v>
      </c>
      <c r="C5" s="4">
        <v>15202600</v>
      </c>
      <c r="D5" s="4">
        <v>4216374</v>
      </c>
      <c r="E5" s="4">
        <v>10986227</v>
      </c>
      <c r="F5" s="3">
        <v>145</v>
      </c>
      <c r="G5" s="3">
        <v>19</v>
      </c>
      <c r="H5" s="3">
        <v>126</v>
      </c>
      <c r="K5" s="2">
        <v>43132</v>
      </c>
      <c r="L5" s="4">
        <v>5433050</v>
      </c>
      <c r="M5" s="4">
        <v>454913</v>
      </c>
      <c r="N5" s="4">
        <v>4978138</v>
      </c>
      <c r="O5" s="3">
        <v>52</v>
      </c>
      <c r="P5" s="3">
        <v>4</v>
      </c>
      <c r="Q5" s="3">
        <v>48</v>
      </c>
    </row>
    <row r="6" spans="1:17" x14ac:dyDescent="0.25">
      <c r="B6" s="2">
        <v>42795</v>
      </c>
      <c r="C6" s="4">
        <v>21359975</v>
      </c>
      <c r="D6" s="4">
        <v>4136475</v>
      </c>
      <c r="E6" s="4">
        <v>17223500</v>
      </c>
      <c r="F6" s="3">
        <v>214</v>
      </c>
      <c r="G6" s="3">
        <v>40</v>
      </c>
      <c r="H6" s="3">
        <v>174</v>
      </c>
      <c r="K6" s="2">
        <v>43160</v>
      </c>
      <c r="L6" s="4">
        <v>10105288</v>
      </c>
      <c r="M6" s="4">
        <v>2483425</v>
      </c>
      <c r="N6" s="4">
        <v>7621863</v>
      </c>
      <c r="O6" s="3">
        <v>88</v>
      </c>
      <c r="P6" s="3">
        <v>21</v>
      </c>
      <c r="Q6" s="3">
        <v>67</v>
      </c>
    </row>
    <row r="7" spans="1:17" x14ac:dyDescent="0.25">
      <c r="B7" s="30"/>
      <c r="C7" s="4">
        <f>SUBTOTAL(109,Table36[Nilai Jual])</f>
        <v>47433488</v>
      </c>
      <c r="D7" s="4">
        <f>SUBTOTAL(109,Table36[Nilai Retur])</f>
        <v>11593587</v>
      </c>
      <c r="E7" s="4">
        <f>SUBTOTAL(109,Table36[Jual Net])</f>
        <v>35839902</v>
      </c>
      <c r="F7" s="4">
        <f>SUBTOTAL(109,Table36[Jumlah Jual])</f>
        <v>471</v>
      </c>
      <c r="G7" s="4">
        <f>SUBTOTAL(109,Table36[Jumlah Retur])</f>
        <v>92</v>
      </c>
      <c r="H7" s="4">
        <f>SUBTOTAL(109,Table36[Jual Net2])</f>
        <v>379</v>
      </c>
      <c r="K7" s="30"/>
      <c r="L7" s="4">
        <f>SUBTOTAL(109,Table37[Nilai Jual])</f>
        <v>17404276</v>
      </c>
      <c r="M7" s="4">
        <f>SUBTOTAL(109,Table37[Nilai Retur])</f>
        <v>3260776</v>
      </c>
      <c r="N7" s="4">
        <f>SUBTOTAL(109,Table37[Jual Net])</f>
        <v>14143501</v>
      </c>
      <c r="O7" s="4">
        <f>SUBTOTAL(109,Table37[Jumlah Jual])</f>
        <v>158</v>
      </c>
      <c r="P7" s="4">
        <f>SUBTOTAL(109,Table37[Jumlah Retur])</f>
        <v>28</v>
      </c>
      <c r="Q7" s="4">
        <f>SUBTOTAL(109,Table37[Jual Net2])</f>
        <v>130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K19" sqref="K19"/>
    </sheetView>
  </sheetViews>
  <sheetFormatPr defaultRowHeight="15" x14ac:dyDescent="0.25"/>
  <cols>
    <col min="1" max="1" width="12" customWidth="1"/>
    <col min="3" max="3" width="10.140625" bestFit="1" customWidth="1"/>
  </cols>
  <sheetData>
    <row r="1" spans="1:8" ht="45" x14ac:dyDescent="0.25">
      <c r="A1" s="29" t="s">
        <v>29</v>
      </c>
      <c r="B1" s="68">
        <v>2017</v>
      </c>
      <c r="C1" s="68"/>
      <c r="D1" s="68"/>
      <c r="E1" s="68"/>
      <c r="F1" s="68"/>
      <c r="G1" s="68"/>
    </row>
    <row r="3" spans="1:8" x14ac:dyDescent="0.25">
      <c r="B3" s="5" t="s">
        <v>3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6</v>
      </c>
    </row>
    <row r="4" spans="1:8" x14ac:dyDescent="0.25">
      <c r="B4" s="2">
        <v>42736</v>
      </c>
      <c r="C4" s="4">
        <v>10336463</v>
      </c>
      <c r="D4" s="4">
        <v>2920575</v>
      </c>
      <c r="E4" s="4">
        <v>7415888</v>
      </c>
      <c r="F4" s="3">
        <v>104</v>
      </c>
      <c r="G4" s="3">
        <v>28</v>
      </c>
      <c r="H4" s="3">
        <v>76</v>
      </c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30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7665088</v>
      </c>
      <c r="D4" s="4">
        <v>303625</v>
      </c>
      <c r="E4" s="4">
        <v>7361463</v>
      </c>
      <c r="F4" s="3">
        <v>82</v>
      </c>
      <c r="G4" s="3">
        <v>3</v>
      </c>
      <c r="H4" s="3">
        <v>79</v>
      </c>
      <c r="K4" s="2">
        <v>43101</v>
      </c>
      <c r="L4" s="4">
        <v>8881338</v>
      </c>
      <c r="M4" s="4">
        <v>710763</v>
      </c>
      <c r="N4" s="4">
        <v>8170575</v>
      </c>
      <c r="O4" s="3">
        <v>85</v>
      </c>
      <c r="P4" s="3">
        <v>7</v>
      </c>
      <c r="Q4" s="3">
        <v>78</v>
      </c>
    </row>
    <row r="5" spans="1:17" ht="15" customHeight="1" x14ac:dyDescent="0.25">
      <c r="B5" s="2">
        <v>42767</v>
      </c>
      <c r="C5" s="4">
        <v>6741088</v>
      </c>
      <c r="D5" s="4">
        <v>541188</v>
      </c>
      <c r="E5" s="4">
        <v>6199900</v>
      </c>
      <c r="F5" s="3">
        <v>70</v>
      </c>
      <c r="G5" s="3">
        <v>5</v>
      </c>
      <c r="H5" s="3">
        <v>65</v>
      </c>
      <c r="K5" s="2">
        <v>43132</v>
      </c>
      <c r="L5" s="4">
        <v>17011050</v>
      </c>
      <c r="M5" s="4">
        <v>1139750</v>
      </c>
      <c r="N5" s="4">
        <v>15871300</v>
      </c>
      <c r="O5" s="3">
        <v>162</v>
      </c>
      <c r="P5" s="3">
        <v>10</v>
      </c>
      <c r="Q5" s="3">
        <v>152</v>
      </c>
    </row>
    <row r="6" spans="1:17" ht="15" customHeight="1" x14ac:dyDescent="0.25">
      <c r="B6" s="2">
        <v>42795</v>
      </c>
      <c r="C6" s="4">
        <v>10182025</v>
      </c>
      <c r="D6" s="4">
        <v>729838</v>
      </c>
      <c r="E6" s="4">
        <v>9452188</v>
      </c>
      <c r="F6" s="3">
        <v>98</v>
      </c>
      <c r="G6" s="3">
        <v>7</v>
      </c>
      <c r="H6" s="3">
        <v>91</v>
      </c>
      <c r="K6" s="2">
        <v>43160</v>
      </c>
      <c r="L6" s="4">
        <v>18144350</v>
      </c>
      <c r="M6" s="4">
        <v>1775200</v>
      </c>
      <c r="N6" s="4">
        <v>16369150</v>
      </c>
      <c r="O6" s="3">
        <v>172</v>
      </c>
      <c r="P6" s="3">
        <v>16</v>
      </c>
      <c r="Q6" s="3">
        <v>156</v>
      </c>
    </row>
    <row r="7" spans="1:17" ht="15" customHeight="1" x14ac:dyDescent="0.25">
      <c r="B7" s="30"/>
      <c r="C7" s="4">
        <f>SUBTOTAL(109,Table39[Nilai Jual])</f>
        <v>24588201</v>
      </c>
      <c r="D7" s="4">
        <f>SUBTOTAL(109,Table39[Nilai Retur])</f>
        <v>1574651</v>
      </c>
      <c r="E7" s="4">
        <f>SUBTOTAL(109,Table39[Jual Net])</f>
        <v>23013551</v>
      </c>
      <c r="F7" s="4">
        <f>SUBTOTAL(109,Table39[Jumlah Jual])</f>
        <v>250</v>
      </c>
      <c r="G7" s="4">
        <f>SUBTOTAL(109,Table39[Jumlah Retur])</f>
        <v>15</v>
      </c>
      <c r="H7" s="4">
        <f>SUBTOTAL(109,Table39[Jual Net2])</f>
        <v>235</v>
      </c>
      <c r="K7" s="30"/>
      <c r="L7" s="4">
        <f>SUBTOTAL(109,Table40[Nilai Jual])</f>
        <v>44036738</v>
      </c>
      <c r="M7" s="4">
        <f>SUBTOTAL(109,Table40[Nilai Retur])</f>
        <v>3625713</v>
      </c>
      <c r="N7" s="4">
        <f>SUBTOTAL(109,Table40[Jual Net])</f>
        <v>40411025</v>
      </c>
      <c r="O7" s="4">
        <f>SUBTOTAL(109,Table40[Jumlah Jual])</f>
        <v>419</v>
      </c>
      <c r="P7" s="4">
        <f>SUBTOTAL(109,Table40[Jumlah Retur])</f>
        <v>33</v>
      </c>
      <c r="Q7" s="4">
        <f>SUBTOTAL(109,Table40[Jual Net2])</f>
        <v>386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0.855468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31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8763213</v>
      </c>
      <c r="D4" s="4">
        <v>1996925</v>
      </c>
      <c r="E4" s="4">
        <v>6766288</v>
      </c>
      <c r="F4" s="3">
        <v>89</v>
      </c>
      <c r="G4" s="3">
        <v>24</v>
      </c>
      <c r="H4" s="3">
        <v>65</v>
      </c>
      <c r="K4" s="2">
        <v>43101</v>
      </c>
      <c r="L4" s="4">
        <v>4231325</v>
      </c>
      <c r="M4" s="4">
        <v>1063563</v>
      </c>
      <c r="N4" s="4">
        <v>3167763</v>
      </c>
      <c r="O4" s="3">
        <v>41</v>
      </c>
      <c r="P4" s="3">
        <v>6</v>
      </c>
      <c r="Q4" s="3">
        <v>35</v>
      </c>
    </row>
    <row r="5" spans="1:17" x14ac:dyDescent="0.25">
      <c r="B5" s="2">
        <v>42767</v>
      </c>
      <c r="C5" s="4">
        <v>24105638</v>
      </c>
      <c r="D5" s="4">
        <v>5990682</v>
      </c>
      <c r="E5" s="4">
        <v>18114956</v>
      </c>
      <c r="F5" s="3">
        <v>217</v>
      </c>
      <c r="G5" s="3">
        <v>40</v>
      </c>
      <c r="H5" s="3">
        <v>177</v>
      </c>
      <c r="K5" s="2">
        <v>43132</v>
      </c>
      <c r="L5" s="4">
        <v>18168063</v>
      </c>
      <c r="M5" s="4">
        <v>676638</v>
      </c>
      <c r="N5" s="4">
        <v>17491425</v>
      </c>
      <c r="O5" s="3">
        <v>166</v>
      </c>
      <c r="P5" s="3">
        <v>7</v>
      </c>
      <c r="Q5" s="3">
        <v>159</v>
      </c>
    </row>
    <row r="6" spans="1:17" x14ac:dyDescent="0.25">
      <c r="B6" s="2">
        <v>42795</v>
      </c>
      <c r="C6" s="4">
        <v>58634975</v>
      </c>
      <c r="D6" s="4">
        <v>10250100</v>
      </c>
      <c r="E6" s="4">
        <v>48384875</v>
      </c>
      <c r="F6" s="3">
        <v>534</v>
      </c>
      <c r="G6" s="3">
        <v>92</v>
      </c>
      <c r="H6" s="3">
        <v>442</v>
      </c>
      <c r="K6" s="2">
        <v>43160</v>
      </c>
      <c r="L6" s="4">
        <v>67412888</v>
      </c>
      <c r="M6" s="4">
        <v>12475400</v>
      </c>
      <c r="N6" s="4">
        <v>54937488</v>
      </c>
      <c r="O6" s="3">
        <v>610</v>
      </c>
      <c r="P6" s="3">
        <v>112</v>
      </c>
      <c r="Q6" s="3">
        <v>498</v>
      </c>
    </row>
    <row r="7" spans="1:17" x14ac:dyDescent="0.25">
      <c r="B7" s="30"/>
      <c r="C7" s="4">
        <f>SUBTOTAL(109,Table41[Nilai Jual])</f>
        <v>91503826</v>
      </c>
      <c r="D7" s="4">
        <f>SUBTOTAL(109,Table41[Nilai Retur])</f>
        <v>18237707</v>
      </c>
      <c r="E7" s="4">
        <f>SUBTOTAL(109,Table41[Jual Net])</f>
        <v>73266119</v>
      </c>
      <c r="F7" s="4">
        <f>SUBTOTAL(109,Table41[Jumlah Jual])</f>
        <v>840</v>
      </c>
      <c r="G7" s="4">
        <f>SUBTOTAL(109,Table41[Jumlah Retur])</f>
        <v>156</v>
      </c>
      <c r="H7" s="4">
        <f>SUBTOTAL(109,Table41[Jual Net2])</f>
        <v>684</v>
      </c>
      <c r="K7" s="30"/>
      <c r="L7" s="4">
        <f>SUBTOTAL(109,Table43[Nilai Jual])</f>
        <v>89812276</v>
      </c>
      <c r="M7" s="4">
        <f>SUBTOTAL(109,Table43[Nilai Retur])</f>
        <v>14215601</v>
      </c>
      <c r="N7" s="4">
        <f>SUBTOTAL(109,Table43[Jual Net])</f>
        <v>75596676</v>
      </c>
      <c r="O7" s="4">
        <f>SUBTOTAL(109,Table43[Jumlah Jual])</f>
        <v>817</v>
      </c>
      <c r="P7" s="4">
        <f>SUBTOTAL(109,Table43[Jumlah Retur])</f>
        <v>125</v>
      </c>
      <c r="Q7" s="4">
        <f>SUBTOTAL(109,Table43[Jual Net2])</f>
        <v>692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RowHeight="15" x14ac:dyDescent="0.25"/>
  <cols>
    <col min="1" max="1" width="12.140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32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7707875</v>
      </c>
      <c r="D4" s="4">
        <v>1706863</v>
      </c>
      <c r="E4" s="4">
        <v>6001013</v>
      </c>
      <c r="F4" s="3">
        <v>78</v>
      </c>
      <c r="G4" s="3">
        <v>30</v>
      </c>
      <c r="H4" s="3">
        <v>48</v>
      </c>
      <c r="K4" s="2">
        <v>43101</v>
      </c>
      <c r="L4" s="4">
        <v>3721813</v>
      </c>
      <c r="M4" s="4">
        <v>1027950</v>
      </c>
      <c r="N4" s="4">
        <v>2693863</v>
      </c>
      <c r="O4" s="3">
        <v>39</v>
      </c>
      <c r="P4" s="3">
        <v>11</v>
      </c>
      <c r="Q4" s="3">
        <v>28</v>
      </c>
    </row>
    <row r="5" spans="1:17" x14ac:dyDescent="0.25">
      <c r="B5" s="2">
        <v>42767</v>
      </c>
      <c r="C5" s="4">
        <v>18960988</v>
      </c>
      <c r="D5" s="4">
        <v>3541125</v>
      </c>
      <c r="E5" s="4">
        <v>15419863</v>
      </c>
      <c r="F5" s="3">
        <v>187</v>
      </c>
      <c r="G5" s="3">
        <v>39</v>
      </c>
      <c r="H5" s="3">
        <v>148</v>
      </c>
      <c r="K5" s="2">
        <v>43132</v>
      </c>
      <c r="L5" s="4">
        <v>3089713</v>
      </c>
      <c r="M5" s="4">
        <v>579425</v>
      </c>
      <c r="N5" s="4">
        <v>2510288</v>
      </c>
      <c r="O5" s="3">
        <v>25</v>
      </c>
      <c r="P5" s="3">
        <v>8</v>
      </c>
      <c r="Q5" s="3">
        <v>17</v>
      </c>
    </row>
    <row r="6" spans="1:17" x14ac:dyDescent="0.25">
      <c r="B6" s="2">
        <v>42795</v>
      </c>
      <c r="C6" s="4">
        <v>44765175</v>
      </c>
      <c r="D6" s="4">
        <v>7233100</v>
      </c>
      <c r="E6" s="4">
        <v>37532075</v>
      </c>
      <c r="F6" s="3">
        <v>425</v>
      </c>
      <c r="G6" s="3">
        <v>87</v>
      </c>
      <c r="H6" s="3">
        <v>338</v>
      </c>
      <c r="K6" s="2">
        <v>43160</v>
      </c>
      <c r="L6" s="4">
        <v>14647938</v>
      </c>
      <c r="M6" s="4">
        <v>2265975</v>
      </c>
      <c r="N6" s="4">
        <v>12381963</v>
      </c>
      <c r="O6" s="3">
        <v>132</v>
      </c>
      <c r="P6" s="3">
        <v>21</v>
      </c>
      <c r="Q6" s="3">
        <v>111</v>
      </c>
    </row>
    <row r="7" spans="1:17" x14ac:dyDescent="0.25">
      <c r="B7" s="30"/>
      <c r="C7" s="4">
        <f>SUBTOTAL(109,Table44[Nilai Jual])</f>
        <v>71434038</v>
      </c>
      <c r="D7" s="4">
        <f>SUBTOTAL(109,Table44[Nilai Retur])</f>
        <v>12481088</v>
      </c>
      <c r="E7" s="4">
        <f>SUBTOTAL(109,Table44[Jual Net])</f>
        <v>58952951</v>
      </c>
      <c r="F7" s="4">
        <f>SUBTOTAL(109,Table44[Jumlah Jual])</f>
        <v>690</v>
      </c>
      <c r="G7" s="4">
        <f>SUBTOTAL(109,Table44[Jumlah Retur])</f>
        <v>156</v>
      </c>
      <c r="H7" s="4">
        <f>SUBTOTAL(109,Table44[Jual Net2])</f>
        <v>534</v>
      </c>
      <c r="K7" s="30"/>
      <c r="L7" s="4">
        <f>SUBTOTAL(109,Table45[Nilai Jual])</f>
        <v>21459464</v>
      </c>
      <c r="M7" s="4">
        <f>SUBTOTAL(109,Table45[Nilai Retur])</f>
        <v>3873350</v>
      </c>
      <c r="N7" s="4">
        <f>SUBTOTAL(109,Table45[Jual Net])</f>
        <v>17586114</v>
      </c>
      <c r="O7" s="4">
        <f>SUBTOTAL(109,Table45[Jumlah Jual])</f>
        <v>196</v>
      </c>
      <c r="P7" s="4">
        <f>SUBTOTAL(109,Table45[Jumlah Retur])</f>
        <v>40</v>
      </c>
      <c r="Q7" s="4">
        <f>SUBTOTAL(109,Table45[Jual Net2])</f>
        <v>156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:B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8" ht="30" x14ac:dyDescent="0.25">
      <c r="A1" s="29" t="s">
        <v>33</v>
      </c>
      <c r="B1" s="68">
        <v>2017</v>
      </c>
      <c r="C1" s="68"/>
      <c r="D1" s="68"/>
      <c r="E1" s="68"/>
      <c r="F1" s="68"/>
      <c r="G1" s="68"/>
      <c r="H1" s="68"/>
    </row>
    <row r="3" spans="1:8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8" x14ac:dyDescent="0.25">
      <c r="B4" s="2">
        <v>42736</v>
      </c>
      <c r="C4" s="4">
        <v>7570588</v>
      </c>
      <c r="D4" s="4">
        <v>1740988</v>
      </c>
      <c r="E4" s="4">
        <v>5829600</v>
      </c>
      <c r="F4" s="3">
        <v>73</v>
      </c>
      <c r="G4" s="3">
        <v>17</v>
      </c>
      <c r="H4" s="3">
        <v>56</v>
      </c>
    </row>
    <row r="5" spans="1:8" x14ac:dyDescent="0.25">
      <c r="B5" s="2">
        <v>42767</v>
      </c>
      <c r="C5" s="4">
        <v>19140800</v>
      </c>
      <c r="D5" s="4">
        <v>3000288</v>
      </c>
      <c r="E5" s="4">
        <v>16140513</v>
      </c>
      <c r="F5" s="3">
        <v>178</v>
      </c>
      <c r="G5" s="3">
        <v>28</v>
      </c>
      <c r="H5" s="3">
        <v>150</v>
      </c>
    </row>
    <row r="6" spans="1:8" x14ac:dyDescent="0.25">
      <c r="B6" s="2">
        <v>42795</v>
      </c>
      <c r="C6" s="4">
        <v>28021525</v>
      </c>
      <c r="D6" s="4">
        <v>7889525</v>
      </c>
      <c r="E6" s="4">
        <v>20132000</v>
      </c>
      <c r="F6" s="3">
        <v>271</v>
      </c>
      <c r="G6" s="3">
        <v>76</v>
      </c>
      <c r="H6" s="3">
        <v>195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6" sqref="Q1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28" t="s">
        <v>34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5935300</v>
      </c>
      <c r="D4" s="4">
        <v>522200</v>
      </c>
      <c r="E4" s="4">
        <v>5413100</v>
      </c>
      <c r="F4" s="3">
        <v>65</v>
      </c>
      <c r="G4" s="3">
        <v>5</v>
      </c>
      <c r="H4" s="3">
        <v>60</v>
      </c>
      <c r="K4" s="2">
        <v>43101</v>
      </c>
      <c r="L4" s="4">
        <v>7072188</v>
      </c>
      <c r="M4" s="4">
        <v>220063</v>
      </c>
      <c r="N4" s="4">
        <v>6852125</v>
      </c>
      <c r="O4" s="3">
        <v>70</v>
      </c>
      <c r="P4" s="3">
        <v>2</v>
      </c>
      <c r="Q4" s="3">
        <v>68</v>
      </c>
    </row>
    <row r="5" spans="1:17" x14ac:dyDescent="0.25">
      <c r="B5" s="2">
        <v>42767</v>
      </c>
      <c r="C5" s="4">
        <v>11766913</v>
      </c>
      <c r="D5" s="3">
        <v>0</v>
      </c>
      <c r="E5" s="4">
        <v>11766913</v>
      </c>
      <c r="F5" s="3">
        <v>123</v>
      </c>
      <c r="G5" s="3">
        <v>0</v>
      </c>
      <c r="H5" s="3">
        <v>123</v>
      </c>
      <c r="K5" s="2">
        <v>43132</v>
      </c>
      <c r="L5" s="4">
        <v>3878263</v>
      </c>
      <c r="M5" s="4">
        <v>214463</v>
      </c>
      <c r="N5" s="4">
        <v>3663800</v>
      </c>
      <c r="O5" s="3">
        <v>39</v>
      </c>
      <c r="P5" s="3">
        <v>2</v>
      </c>
      <c r="Q5" s="3">
        <v>37</v>
      </c>
    </row>
    <row r="6" spans="1:17" x14ac:dyDescent="0.25">
      <c r="B6" s="2">
        <v>42795</v>
      </c>
      <c r="C6" s="4">
        <v>11307188</v>
      </c>
      <c r="D6" s="4">
        <v>342300</v>
      </c>
      <c r="E6" s="4">
        <v>10964888</v>
      </c>
      <c r="F6" s="3">
        <v>111</v>
      </c>
      <c r="G6" s="3">
        <v>3</v>
      </c>
      <c r="H6" s="3">
        <v>108</v>
      </c>
      <c r="K6" s="2">
        <v>43160</v>
      </c>
      <c r="L6" s="4">
        <v>5470238</v>
      </c>
      <c r="M6" s="4">
        <v>322175</v>
      </c>
      <c r="N6" s="4">
        <v>5148063</v>
      </c>
      <c r="O6" s="3">
        <v>50</v>
      </c>
      <c r="P6" s="3">
        <v>3</v>
      </c>
      <c r="Q6" s="3">
        <v>47</v>
      </c>
    </row>
    <row r="7" spans="1:17" x14ac:dyDescent="0.25">
      <c r="B7" s="30"/>
      <c r="C7" s="4">
        <f>SUBTOTAL(109,Table47[Nilai Jual])</f>
        <v>29009401</v>
      </c>
      <c r="D7" s="4">
        <f>SUBTOTAL(109,Table47[Nilai Retur])</f>
        <v>864500</v>
      </c>
      <c r="E7" s="4">
        <f>SUBTOTAL(109,Table47[Jual Net])</f>
        <v>28144901</v>
      </c>
      <c r="F7" s="4">
        <f>SUBTOTAL(109,Table47[Jumlah Jual])</f>
        <v>299</v>
      </c>
      <c r="G7" s="4">
        <f>SUBTOTAL(109,Table47[Jumlah Retur])</f>
        <v>8</v>
      </c>
      <c r="H7" s="4">
        <f>SUBTOTAL(109,Table47[Jual Net2])</f>
        <v>291</v>
      </c>
      <c r="K7" s="30"/>
      <c r="L7" s="4">
        <f>SUBTOTAL(109,Table48[Nilai Jual])</f>
        <v>16420689</v>
      </c>
      <c r="M7" s="4">
        <f>SUBTOTAL(109,Table48[Nilai Retur])</f>
        <v>756701</v>
      </c>
      <c r="N7" s="4">
        <f>SUBTOTAL(109,Table48[Jual Net])</f>
        <v>15663988</v>
      </c>
      <c r="O7" s="4">
        <f>SUBTOTAL(109,Table48[Jumlah Jual])</f>
        <v>159</v>
      </c>
      <c r="P7" s="4">
        <f>SUBTOTAL(109,Table48[Jumlah Retur])</f>
        <v>7</v>
      </c>
      <c r="Q7" s="4">
        <f>SUBTOTAL(109,Table48[Jual Net2])</f>
        <v>152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35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5343188</v>
      </c>
      <c r="D4" s="4">
        <v>18000</v>
      </c>
      <c r="E4" s="4">
        <v>5325188</v>
      </c>
      <c r="F4" s="3">
        <v>55</v>
      </c>
      <c r="G4" s="3">
        <v>0</v>
      </c>
      <c r="H4" s="3">
        <v>55</v>
      </c>
      <c r="K4" s="2">
        <v>43101</v>
      </c>
      <c r="L4" s="4">
        <v>10666338</v>
      </c>
      <c r="M4" s="4">
        <v>1865713</v>
      </c>
      <c r="N4" s="4">
        <v>8800625</v>
      </c>
      <c r="O4" s="3">
        <v>107</v>
      </c>
      <c r="P4" s="3">
        <v>14</v>
      </c>
      <c r="Q4" s="3">
        <v>93</v>
      </c>
    </row>
    <row r="5" spans="1:17" ht="15" customHeight="1" x14ac:dyDescent="0.25">
      <c r="B5" s="2">
        <v>42767</v>
      </c>
      <c r="C5" s="4">
        <v>6728313</v>
      </c>
      <c r="D5" s="4">
        <v>524300</v>
      </c>
      <c r="E5" s="4">
        <v>6204013</v>
      </c>
      <c r="F5" s="3">
        <v>66</v>
      </c>
      <c r="G5" s="3">
        <v>5</v>
      </c>
      <c r="H5" s="3">
        <v>61</v>
      </c>
      <c r="K5" s="2">
        <v>43132</v>
      </c>
      <c r="L5" s="4">
        <v>8857363</v>
      </c>
      <c r="M5" s="4">
        <v>-2000</v>
      </c>
      <c r="N5" s="4">
        <v>8859363</v>
      </c>
      <c r="O5" s="3">
        <v>81</v>
      </c>
      <c r="P5" s="3">
        <v>0</v>
      </c>
      <c r="Q5" s="3">
        <v>81</v>
      </c>
    </row>
    <row r="6" spans="1:17" ht="15" customHeight="1" x14ac:dyDescent="0.25">
      <c r="B6" s="2">
        <v>42795</v>
      </c>
      <c r="C6" s="4">
        <v>6343313</v>
      </c>
      <c r="D6" s="4">
        <v>1271613</v>
      </c>
      <c r="E6" s="4">
        <v>5071700</v>
      </c>
      <c r="F6" s="3">
        <v>58</v>
      </c>
      <c r="G6" s="3">
        <v>10</v>
      </c>
      <c r="H6" s="3">
        <v>48</v>
      </c>
      <c r="K6" s="2">
        <v>43160</v>
      </c>
      <c r="L6" s="4">
        <v>10441025</v>
      </c>
      <c r="M6" s="4">
        <v>398825</v>
      </c>
      <c r="N6" s="4">
        <v>10042200</v>
      </c>
      <c r="O6" s="3">
        <v>94</v>
      </c>
      <c r="P6" s="3">
        <v>3</v>
      </c>
      <c r="Q6" s="3">
        <v>91</v>
      </c>
    </row>
    <row r="7" spans="1:17" ht="15" customHeight="1" x14ac:dyDescent="0.25">
      <c r="B7" s="30"/>
      <c r="C7" s="4">
        <f>SUBTOTAL(109,Table49[Nilai Jual])</f>
        <v>18414814</v>
      </c>
      <c r="D7" s="4">
        <f>SUBTOTAL(109,Table49[Nilai Retur])</f>
        <v>1813913</v>
      </c>
      <c r="E7" s="4">
        <f>SUBTOTAL(109,Table49[Jual Net])</f>
        <v>16600901</v>
      </c>
      <c r="F7" s="4">
        <f>SUBTOTAL(109,Table49[Jumlah Jual])</f>
        <v>179</v>
      </c>
      <c r="G7" s="4">
        <f>SUBTOTAL(109,Table49[Jumlah Retur])</f>
        <v>15</v>
      </c>
      <c r="H7" s="4">
        <f>SUBTOTAL(109,Table49[Jual Net2])</f>
        <v>164</v>
      </c>
      <c r="K7" s="30"/>
      <c r="L7" s="4">
        <f>SUBTOTAL(109,Table50[Nilai Jual])</f>
        <v>29964726</v>
      </c>
      <c r="M7" s="4">
        <f>SUBTOTAL(109,Table50[Nilai Retur])</f>
        <v>2262538</v>
      </c>
      <c r="N7" s="4">
        <f>SUBTOTAL(109,Table50[Jual Net])</f>
        <v>27702188</v>
      </c>
      <c r="O7" s="4">
        <f>SUBTOTAL(109,Table50[Jumlah Jual])</f>
        <v>282</v>
      </c>
      <c r="P7" s="4">
        <f>SUBTOTAL(109,Table50[Jumlah Retur])</f>
        <v>17</v>
      </c>
      <c r="Q7" s="4">
        <f>SUBTOTAL(109,Table50[Jual Net2])</f>
        <v>265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0.855468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36</v>
      </c>
      <c r="B1" s="68">
        <v>2017</v>
      </c>
      <c r="C1" s="68"/>
      <c r="D1" s="68"/>
      <c r="E1" s="68"/>
      <c r="F1" s="68"/>
      <c r="G1" s="68"/>
      <c r="H1" s="68"/>
      <c r="K1" s="69">
        <v>2018</v>
      </c>
      <c r="L1" s="69"/>
      <c r="M1" s="69"/>
      <c r="N1" s="69"/>
      <c r="O1" s="69"/>
      <c r="P1" s="69"/>
      <c r="Q1" s="69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5567538</v>
      </c>
      <c r="D4" s="4">
        <v>308875</v>
      </c>
      <c r="E4" s="4">
        <v>5258663</v>
      </c>
      <c r="F4" s="3">
        <v>55</v>
      </c>
      <c r="G4" s="3">
        <v>3</v>
      </c>
      <c r="H4" s="3">
        <v>52</v>
      </c>
      <c r="K4" s="2">
        <v>43101</v>
      </c>
      <c r="L4" s="4">
        <v>11663400</v>
      </c>
      <c r="M4" s="4">
        <v>875088</v>
      </c>
      <c r="N4" s="4">
        <v>10788313</v>
      </c>
      <c r="O4" s="3">
        <v>102</v>
      </c>
      <c r="P4" s="3">
        <v>8</v>
      </c>
      <c r="Q4" s="3">
        <v>94</v>
      </c>
    </row>
    <row r="5" spans="1:17" ht="15" customHeight="1" x14ac:dyDescent="0.25">
      <c r="B5" s="2">
        <v>42767</v>
      </c>
      <c r="C5" s="4">
        <v>8262188</v>
      </c>
      <c r="D5" s="4">
        <v>794938</v>
      </c>
      <c r="E5" s="4">
        <v>7467250</v>
      </c>
      <c r="F5" s="3">
        <v>77</v>
      </c>
      <c r="G5" s="3">
        <v>7</v>
      </c>
      <c r="H5" s="3">
        <v>70</v>
      </c>
      <c r="K5" s="2">
        <v>43132</v>
      </c>
      <c r="L5" s="4">
        <v>15793838</v>
      </c>
      <c r="M5" s="4">
        <v>429975</v>
      </c>
      <c r="N5" s="4">
        <v>15363863</v>
      </c>
      <c r="O5" s="3">
        <v>137</v>
      </c>
      <c r="P5" s="3">
        <v>3</v>
      </c>
      <c r="Q5" s="3">
        <v>134</v>
      </c>
    </row>
    <row r="6" spans="1:17" ht="15" customHeight="1" x14ac:dyDescent="0.25">
      <c r="B6" s="2">
        <v>42795</v>
      </c>
      <c r="C6" s="4">
        <v>16824675</v>
      </c>
      <c r="D6" s="4">
        <v>1037788</v>
      </c>
      <c r="E6" s="4">
        <v>15786888</v>
      </c>
      <c r="F6" s="3">
        <v>156</v>
      </c>
      <c r="G6" s="3">
        <v>10</v>
      </c>
      <c r="H6" s="3">
        <v>146</v>
      </c>
      <c r="K6" s="2">
        <v>43160</v>
      </c>
      <c r="L6" s="4">
        <v>37774713</v>
      </c>
      <c r="M6" s="4">
        <v>2279550</v>
      </c>
      <c r="N6" s="4">
        <v>35495163</v>
      </c>
      <c r="O6" s="3">
        <v>302</v>
      </c>
      <c r="P6" s="3">
        <v>17</v>
      </c>
      <c r="Q6" s="3">
        <v>285</v>
      </c>
    </row>
    <row r="7" spans="1:17" ht="15" customHeight="1" x14ac:dyDescent="0.25">
      <c r="B7" s="30"/>
      <c r="C7" s="4">
        <f>SUBTOTAL(109,Table51[Nilai Jual])</f>
        <v>30654401</v>
      </c>
      <c r="D7" s="4">
        <f>SUBTOTAL(109,Table51[Nilai Retur])</f>
        <v>2141601</v>
      </c>
      <c r="E7" s="4">
        <f>SUBTOTAL(109,Table51[Jual Net])</f>
        <v>28512801</v>
      </c>
      <c r="F7" s="4">
        <f>SUBTOTAL(109,Table51[Jumlah Jual])</f>
        <v>288</v>
      </c>
      <c r="G7" s="4">
        <f>SUBTOTAL(109,Table51[Jumlah Retur])</f>
        <v>20</v>
      </c>
      <c r="H7" s="4">
        <f>SUBTOTAL(109,Table51[Jual Net2])</f>
        <v>268</v>
      </c>
      <c r="K7" s="30"/>
      <c r="L7" s="4">
        <f>SUBTOTAL(109,Table52[Nilai Jual])</f>
        <v>65231951</v>
      </c>
      <c r="M7" s="4">
        <f>SUBTOTAL(109,Table52[Nilai Retur])</f>
        <v>3584613</v>
      </c>
      <c r="N7" s="4">
        <f>SUBTOTAL(109,Table52[Jual Net])</f>
        <v>61647339</v>
      </c>
      <c r="O7" s="4">
        <f>SUBTOTAL(109,Table52[Jumlah Jual])</f>
        <v>541</v>
      </c>
      <c r="P7" s="4">
        <f>SUBTOTAL(109,Table52[Jumlah Retur])</f>
        <v>28</v>
      </c>
      <c r="Q7" s="4">
        <f>SUBTOTAL(109,Table52[Jual Net2])</f>
        <v>513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9.85546875" bestFit="1" customWidth="1"/>
    <col min="2" max="2" width="12.57031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9" max="9" width="8.140625" bestFit="1" customWidth="1"/>
    <col min="10" max="10" width="9.140625" style="11"/>
    <col min="11" max="11" width="12.57031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x14ac:dyDescent="0.25">
      <c r="A1" s="18" t="s">
        <v>0</v>
      </c>
      <c r="B1" s="68">
        <v>2017</v>
      </c>
      <c r="C1" s="68"/>
      <c r="D1" s="68"/>
      <c r="E1" s="68"/>
      <c r="F1" s="68"/>
      <c r="G1" s="68"/>
      <c r="H1" s="68"/>
      <c r="I1" s="19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22" t="s">
        <v>9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11</v>
      </c>
      <c r="J3" s="12"/>
      <c r="K3" s="22" t="s">
        <v>9</v>
      </c>
      <c r="L3" s="23" t="s">
        <v>4</v>
      </c>
      <c r="M3" s="23" t="s">
        <v>5</v>
      </c>
      <c r="N3" s="23" t="s">
        <v>6</v>
      </c>
      <c r="O3" s="23" t="s">
        <v>7</v>
      </c>
      <c r="P3" s="23" t="s">
        <v>8</v>
      </c>
      <c r="Q3" s="24" t="s">
        <v>11</v>
      </c>
    </row>
    <row r="4" spans="1:17" ht="15" customHeight="1" x14ac:dyDescent="0.25">
      <c r="B4" s="10">
        <v>42736</v>
      </c>
      <c r="C4" s="8">
        <v>46548688</v>
      </c>
      <c r="D4" s="8">
        <v>9329075</v>
      </c>
      <c r="E4" s="8">
        <v>37219613</v>
      </c>
      <c r="F4" s="7">
        <v>439</v>
      </c>
      <c r="G4" s="7">
        <v>67</v>
      </c>
      <c r="H4" s="9">
        <v>372</v>
      </c>
      <c r="J4" s="13"/>
      <c r="K4" s="10">
        <v>43101</v>
      </c>
      <c r="L4" s="8">
        <v>26641563</v>
      </c>
      <c r="M4" s="8">
        <v>2324000</v>
      </c>
      <c r="N4" s="8">
        <v>24317563</v>
      </c>
      <c r="O4" s="7">
        <v>245</v>
      </c>
      <c r="P4" s="7">
        <v>20</v>
      </c>
      <c r="Q4" s="9">
        <v>225</v>
      </c>
    </row>
    <row r="5" spans="1:17" ht="15" customHeight="1" x14ac:dyDescent="0.25">
      <c r="B5" s="10">
        <v>42767</v>
      </c>
      <c r="C5" s="8">
        <v>67877600</v>
      </c>
      <c r="D5" s="8">
        <v>9286688</v>
      </c>
      <c r="E5" s="8">
        <v>58590913</v>
      </c>
      <c r="F5" s="7">
        <v>648</v>
      </c>
      <c r="G5" s="7">
        <v>83</v>
      </c>
      <c r="H5" s="9">
        <v>565</v>
      </c>
      <c r="J5" s="13"/>
      <c r="K5" s="10">
        <v>43132</v>
      </c>
      <c r="L5" s="8">
        <v>57203475</v>
      </c>
      <c r="M5" s="8">
        <v>5999525</v>
      </c>
      <c r="N5" s="8">
        <v>51203950</v>
      </c>
      <c r="O5" s="7">
        <v>560</v>
      </c>
      <c r="P5" s="7">
        <v>58</v>
      </c>
      <c r="Q5" s="9">
        <v>502</v>
      </c>
    </row>
    <row r="6" spans="1:17" ht="15" customHeight="1" x14ac:dyDescent="0.25">
      <c r="B6" s="25">
        <v>42795</v>
      </c>
      <c r="C6" s="16">
        <v>98514850</v>
      </c>
      <c r="D6" s="16">
        <v>16662013</v>
      </c>
      <c r="E6" s="16">
        <v>81852838</v>
      </c>
      <c r="F6" s="26">
        <v>942</v>
      </c>
      <c r="G6" s="26">
        <v>169</v>
      </c>
      <c r="H6" s="27">
        <v>773</v>
      </c>
      <c r="J6" s="13"/>
      <c r="K6" s="25">
        <v>43160</v>
      </c>
      <c r="L6" s="4">
        <v>57623300</v>
      </c>
      <c r="M6" s="4">
        <v>6706000</v>
      </c>
      <c r="N6" s="4">
        <v>50917300</v>
      </c>
      <c r="O6" s="26">
        <v>560</v>
      </c>
      <c r="P6" s="3">
        <v>63</v>
      </c>
      <c r="Q6" s="3">
        <v>497</v>
      </c>
    </row>
    <row r="7" spans="1:17" ht="15" customHeight="1" x14ac:dyDescent="0.25">
      <c r="B7" s="31"/>
      <c r="C7" s="16">
        <f>SUBTOTAL(109,Table1[Nilai Jual])</f>
        <v>212941138</v>
      </c>
      <c r="D7" s="16">
        <f>SUBTOTAL(109,Table1[Nilai Retur])</f>
        <v>35277776</v>
      </c>
      <c r="E7" s="16">
        <f>SUBTOTAL(109,Table1[Jual Net])</f>
        <v>177663364</v>
      </c>
      <c r="F7" s="16">
        <f>SUBTOTAL(109,Table1[Jumlah Jual])</f>
        <v>2029</v>
      </c>
      <c r="G7" s="16">
        <f>SUBTOTAL(109,Table1[Jumlah Retur])</f>
        <v>319</v>
      </c>
      <c r="H7" s="16">
        <f>SUBTOTAL(109,Table1[Jual Net2])</f>
        <v>1710</v>
      </c>
      <c r="J7" s="13"/>
      <c r="K7" s="31"/>
      <c r="L7" s="16">
        <f>SUBTOTAL(109,Table2[Nilai Jual])</f>
        <v>141468338</v>
      </c>
      <c r="M7" s="16">
        <f>SUBTOTAL(109,Table2[Nilai Retur])</f>
        <v>15029525</v>
      </c>
      <c r="N7" s="16">
        <f>SUBTOTAL(109,Table2[Jual Net])</f>
        <v>126438813</v>
      </c>
      <c r="O7" s="16">
        <f>SUBTOTAL(109,Table2[Jumlah Jual])</f>
        <v>1365</v>
      </c>
      <c r="P7" s="16">
        <f>SUBTOTAL(109,Table2[Jumlah Retur])</f>
        <v>141</v>
      </c>
      <c r="Q7" s="16">
        <f>SUBTOTAL(109,Table2[Jual Net2])</f>
        <v>1224</v>
      </c>
    </row>
    <row r="8" spans="1:17" x14ac:dyDescent="0.25">
      <c r="B8" s="15"/>
      <c r="C8" s="17"/>
      <c r="D8" s="17"/>
      <c r="E8" s="17"/>
    </row>
    <row r="9" spans="1:17" x14ac:dyDescent="0.25">
      <c r="C9" s="11"/>
      <c r="D9" s="11"/>
      <c r="E9" s="11"/>
    </row>
    <row r="15" spans="1:17" x14ac:dyDescent="0.25">
      <c r="L15" s="6"/>
    </row>
  </sheetData>
  <mergeCells count="2">
    <mergeCell ref="B1:H1"/>
    <mergeCell ref="K1:Q1"/>
  </mergeCells>
  <pageMargins left="0.7" right="0.7" top="0.75" bottom="0.75" header="0.3" footer="0.3"/>
  <pageSetup paperSize="0" orientation="portrait" horizontalDpi="0" verticalDpi="0" copies="0"/>
  <drawing r:id="rId1"/>
  <tableParts count="2">
    <tablePart r:id="rId2"/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37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x14ac:dyDescent="0.25">
      <c r="B4" s="2">
        <v>42736</v>
      </c>
      <c r="C4" s="4">
        <v>24623288</v>
      </c>
      <c r="D4" s="4">
        <v>2825311</v>
      </c>
      <c r="E4" s="4">
        <v>21797977</v>
      </c>
      <c r="F4" s="3">
        <v>226</v>
      </c>
      <c r="G4" s="3">
        <v>42</v>
      </c>
      <c r="H4" s="3">
        <v>184</v>
      </c>
      <c r="K4" s="2">
        <v>43101</v>
      </c>
      <c r="L4" s="4">
        <v>2409925</v>
      </c>
      <c r="M4" s="4">
        <v>506538</v>
      </c>
      <c r="N4" s="4">
        <v>1903388</v>
      </c>
      <c r="O4" s="3">
        <v>24</v>
      </c>
      <c r="P4" s="3">
        <v>4</v>
      </c>
      <c r="Q4" s="3">
        <v>20</v>
      </c>
    </row>
    <row r="5" spans="1:17" x14ac:dyDescent="0.25">
      <c r="B5" s="2">
        <v>42795</v>
      </c>
      <c r="C5" s="4">
        <v>45146938</v>
      </c>
      <c r="D5" s="4">
        <v>12013417</v>
      </c>
      <c r="E5" s="4">
        <v>33133521</v>
      </c>
      <c r="F5" s="3">
        <v>423</v>
      </c>
      <c r="G5" s="3">
        <v>82</v>
      </c>
      <c r="H5" s="3">
        <v>341</v>
      </c>
      <c r="K5" s="2">
        <v>43132</v>
      </c>
      <c r="L5" s="4">
        <v>6429938</v>
      </c>
      <c r="M5" s="4">
        <v>1013150</v>
      </c>
      <c r="N5" s="4">
        <v>5416788</v>
      </c>
      <c r="O5" s="3">
        <v>67</v>
      </c>
      <c r="P5" s="3">
        <v>11</v>
      </c>
      <c r="Q5" s="3">
        <v>56</v>
      </c>
    </row>
    <row r="6" spans="1:17" x14ac:dyDescent="0.25">
      <c r="B6" s="2">
        <v>42795</v>
      </c>
      <c r="C6" s="4">
        <v>45146938</v>
      </c>
      <c r="D6" s="4">
        <v>12013417</v>
      </c>
      <c r="E6" s="4">
        <v>33133521</v>
      </c>
      <c r="F6" s="3">
        <v>423</v>
      </c>
      <c r="G6" s="3">
        <v>82</v>
      </c>
      <c r="H6" s="3">
        <v>341</v>
      </c>
      <c r="K6" s="2">
        <v>43160</v>
      </c>
      <c r="L6" s="4">
        <v>4586225</v>
      </c>
      <c r="M6" s="4">
        <v>1211000</v>
      </c>
      <c r="N6" s="4">
        <v>3375225</v>
      </c>
      <c r="O6" s="3">
        <v>46</v>
      </c>
      <c r="P6" s="3">
        <v>16</v>
      </c>
      <c r="Q6" s="3">
        <v>30</v>
      </c>
    </row>
    <row r="7" spans="1:17" x14ac:dyDescent="0.25">
      <c r="B7" s="30"/>
      <c r="C7" s="4">
        <f>SUBTOTAL(109,Table53[Nilai Jual])</f>
        <v>114917164</v>
      </c>
      <c r="D7" s="4">
        <f>SUBTOTAL(109,Table53[Nilai Retur])</f>
        <v>26852145</v>
      </c>
      <c r="E7" s="4">
        <f>SUBTOTAL(109,Table53[Jual Net])</f>
        <v>88065019</v>
      </c>
      <c r="F7" s="4">
        <f>SUBTOTAL(109,Table53[Jumlah Jual])</f>
        <v>1072</v>
      </c>
      <c r="G7" s="4">
        <f>SUBTOTAL(109,Table53[Jumlah Retur])</f>
        <v>206</v>
      </c>
      <c r="H7" s="4">
        <f>SUBTOTAL(109,Table53[Jual Net2])</f>
        <v>866</v>
      </c>
      <c r="K7" s="30"/>
      <c r="L7" s="4">
        <f>SUBTOTAL(109,Table54[Nilai Jual])</f>
        <v>13426088</v>
      </c>
      <c r="M7" s="4">
        <f>SUBTOTAL(109,Table54[Nilai Retur])</f>
        <v>2730688</v>
      </c>
      <c r="N7" s="4">
        <f>SUBTOTAL(109,Table54[Jual Net])</f>
        <v>10695401</v>
      </c>
      <c r="O7" s="4">
        <f>SUBTOTAL(109,Table54[Jumlah Jual])</f>
        <v>137</v>
      </c>
      <c r="P7" s="4">
        <f>SUBTOTAL(109,Table54[Jumlah Retur])</f>
        <v>31</v>
      </c>
      <c r="Q7" s="4">
        <f>SUBTOTAL(109,Table54[Jual Net2])</f>
        <v>106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16" sqref="Q16"/>
    </sheetView>
  </sheetViews>
  <sheetFormatPr defaultRowHeight="15" x14ac:dyDescent="0.25"/>
  <cols>
    <col min="1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38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3146675</v>
      </c>
      <c r="D4" s="4">
        <v>712950</v>
      </c>
      <c r="E4" s="4">
        <v>2433725</v>
      </c>
      <c r="F4" s="3">
        <v>34</v>
      </c>
      <c r="G4" s="3">
        <v>8</v>
      </c>
      <c r="H4" s="3">
        <v>26</v>
      </c>
      <c r="K4" s="2">
        <v>43101</v>
      </c>
      <c r="L4" s="4">
        <v>6872950</v>
      </c>
      <c r="M4" s="4">
        <v>1908975</v>
      </c>
      <c r="N4" s="4">
        <v>4963975</v>
      </c>
      <c r="O4" s="3">
        <v>76</v>
      </c>
      <c r="P4" s="3">
        <v>19</v>
      </c>
      <c r="Q4" s="3">
        <v>57</v>
      </c>
    </row>
    <row r="5" spans="1:17" ht="15" customHeight="1" x14ac:dyDescent="0.25">
      <c r="B5" s="2">
        <v>42767</v>
      </c>
      <c r="C5" s="4">
        <v>20210488</v>
      </c>
      <c r="D5" s="4">
        <v>921663</v>
      </c>
      <c r="E5" s="4">
        <v>19288825</v>
      </c>
      <c r="F5" s="3">
        <v>183</v>
      </c>
      <c r="G5" s="3">
        <v>8</v>
      </c>
      <c r="H5" s="3">
        <v>175</v>
      </c>
      <c r="K5" s="2">
        <v>43132</v>
      </c>
      <c r="L5" s="4">
        <v>14620463</v>
      </c>
      <c r="M5" s="4">
        <v>1478750</v>
      </c>
      <c r="N5" s="4">
        <v>13141713</v>
      </c>
      <c r="O5" s="3">
        <v>134</v>
      </c>
      <c r="P5" s="3">
        <v>15</v>
      </c>
      <c r="Q5" s="3">
        <v>119</v>
      </c>
    </row>
    <row r="6" spans="1:17" ht="15" customHeight="1" x14ac:dyDescent="0.25">
      <c r="B6" s="2">
        <v>42795</v>
      </c>
      <c r="C6" s="4">
        <v>44961613</v>
      </c>
      <c r="D6" s="4">
        <v>6261325</v>
      </c>
      <c r="E6" s="4">
        <v>38700288</v>
      </c>
      <c r="F6" s="3">
        <v>413</v>
      </c>
      <c r="G6" s="3">
        <v>52</v>
      </c>
      <c r="H6" s="3">
        <v>361</v>
      </c>
      <c r="K6" s="2">
        <v>43160</v>
      </c>
      <c r="L6" s="4">
        <v>32090363</v>
      </c>
      <c r="M6" s="4">
        <v>5673138</v>
      </c>
      <c r="N6" s="4">
        <v>26417225</v>
      </c>
      <c r="O6" s="3">
        <v>294</v>
      </c>
      <c r="P6" s="3">
        <v>50</v>
      </c>
      <c r="Q6" s="3">
        <v>244</v>
      </c>
    </row>
    <row r="7" spans="1:17" ht="15" customHeight="1" x14ac:dyDescent="0.25">
      <c r="B7" s="30"/>
      <c r="C7" s="4">
        <f>SUBTOTAL(109,Table16[Nilai Jual])</f>
        <v>68318776</v>
      </c>
      <c r="D7" s="4">
        <f>SUBTOTAL(109,Table16[Nilai Retur])</f>
        <v>7895938</v>
      </c>
      <c r="E7" s="4">
        <f>SUBTOTAL(109,Table16[Jual Net])</f>
        <v>60422838</v>
      </c>
      <c r="F7" s="4">
        <f>SUBTOTAL(109,Table16[Jumlah Jual])</f>
        <v>630</v>
      </c>
      <c r="G7" s="4">
        <f>SUBTOTAL(109,Table16[Jumlah Retur])</f>
        <v>68</v>
      </c>
      <c r="H7" s="4">
        <f>SUBTOTAL(109,Table16[Jual Net2])</f>
        <v>562</v>
      </c>
      <c r="K7" s="30"/>
      <c r="L7" s="4">
        <f>SUBTOTAL(109,Table38[Nilai Jual])</f>
        <v>53583776</v>
      </c>
      <c r="M7" s="4">
        <f>SUBTOTAL(109,Table38[Nilai Retur])</f>
        <v>9060863</v>
      </c>
      <c r="N7" s="4">
        <f>SUBTOTAL(109,Table38[Jual Net])</f>
        <v>44522913</v>
      </c>
      <c r="O7" s="4">
        <f>SUBTOTAL(109,Table38[Jumlah Jual])</f>
        <v>504</v>
      </c>
      <c r="P7" s="4">
        <f>SUBTOTAL(109,Table38[Jumlah Retur])</f>
        <v>84</v>
      </c>
      <c r="Q7" s="4">
        <f>SUBTOTAL(109,Table38[Jual Net2])</f>
        <v>420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.1406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45" x14ac:dyDescent="0.25">
      <c r="A1" s="28" t="s">
        <v>39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2" spans="1:17" x14ac:dyDescent="0.25">
      <c r="A2" s="28"/>
      <c r="B2" s="20"/>
      <c r="C2" s="20"/>
      <c r="D2" s="20"/>
      <c r="E2" s="20"/>
      <c r="F2" s="20"/>
      <c r="G2" s="20"/>
      <c r="H2" s="20"/>
      <c r="K2" s="20"/>
      <c r="L2" s="20"/>
      <c r="M2" s="20"/>
      <c r="N2" s="20"/>
      <c r="O2" s="20"/>
      <c r="P2" s="20"/>
      <c r="Q2" s="20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4833200</v>
      </c>
      <c r="D4" s="4">
        <v>1075600</v>
      </c>
      <c r="E4" s="4">
        <v>3757600</v>
      </c>
      <c r="F4" s="3">
        <v>47</v>
      </c>
      <c r="G4" s="3">
        <v>9</v>
      </c>
      <c r="H4" s="3">
        <v>38</v>
      </c>
      <c r="K4" s="2">
        <v>43101</v>
      </c>
      <c r="L4" s="4">
        <v>5364000</v>
      </c>
      <c r="M4" s="4">
        <v>1970000</v>
      </c>
      <c r="N4" s="4">
        <v>3394000</v>
      </c>
      <c r="O4" s="3">
        <v>49</v>
      </c>
      <c r="P4" s="3">
        <v>16</v>
      </c>
      <c r="Q4" s="3">
        <v>33</v>
      </c>
    </row>
    <row r="5" spans="1:17" ht="15" customHeight="1" x14ac:dyDescent="0.25">
      <c r="B5" s="2">
        <v>42767</v>
      </c>
      <c r="C5" s="4">
        <v>10282800</v>
      </c>
      <c r="D5" s="4">
        <v>718100</v>
      </c>
      <c r="E5" s="4">
        <v>9564700</v>
      </c>
      <c r="F5" s="3">
        <v>83</v>
      </c>
      <c r="G5" s="3">
        <v>6</v>
      </c>
      <c r="H5" s="3">
        <v>77</v>
      </c>
      <c r="K5" s="2">
        <v>43132</v>
      </c>
      <c r="L5" s="4">
        <v>4971800</v>
      </c>
      <c r="M5" s="4">
        <v>415100</v>
      </c>
      <c r="N5" s="4">
        <v>4556700</v>
      </c>
      <c r="O5" s="3">
        <v>42</v>
      </c>
      <c r="P5" s="3">
        <v>5</v>
      </c>
      <c r="Q5" s="3">
        <v>37</v>
      </c>
    </row>
    <row r="6" spans="1:17" ht="15" customHeight="1" x14ac:dyDescent="0.25">
      <c r="B6" s="2">
        <v>42795</v>
      </c>
      <c r="C6" s="4">
        <v>17309800</v>
      </c>
      <c r="D6" s="4">
        <v>3194300</v>
      </c>
      <c r="E6" s="4">
        <v>14115500</v>
      </c>
      <c r="F6" s="3">
        <v>144</v>
      </c>
      <c r="G6" s="3">
        <v>25</v>
      </c>
      <c r="H6" s="3">
        <v>119</v>
      </c>
      <c r="K6" s="2">
        <v>43160</v>
      </c>
      <c r="L6" s="4">
        <v>4598400</v>
      </c>
      <c r="M6" s="4">
        <v>814600</v>
      </c>
      <c r="N6" s="4">
        <v>3783800</v>
      </c>
      <c r="O6" s="3">
        <v>38</v>
      </c>
      <c r="P6" s="3">
        <v>11</v>
      </c>
      <c r="Q6" s="3">
        <v>27</v>
      </c>
    </row>
    <row r="7" spans="1:17" ht="15" customHeight="1" x14ac:dyDescent="0.25">
      <c r="B7" s="30"/>
      <c r="C7" s="4">
        <f>SUBTOTAL(109,Table42[Nilai Jual])</f>
        <v>32425800</v>
      </c>
      <c r="D7" s="4">
        <f>SUBTOTAL(109,Table42[Nilai Retur])</f>
        <v>4988000</v>
      </c>
      <c r="E7" s="4">
        <f>SUBTOTAL(109,Table42[Jual Net])</f>
        <v>27437800</v>
      </c>
      <c r="F7" s="4">
        <f>SUBTOTAL(109,Table42[Jumlah Jual])</f>
        <v>274</v>
      </c>
      <c r="G7" s="4">
        <f>SUBTOTAL(109,Table42[Jumlah Retur])</f>
        <v>40</v>
      </c>
      <c r="H7" s="4">
        <f>SUBTOTAL(109,Table42[Jual Net2])</f>
        <v>234</v>
      </c>
      <c r="K7" s="30"/>
      <c r="L7" s="4">
        <f>SUBTOTAL(109,Table55[Nilai Jual])</f>
        <v>14934200</v>
      </c>
      <c r="M7" s="4">
        <f>SUBTOTAL(109,Table55[Nilai Retur])</f>
        <v>3199700</v>
      </c>
      <c r="N7" s="4">
        <f>SUBTOTAL(109,Table55[Jual Net])</f>
        <v>11734500</v>
      </c>
      <c r="O7" s="4">
        <f>SUBTOTAL(109,Table55[Jumlah Jual])</f>
        <v>129</v>
      </c>
      <c r="P7" s="4">
        <f>SUBTOTAL(109,Table55[Jumlah Retur])</f>
        <v>32</v>
      </c>
      <c r="Q7" s="4">
        <f>SUBTOTAL(109,Table55[Jual Net2])</f>
        <v>97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15" x14ac:dyDescent="0.25"/>
  <cols>
    <col min="1" max="1" width="10.5703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40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5017863</v>
      </c>
      <c r="D4" s="4">
        <v>1970063</v>
      </c>
      <c r="E4" s="4">
        <v>3047800</v>
      </c>
      <c r="F4" s="3">
        <v>51</v>
      </c>
      <c r="G4" s="3">
        <v>17</v>
      </c>
      <c r="H4" s="3">
        <v>34</v>
      </c>
      <c r="K4" s="2">
        <v>43101</v>
      </c>
      <c r="L4" s="4">
        <v>6196750</v>
      </c>
      <c r="M4" s="4">
        <v>1357913</v>
      </c>
      <c r="N4" s="4">
        <v>4838838</v>
      </c>
      <c r="O4" s="3">
        <v>62</v>
      </c>
      <c r="P4" s="3">
        <v>17</v>
      </c>
      <c r="Q4" s="3">
        <v>45</v>
      </c>
    </row>
    <row r="5" spans="1:17" ht="15" customHeight="1" x14ac:dyDescent="0.25">
      <c r="B5" s="2">
        <v>42767</v>
      </c>
      <c r="C5" s="4">
        <v>10587588</v>
      </c>
      <c r="D5" s="4">
        <v>2531375</v>
      </c>
      <c r="E5" s="4">
        <v>8056213</v>
      </c>
      <c r="F5" s="3">
        <v>99</v>
      </c>
      <c r="G5" s="3">
        <v>30</v>
      </c>
      <c r="H5" s="3">
        <v>69</v>
      </c>
      <c r="K5" s="2">
        <v>43132</v>
      </c>
      <c r="L5" s="4">
        <v>14585113</v>
      </c>
      <c r="M5" s="4">
        <v>5058638</v>
      </c>
      <c r="N5" s="4">
        <v>9526475</v>
      </c>
      <c r="O5" s="3">
        <v>139</v>
      </c>
      <c r="P5" s="3">
        <v>13</v>
      </c>
      <c r="Q5" s="3">
        <v>126</v>
      </c>
    </row>
    <row r="6" spans="1:17" ht="15" customHeight="1" x14ac:dyDescent="0.25">
      <c r="B6" s="2">
        <v>42795</v>
      </c>
      <c r="C6" s="4">
        <v>43376288</v>
      </c>
      <c r="D6" s="4">
        <v>8443488</v>
      </c>
      <c r="E6" s="4">
        <v>34932800</v>
      </c>
      <c r="F6" s="3">
        <v>401</v>
      </c>
      <c r="G6" s="3">
        <v>72</v>
      </c>
      <c r="H6" s="3">
        <v>329</v>
      </c>
      <c r="K6" s="2">
        <v>43160</v>
      </c>
      <c r="L6" s="4">
        <v>16286900</v>
      </c>
      <c r="M6" s="4">
        <v>4386122</v>
      </c>
      <c r="N6" s="4">
        <v>11900779</v>
      </c>
      <c r="O6" s="3">
        <v>141</v>
      </c>
      <c r="P6" s="3">
        <v>37</v>
      </c>
      <c r="Q6" s="3">
        <v>104</v>
      </c>
    </row>
    <row r="7" spans="1:17" ht="15" customHeight="1" x14ac:dyDescent="0.25">
      <c r="B7" s="30"/>
      <c r="C7" s="4">
        <f>SUBTOTAL(109,Table56[Nilai Jual])</f>
        <v>58981739</v>
      </c>
      <c r="D7" s="4">
        <f>SUBTOTAL(109,Table56[Nilai Retur])</f>
        <v>12944926</v>
      </c>
      <c r="E7" s="4">
        <f>SUBTOTAL(109,Table56[Jual Net])</f>
        <v>46036813</v>
      </c>
      <c r="F7" s="4">
        <f>SUBTOTAL(109,Table56[Jumlah Jual])</f>
        <v>551</v>
      </c>
      <c r="G7" s="4">
        <f>SUBTOTAL(109,Table56[Jumlah Retur])</f>
        <v>119</v>
      </c>
      <c r="H7" s="4">
        <f>SUBTOTAL(109,Table56[Jual Net2])</f>
        <v>432</v>
      </c>
      <c r="K7" s="30"/>
      <c r="L7" s="4">
        <f>SUBTOTAL(109,Table57[Nilai Jual])</f>
        <v>37068763</v>
      </c>
      <c r="M7" s="4">
        <f>SUBTOTAL(109,Table57[Nilai Retur])</f>
        <v>10802673</v>
      </c>
      <c r="N7" s="4">
        <f>SUBTOTAL(109,Table57[Jual Net])</f>
        <v>26266092</v>
      </c>
      <c r="O7" s="4">
        <f>SUBTOTAL(109,Table57[Jumlah Jual])</f>
        <v>342</v>
      </c>
      <c r="P7" s="4">
        <f>SUBTOTAL(109,Table57[Jumlah Retur])</f>
        <v>67</v>
      </c>
      <c r="Q7" s="4">
        <f>SUBTOTAL(109,Table57[Jual Net2])</f>
        <v>275</v>
      </c>
    </row>
    <row r="8" spans="1:17" x14ac:dyDescent="0.25">
      <c r="B8" s="2"/>
      <c r="C8" s="4"/>
      <c r="D8" s="4"/>
      <c r="E8" s="4"/>
      <c r="F8" s="3"/>
      <c r="G8" s="3"/>
      <c r="H8" s="3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3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44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2654400</v>
      </c>
      <c r="D4" s="4">
        <v>796600</v>
      </c>
      <c r="E4" s="4">
        <v>1857800</v>
      </c>
      <c r="F4" s="3">
        <v>26</v>
      </c>
      <c r="G4" s="3">
        <v>7</v>
      </c>
      <c r="H4" s="3">
        <v>19</v>
      </c>
      <c r="K4" s="2">
        <v>43101</v>
      </c>
      <c r="L4" s="4">
        <v>3241175</v>
      </c>
      <c r="M4" s="4">
        <v>1438063</v>
      </c>
      <c r="N4" s="4">
        <v>1803113</v>
      </c>
      <c r="O4" s="3">
        <v>28</v>
      </c>
      <c r="P4" s="3">
        <v>12</v>
      </c>
      <c r="Q4" s="3">
        <v>16</v>
      </c>
    </row>
    <row r="5" spans="1:17" ht="15" customHeight="1" x14ac:dyDescent="0.25">
      <c r="B5" s="2">
        <v>42767</v>
      </c>
      <c r="C5" s="4">
        <v>7767725</v>
      </c>
      <c r="D5" s="4">
        <v>1938038</v>
      </c>
      <c r="E5" s="4">
        <v>5829688</v>
      </c>
      <c r="F5" s="3">
        <v>71</v>
      </c>
      <c r="G5" s="3">
        <v>19</v>
      </c>
      <c r="H5" s="3">
        <v>52</v>
      </c>
      <c r="K5" s="2">
        <v>43132</v>
      </c>
      <c r="L5" s="4">
        <v>13294663</v>
      </c>
      <c r="M5" s="4">
        <v>1464838</v>
      </c>
      <c r="N5" s="4">
        <v>11829825</v>
      </c>
      <c r="O5" s="3">
        <v>126</v>
      </c>
      <c r="P5" s="3">
        <v>13</v>
      </c>
      <c r="Q5" s="3">
        <v>113</v>
      </c>
    </row>
    <row r="6" spans="1:17" ht="15" customHeight="1" x14ac:dyDescent="0.25">
      <c r="B6" s="2">
        <v>42795</v>
      </c>
      <c r="C6" s="4">
        <v>21988663</v>
      </c>
      <c r="D6" s="4">
        <v>1967350</v>
      </c>
      <c r="E6" s="4">
        <v>20021313</v>
      </c>
      <c r="F6" s="3">
        <v>219</v>
      </c>
      <c r="G6" s="3">
        <v>19</v>
      </c>
      <c r="H6" s="3">
        <v>200</v>
      </c>
      <c r="K6" s="2">
        <v>43160</v>
      </c>
      <c r="L6" s="4">
        <v>21549150</v>
      </c>
      <c r="M6" s="4">
        <v>3795450</v>
      </c>
      <c r="N6" s="4">
        <v>17753700</v>
      </c>
      <c r="O6" s="3">
        <v>204</v>
      </c>
      <c r="P6" s="3">
        <v>35</v>
      </c>
      <c r="Q6" s="3">
        <v>169</v>
      </c>
    </row>
    <row r="7" spans="1:17" ht="15" customHeight="1" x14ac:dyDescent="0.25">
      <c r="B7" s="30"/>
      <c r="C7" s="4">
        <f>SUBTOTAL(109,Table58[Nilai Jual])</f>
        <v>32410788</v>
      </c>
      <c r="D7" s="4">
        <f>SUBTOTAL(109,Table58[Nilai Retur])</f>
        <v>4701988</v>
      </c>
      <c r="E7" s="4">
        <f>SUBTOTAL(109,Table58[Jual Net])</f>
        <v>27708801</v>
      </c>
      <c r="F7" s="4">
        <f>SUBTOTAL(109,Table58[Jumlah Jual])</f>
        <v>316</v>
      </c>
      <c r="G7" s="4">
        <f>SUBTOTAL(109,Table58[Jumlah Retur])</f>
        <v>45</v>
      </c>
      <c r="H7" s="4">
        <f>SUBTOTAL(109,Table58[Jual Net2])</f>
        <v>271</v>
      </c>
      <c r="K7" s="30"/>
      <c r="L7" s="4">
        <f>SUBTOTAL(109,Table59[Nilai Jual])</f>
        <v>38084988</v>
      </c>
      <c r="M7" s="4">
        <f>SUBTOTAL(109,Table59[Nilai Retur])</f>
        <v>6698351</v>
      </c>
      <c r="N7" s="4">
        <f>SUBTOTAL(109,Table59[Jual Net])</f>
        <v>31386638</v>
      </c>
      <c r="O7" s="4">
        <f>SUBTOTAL(109,Table59[Jumlah Jual])</f>
        <v>358</v>
      </c>
      <c r="P7" s="4">
        <f>SUBTOTAL(109,Table59[Jumlah Retur])</f>
        <v>60</v>
      </c>
      <c r="Q7" s="4">
        <f>SUBTOTAL(109,Table59[Jual Net2])</f>
        <v>298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RowHeight="15" x14ac:dyDescent="0.25"/>
  <cols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41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14" t="s">
        <v>2</v>
      </c>
      <c r="L3" s="14" t="s">
        <v>4</v>
      </c>
      <c r="M3" s="14" t="s">
        <v>5</v>
      </c>
      <c r="N3" s="14" t="s">
        <v>6</v>
      </c>
      <c r="O3" s="14" t="s">
        <v>7</v>
      </c>
      <c r="P3" s="14" t="s">
        <v>8</v>
      </c>
      <c r="Q3" s="14" t="s">
        <v>11</v>
      </c>
    </row>
    <row r="4" spans="1:17" ht="15" customHeight="1" x14ac:dyDescent="0.25">
      <c r="B4" s="2">
        <v>42736</v>
      </c>
      <c r="C4" s="4">
        <v>3416000</v>
      </c>
      <c r="D4" s="3">
        <v>0</v>
      </c>
      <c r="E4" s="4">
        <v>3416000</v>
      </c>
      <c r="F4" s="3">
        <v>21</v>
      </c>
      <c r="G4" s="3">
        <v>0</v>
      </c>
      <c r="H4" s="3">
        <v>21</v>
      </c>
      <c r="K4" s="2">
        <v>43101</v>
      </c>
      <c r="L4" s="4">
        <v>1628550</v>
      </c>
      <c r="M4" s="4">
        <v>52452</v>
      </c>
      <c r="N4" s="4">
        <v>1576098</v>
      </c>
      <c r="O4" s="3">
        <v>10</v>
      </c>
      <c r="P4" s="3">
        <v>0</v>
      </c>
      <c r="Q4" s="3">
        <v>10</v>
      </c>
    </row>
    <row r="5" spans="1:17" ht="15" customHeight="1" x14ac:dyDescent="0.25">
      <c r="B5" s="2">
        <v>42767</v>
      </c>
      <c r="C5" s="4">
        <v>4277438</v>
      </c>
      <c r="D5" s="3">
        <v>0</v>
      </c>
      <c r="E5" s="4">
        <v>4277438</v>
      </c>
      <c r="F5" s="3">
        <v>29</v>
      </c>
      <c r="G5" s="3">
        <v>0</v>
      </c>
      <c r="H5" s="3">
        <v>29</v>
      </c>
    </row>
    <row r="6" spans="1:17" ht="15" customHeight="1" x14ac:dyDescent="0.25">
      <c r="B6" s="2">
        <v>42795</v>
      </c>
      <c r="C6" s="4">
        <v>20798838</v>
      </c>
      <c r="D6" s="4">
        <v>-338000</v>
      </c>
      <c r="E6" s="4">
        <v>21136838</v>
      </c>
      <c r="F6" s="3">
        <v>133</v>
      </c>
      <c r="G6" s="3">
        <v>0</v>
      </c>
      <c r="H6" s="3">
        <v>133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5"/>
  <sheetViews>
    <sheetView topLeftCell="A40" workbookViewId="0">
      <selection activeCell="D35" sqref="D35"/>
    </sheetView>
  </sheetViews>
  <sheetFormatPr defaultRowHeight="15" x14ac:dyDescent="0.25"/>
  <cols>
    <col min="1" max="1" width="3.5703125" bestFit="1" customWidth="1"/>
    <col min="2" max="2" width="6.42578125" bestFit="1" customWidth="1"/>
    <col min="3" max="3" width="14.7109375" bestFit="1" customWidth="1"/>
    <col min="4" max="6" width="12.5703125" bestFit="1" customWidth="1"/>
    <col min="7" max="7" width="11.140625" bestFit="1" customWidth="1"/>
    <col min="8" max="8" width="12.5703125" bestFit="1" customWidth="1"/>
    <col min="9" max="9" width="9.140625" bestFit="1" customWidth="1"/>
    <col min="12" max="12" width="4.42578125" bestFit="1" customWidth="1"/>
    <col min="13" max="13" width="7" bestFit="1" customWidth="1"/>
    <col min="14" max="14" width="14.7109375" bestFit="1" customWidth="1"/>
    <col min="15" max="17" width="12.5703125" bestFit="1" customWidth="1"/>
    <col min="18" max="18" width="11.140625" bestFit="1" customWidth="1"/>
    <col min="19" max="19" width="12.5703125" bestFit="1" customWidth="1"/>
  </cols>
  <sheetData>
    <row r="3" spans="1:20" x14ac:dyDescent="0.25">
      <c r="A3" s="70">
        <v>2017</v>
      </c>
      <c r="B3" s="70"/>
      <c r="C3" s="70"/>
      <c r="D3" s="70"/>
      <c r="E3" s="70"/>
      <c r="F3" s="70"/>
      <c r="G3" s="70"/>
      <c r="H3" s="70"/>
      <c r="I3" s="70"/>
      <c r="L3" s="70">
        <v>2018</v>
      </c>
      <c r="M3" s="70"/>
      <c r="N3" s="70"/>
      <c r="O3" s="70"/>
      <c r="P3" s="70"/>
      <c r="Q3" s="70"/>
      <c r="R3" s="70"/>
      <c r="S3" s="70"/>
      <c r="T3" s="70"/>
    </row>
    <row r="4" spans="1:20" x14ac:dyDescent="0.25">
      <c r="A4" s="70"/>
      <c r="B4" s="70"/>
      <c r="C4" s="70"/>
      <c r="D4" s="70"/>
      <c r="E4" s="70"/>
      <c r="F4" s="70"/>
      <c r="G4" s="70"/>
      <c r="H4" s="70"/>
      <c r="I4" s="70"/>
      <c r="L4" s="70"/>
      <c r="M4" s="70"/>
      <c r="N4" s="70"/>
      <c r="O4" s="70"/>
      <c r="P4" s="70"/>
      <c r="Q4" s="70"/>
      <c r="R4" s="70"/>
      <c r="S4" s="70"/>
      <c r="T4" s="70"/>
    </row>
    <row r="5" spans="1:20" ht="15.75" thickBot="1" x14ac:dyDescent="0.3">
      <c r="D5" s="33"/>
      <c r="E5" s="33"/>
      <c r="F5" s="33"/>
      <c r="G5" s="33"/>
      <c r="H5" s="33"/>
      <c r="I5" s="33"/>
      <c r="J5" s="11"/>
      <c r="K5" s="11"/>
      <c r="L5" s="34"/>
      <c r="M5" s="17"/>
      <c r="N5" s="33"/>
      <c r="O5" s="33"/>
      <c r="P5" s="33"/>
      <c r="Q5" s="33"/>
      <c r="R5" s="33"/>
      <c r="S5" s="33"/>
    </row>
    <row r="6" spans="1:20" x14ac:dyDescent="0.25">
      <c r="A6" s="37" t="s">
        <v>70</v>
      </c>
      <c r="B6" s="38" t="s">
        <v>71</v>
      </c>
      <c r="C6" s="38" t="s">
        <v>3</v>
      </c>
      <c r="D6" s="38" t="s">
        <v>4</v>
      </c>
      <c r="E6" s="38" t="s">
        <v>5</v>
      </c>
      <c r="F6" s="38" t="s">
        <v>72</v>
      </c>
      <c r="G6" s="38" t="s">
        <v>7</v>
      </c>
      <c r="H6" s="38" t="s">
        <v>8</v>
      </c>
      <c r="I6" s="39" t="s">
        <v>11</v>
      </c>
      <c r="L6" s="37" t="s">
        <v>70</v>
      </c>
      <c r="M6" s="38" t="s">
        <v>71</v>
      </c>
      <c r="N6" s="38" t="s">
        <v>3</v>
      </c>
      <c r="O6" s="38" t="s">
        <v>4</v>
      </c>
      <c r="P6" s="38" t="s">
        <v>5</v>
      </c>
      <c r="Q6" s="38" t="s">
        <v>73</v>
      </c>
      <c r="R6" s="38" t="s">
        <v>7</v>
      </c>
      <c r="S6" s="38" t="s">
        <v>8</v>
      </c>
      <c r="T6" s="39" t="s">
        <v>11</v>
      </c>
    </row>
    <row r="7" spans="1:20" x14ac:dyDescent="0.25">
      <c r="A7" s="40">
        <v>1</v>
      </c>
      <c r="B7" s="11">
        <v>2007</v>
      </c>
      <c r="C7" s="11" t="s">
        <v>42</v>
      </c>
      <c r="D7" s="41">
        <v>586284826</v>
      </c>
      <c r="E7" s="41">
        <v>105408801</v>
      </c>
      <c r="F7" s="41">
        <v>480876026</v>
      </c>
      <c r="G7" s="41">
        <v>5921</v>
      </c>
      <c r="H7" s="41">
        <v>1067</v>
      </c>
      <c r="I7" s="42">
        <v>4854</v>
      </c>
      <c r="J7" s="32"/>
      <c r="K7" s="32"/>
      <c r="L7" s="48">
        <v>1</v>
      </c>
      <c r="M7" s="49">
        <v>2008</v>
      </c>
      <c r="N7" s="11" t="s">
        <v>42</v>
      </c>
      <c r="O7" s="41">
        <v>169526614</v>
      </c>
      <c r="P7" s="41">
        <v>34373238</v>
      </c>
      <c r="Q7" s="41">
        <v>135153376</v>
      </c>
      <c r="R7" s="41">
        <v>1791</v>
      </c>
      <c r="S7" s="41">
        <v>345</v>
      </c>
      <c r="T7" s="42">
        <v>1446</v>
      </c>
    </row>
    <row r="8" spans="1:20" x14ac:dyDescent="0.25">
      <c r="A8" s="40">
        <v>2</v>
      </c>
      <c r="B8" s="11">
        <v>2007</v>
      </c>
      <c r="C8" s="11" t="s">
        <v>45</v>
      </c>
      <c r="D8" s="41">
        <v>449457576</v>
      </c>
      <c r="E8" s="41">
        <v>30040901</v>
      </c>
      <c r="F8" s="41">
        <v>419416675</v>
      </c>
      <c r="G8" s="41">
        <v>4305</v>
      </c>
      <c r="H8" s="41">
        <v>275</v>
      </c>
      <c r="I8" s="42">
        <v>4030</v>
      </c>
      <c r="J8" s="32"/>
      <c r="K8" s="32"/>
      <c r="L8" s="48">
        <v>2</v>
      </c>
      <c r="M8" s="49">
        <v>2008</v>
      </c>
      <c r="N8" s="11" t="s">
        <v>45</v>
      </c>
      <c r="O8" s="35">
        <v>379645613</v>
      </c>
      <c r="P8" s="35">
        <v>34628651</v>
      </c>
      <c r="Q8" s="35">
        <v>345016963</v>
      </c>
      <c r="R8" s="35">
        <v>3470</v>
      </c>
      <c r="S8" s="35">
        <v>308</v>
      </c>
      <c r="T8" s="43">
        <v>3162</v>
      </c>
    </row>
    <row r="9" spans="1:20" x14ac:dyDescent="0.25">
      <c r="A9" s="40">
        <v>3</v>
      </c>
      <c r="B9" s="11">
        <v>2007</v>
      </c>
      <c r="C9" s="11" t="s">
        <v>46</v>
      </c>
      <c r="D9" s="41">
        <v>212941138</v>
      </c>
      <c r="E9" s="41">
        <v>35277776</v>
      </c>
      <c r="F9" s="41">
        <v>177663364</v>
      </c>
      <c r="G9" s="41">
        <v>2029</v>
      </c>
      <c r="H9" s="41">
        <v>319</v>
      </c>
      <c r="I9" s="42">
        <v>1710</v>
      </c>
      <c r="J9" s="32"/>
      <c r="K9" s="32"/>
      <c r="L9" s="48">
        <v>3</v>
      </c>
      <c r="M9" s="49">
        <v>2008</v>
      </c>
      <c r="N9" s="11" t="s">
        <v>46</v>
      </c>
      <c r="O9" s="41">
        <v>114147338</v>
      </c>
      <c r="P9" s="41">
        <v>11236050</v>
      </c>
      <c r="Q9" s="41">
        <v>102911288</v>
      </c>
      <c r="R9" s="41">
        <v>1104</v>
      </c>
      <c r="S9" s="41">
        <v>115</v>
      </c>
      <c r="T9" s="42">
        <v>989</v>
      </c>
    </row>
    <row r="10" spans="1:20" x14ac:dyDescent="0.25">
      <c r="A10" s="40">
        <v>4</v>
      </c>
      <c r="B10" s="11">
        <v>2007</v>
      </c>
      <c r="C10" s="11" t="s">
        <v>47</v>
      </c>
      <c r="D10" s="41">
        <v>44569613</v>
      </c>
      <c r="E10" s="41">
        <v>3048506</v>
      </c>
      <c r="F10" s="41">
        <v>41521107</v>
      </c>
      <c r="G10" s="41">
        <v>440</v>
      </c>
      <c r="H10" s="41">
        <v>10</v>
      </c>
      <c r="I10" s="42">
        <v>430</v>
      </c>
      <c r="J10" s="32"/>
      <c r="K10" s="32"/>
      <c r="L10" s="48">
        <v>4</v>
      </c>
      <c r="M10" s="49">
        <v>2008</v>
      </c>
      <c r="N10" s="11" t="s">
        <v>47</v>
      </c>
      <c r="O10" s="41">
        <v>20879426</v>
      </c>
      <c r="P10" s="41">
        <v>312375</v>
      </c>
      <c r="Q10" s="41">
        <v>20567051</v>
      </c>
      <c r="R10" s="41">
        <v>220</v>
      </c>
      <c r="S10" s="41">
        <v>2</v>
      </c>
      <c r="T10" s="42">
        <v>218</v>
      </c>
    </row>
    <row r="11" spans="1:20" x14ac:dyDescent="0.25">
      <c r="A11" s="40">
        <v>5</v>
      </c>
      <c r="B11" s="11">
        <v>2007</v>
      </c>
      <c r="C11" s="11" t="s">
        <v>48</v>
      </c>
      <c r="D11" s="41">
        <v>65082063</v>
      </c>
      <c r="E11" s="41">
        <v>1558688</v>
      </c>
      <c r="F11" s="41">
        <v>63523375</v>
      </c>
      <c r="G11" s="41">
        <v>555</v>
      </c>
      <c r="H11" s="41">
        <v>13</v>
      </c>
      <c r="I11" s="42">
        <v>542</v>
      </c>
      <c r="J11" s="32"/>
      <c r="K11" s="32"/>
      <c r="L11" s="48">
        <v>5</v>
      </c>
      <c r="M11" s="49">
        <v>2008</v>
      </c>
      <c r="N11" s="11" t="s">
        <v>48</v>
      </c>
      <c r="O11" s="41">
        <v>51680388</v>
      </c>
      <c r="P11" s="41">
        <v>2729451</v>
      </c>
      <c r="Q11" s="41">
        <v>48950938</v>
      </c>
      <c r="R11" s="41">
        <v>458</v>
      </c>
      <c r="S11" s="41">
        <v>24</v>
      </c>
      <c r="T11" s="42">
        <v>434</v>
      </c>
    </row>
    <row r="12" spans="1:20" x14ac:dyDescent="0.25">
      <c r="A12" s="40">
        <v>6</v>
      </c>
      <c r="B12" s="11">
        <v>2007</v>
      </c>
      <c r="C12" s="11" t="s">
        <v>49</v>
      </c>
      <c r="D12" s="41">
        <v>97257600</v>
      </c>
      <c r="E12" s="41">
        <v>23812688</v>
      </c>
      <c r="F12" s="41">
        <v>73444913</v>
      </c>
      <c r="G12" s="41">
        <v>841</v>
      </c>
      <c r="H12" s="41">
        <v>195</v>
      </c>
      <c r="I12" s="42">
        <v>646</v>
      </c>
      <c r="J12" s="32"/>
      <c r="K12" s="32"/>
      <c r="L12" s="48">
        <v>6</v>
      </c>
      <c r="M12" s="49">
        <v>2008</v>
      </c>
      <c r="N12" s="11" t="s">
        <v>49</v>
      </c>
      <c r="O12" s="41">
        <v>29592000</v>
      </c>
      <c r="P12" s="41">
        <v>8219088</v>
      </c>
      <c r="Q12" s="41">
        <v>21372913</v>
      </c>
      <c r="R12" s="41">
        <v>243</v>
      </c>
      <c r="S12" s="41">
        <v>68</v>
      </c>
      <c r="T12" s="42">
        <v>175</v>
      </c>
    </row>
    <row r="13" spans="1:20" x14ac:dyDescent="0.25">
      <c r="A13" s="40">
        <v>7</v>
      </c>
      <c r="B13" s="11">
        <v>2007</v>
      </c>
      <c r="C13" s="11" t="s">
        <v>50</v>
      </c>
      <c r="D13" s="41">
        <v>82831788</v>
      </c>
      <c r="E13" s="41">
        <v>1944688</v>
      </c>
      <c r="F13" s="41">
        <v>80887101</v>
      </c>
      <c r="G13" s="41">
        <v>726</v>
      </c>
      <c r="H13" s="41">
        <v>19</v>
      </c>
      <c r="I13" s="42">
        <v>707</v>
      </c>
      <c r="J13" s="32"/>
      <c r="K13" s="32"/>
      <c r="L13" s="48">
        <v>7</v>
      </c>
      <c r="M13" s="49">
        <v>2008</v>
      </c>
      <c r="N13" s="11" t="s">
        <v>50</v>
      </c>
      <c r="O13" s="41">
        <v>43494238</v>
      </c>
      <c r="P13" s="41">
        <v>498663</v>
      </c>
      <c r="Q13" s="41">
        <v>42995576</v>
      </c>
      <c r="R13" s="41">
        <v>397</v>
      </c>
      <c r="S13" s="41">
        <v>5</v>
      </c>
      <c r="T13" s="42">
        <v>392</v>
      </c>
    </row>
    <row r="14" spans="1:20" x14ac:dyDescent="0.25">
      <c r="A14" s="40">
        <v>8</v>
      </c>
      <c r="B14" s="11">
        <v>2007</v>
      </c>
      <c r="C14" s="11" t="s">
        <v>51</v>
      </c>
      <c r="D14" s="41">
        <v>47777801</v>
      </c>
      <c r="E14" s="41">
        <v>1564939</v>
      </c>
      <c r="F14" s="41">
        <v>46212863</v>
      </c>
      <c r="G14" s="41">
        <v>400</v>
      </c>
      <c r="H14" s="41">
        <v>14</v>
      </c>
      <c r="I14" s="42">
        <v>386</v>
      </c>
      <c r="J14" s="32"/>
      <c r="K14" s="32"/>
      <c r="L14" s="48">
        <v>8</v>
      </c>
      <c r="M14" s="49">
        <v>2008</v>
      </c>
      <c r="N14" s="11" t="s">
        <v>51</v>
      </c>
      <c r="O14" s="41">
        <v>38513826</v>
      </c>
      <c r="P14" s="41">
        <v>1066276</v>
      </c>
      <c r="Q14" s="41">
        <v>37447551</v>
      </c>
      <c r="R14" s="41">
        <v>343</v>
      </c>
      <c r="S14" s="41">
        <v>11</v>
      </c>
      <c r="T14" s="42">
        <v>332</v>
      </c>
    </row>
    <row r="15" spans="1:20" x14ac:dyDescent="0.25">
      <c r="A15" s="40">
        <v>9</v>
      </c>
      <c r="B15" s="11">
        <v>2007</v>
      </c>
      <c r="C15" s="11" t="s">
        <v>52</v>
      </c>
      <c r="D15" s="41">
        <v>64139776</v>
      </c>
      <c r="E15" s="41">
        <v>6634951</v>
      </c>
      <c r="F15" s="41">
        <v>57504825</v>
      </c>
      <c r="G15" s="41">
        <v>591</v>
      </c>
      <c r="H15" s="41">
        <v>59</v>
      </c>
      <c r="I15" s="42">
        <v>532</v>
      </c>
      <c r="J15" s="32"/>
      <c r="K15" s="32"/>
      <c r="L15" s="48">
        <v>9</v>
      </c>
      <c r="M15" s="49">
        <v>2008</v>
      </c>
      <c r="N15" s="11" t="s">
        <v>52</v>
      </c>
      <c r="O15" s="41">
        <v>27488650</v>
      </c>
      <c r="P15" s="41">
        <v>1565551</v>
      </c>
      <c r="Q15" s="41">
        <v>25923101</v>
      </c>
      <c r="R15" s="41">
        <v>265</v>
      </c>
      <c r="S15" s="41">
        <v>14</v>
      </c>
      <c r="T15" s="42">
        <v>251</v>
      </c>
    </row>
    <row r="16" spans="1:20" x14ac:dyDescent="0.25">
      <c r="A16" s="40">
        <v>10</v>
      </c>
      <c r="B16" s="11">
        <v>2007</v>
      </c>
      <c r="C16" s="11" t="s">
        <v>54</v>
      </c>
      <c r="D16" s="41">
        <v>48282151</v>
      </c>
      <c r="E16" s="41">
        <v>1606938</v>
      </c>
      <c r="F16" s="41">
        <v>46675213</v>
      </c>
      <c r="G16" s="41">
        <v>476</v>
      </c>
      <c r="H16" s="41">
        <v>17</v>
      </c>
      <c r="I16" s="42">
        <v>459</v>
      </c>
      <c r="J16" s="32"/>
      <c r="K16" s="32"/>
      <c r="L16" s="48">
        <v>10</v>
      </c>
      <c r="M16" s="49">
        <v>2008</v>
      </c>
      <c r="N16" s="11" t="s">
        <v>54</v>
      </c>
      <c r="O16" s="41">
        <v>21743225</v>
      </c>
      <c r="P16" s="41">
        <v>806313</v>
      </c>
      <c r="Q16" s="41">
        <v>20936913</v>
      </c>
      <c r="R16" s="41">
        <v>199</v>
      </c>
      <c r="S16" s="41">
        <v>6</v>
      </c>
      <c r="T16" s="42">
        <v>193</v>
      </c>
    </row>
    <row r="17" spans="1:20" x14ac:dyDescent="0.25">
      <c r="A17" s="40">
        <v>11</v>
      </c>
      <c r="B17" s="11">
        <v>2007</v>
      </c>
      <c r="C17" s="11" t="s">
        <v>53</v>
      </c>
      <c r="D17" s="41">
        <v>108393513</v>
      </c>
      <c r="E17" s="41">
        <v>13899551</v>
      </c>
      <c r="F17" s="41">
        <v>94493963</v>
      </c>
      <c r="G17" s="41">
        <v>1050</v>
      </c>
      <c r="H17" s="41">
        <v>130</v>
      </c>
      <c r="I17" s="42">
        <v>920</v>
      </c>
      <c r="J17" s="32"/>
      <c r="K17" s="32"/>
      <c r="L17" s="48">
        <v>11</v>
      </c>
      <c r="M17" s="49">
        <v>2008</v>
      </c>
      <c r="N17" s="11" t="s">
        <v>53</v>
      </c>
      <c r="O17" s="41">
        <v>34564426</v>
      </c>
      <c r="P17" s="41">
        <v>12126924</v>
      </c>
      <c r="Q17" s="41">
        <v>22437502</v>
      </c>
      <c r="R17" s="41">
        <v>328</v>
      </c>
      <c r="S17" s="41">
        <v>34</v>
      </c>
      <c r="T17" s="42">
        <v>294</v>
      </c>
    </row>
    <row r="18" spans="1:20" x14ac:dyDescent="0.25">
      <c r="A18" s="40">
        <v>12</v>
      </c>
      <c r="B18" s="11">
        <v>2007</v>
      </c>
      <c r="C18" s="11" t="s">
        <v>55</v>
      </c>
      <c r="D18" s="41">
        <v>44808488</v>
      </c>
      <c r="E18" s="41">
        <v>4053087</v>
      </c>
      <c r="F18" s="41">
        <v>40755401</v>
      </c>
      <c r="G18" s="41">
        <v>412</v>
      </c>
      <c r="H18" s="41">
        <v>38</v>
      </c>
      <c r="I18" s="42">
        <v>374</v>
      </c>
      <c r="J18" s="32"/>
      <c r="K18" s="32"/>
      <c r="L18" s="48">
        <v>12</v>
      </c>
      <c r="M18" s="49">
        <v>2008</v>
      </c>
      <c r="N18" s="11" t="s">
        <v>55</v>
      </c>
      <c r="O18" s="41">
        <v>23376851</v>
      </c>
      <c r="P18" s="41">
        <v>2208763</v>
      </c>
      <c r="Q18" s="41">
        <v>21168089</v>
      </c>
      <c r="R18" s="41">
        <v>224</v>
      </c>
      <c r="S18" s="41">
        <v>19</v>
      </c>
      <c r="T18" s="42">
        <v>205</v>
      </c>
    </row>
    <row r="19" spans="1:20" x14ac:dyDescent="0.25">
      <c r="A19" s="40">
        <v>13</v>
      </c>
      <c r="B19" s="11">
        <v>2007</v>
      </c>
      <c r="C19" s="11" t="s">
        <v>56</v>
      </c>
      <c r="D19" s="41">
        <v>34133051</v>
      </c>
      <c r="E19" s="41">
        <v>230300</v>
      </c>
      <c r="F19" s="41">
        <v>33902751</v>
      </c>
      <c r="G19" s="41">
        <v>368</v>
      </c>
      <c r="H19" s="41">
        <v>2</v>
      </c>
      <c r="I19" s="42">
        <v>366</v>
      </c>
      <c r="J19" s="32"/>
      <c r="K19" s="32"/>
      <c r="L19" s="48">
        <v>13</v>
      </c>
      <c r="M19" s="49">
        <v>2008</v>
      </c>
      <c r="N19" s="11" t="s">
        <v>56</v>
      </c>
      <c r="O19" s="41">
        <v>83469664</v>
      </c>
      <c r="P19" s="41">
        <v>0</v>
      </c>
      <c r="Q19" s="41">
        <v>83469664</v>
      </c>
      <c r="R19" s="41">
        <v>681</v>
      </c>
      <c r="S19" s="41">
        <v>0</v>
      </c>
      <c r="T19" s="42">
        <v>681</v>
      </c>
    </row>
    <row r="20" spans="1:20" x14ac:dyDescent="0.25">
      <c r="A20" s="40">
        <v>14</v>
      </c>
      <c r="B20" s="11">
        <v>2007</v>
      </c>
      <c r="C20" s="11" t="s">
        <v>57</v>
      </c>
      <c r="D20" s="41">
        <v>51577401</v>
      </c>
      <c r="E20" s="41">
        <v>11616088</v>
      </c>
      <c r="F20" s="41">
        <v>39961314</v>
      </c>
      <c r="G20" s="41">
        <v>503</v>
      </c>
      <c r="H20" s="41">
        <v>111</v>
      </c>
      <c r="I20" s="42">
        <v>392</v>
      </c>
      <c r="J20" s="32"/>
      <c r="K20" s="32"/>
      <c r="L20" s="48">
        <v>14</v>
      </c>
      <c r="M20" s="49">
        <v>2008</v>
      </c>
      <c r="N20" s="11" t="s">
        <v>57</v>
      </c>
      <c r="O20" s="41">
        <v>20941213</v>
      </c>
      <c r="P20" s="41">
        <v>10171002</v>
      </c>
      <c r="Q20" s="41">
        <v>10770211</v>
      </c>
      <c r="R20" s="41">
        <v>181</v>
      </c>
      <c r="S20" s="41">
        <v>53</v>
      </c>
      <c r="T20" s="42">
        <v>128</v>
      </c>
    </row>
    <row r="21" spans="1:20" x14ac:dyDescent="0.25">
      <c r="A21" s="40">
        <v>15</v>
      </c>
      <c r="B21" s="11">
        <v>2007</v>
      </c>
      <c r="C21" s="11" t="s">
        <v>59</v>
      </c>
      <c r="D21" s="41">
        <v>30440551</v>
      </c>
      <c r="E21" s="41">
        <v>883688</v>
      </c>
      <c r="F21" s="41">
        <v>29556863</v>
      </c>
      <c r="G21" s="41">
        <v>294</v>
      </c>
      <c r="H21" s="41">
        <v>5</v>
      </c>
      <c r="I21" s="42">
        <v>289</v>
      </c>
      <c r="J21" s="32"/>
      <c r="K21" s="32"/>
      <c r="L21" s="48">
        <v>15</v>
      </c>
      <c r="M21" s="49">
        <v>2008</v>
      </c>
      <c r="N21" s="11" t="s">
        <v>59</v>
      </c>
      <c r="O21" s="41">
        <v>10738875</v>
      </c>
      <c r="P21" s="41">
        <v>28875</v>
      </c>
      <c r="Q21" s="41">
        <v>10710001</v>
      </c>
      <c r="R21" s="41">
        <v>113</v>
      </c>
      <c r="S21" s="41">
        <v>1</v>
      </c>
      <c r="T21" s="42">
        <v>112</v>
      </c>
    </row>
    <row r="22" spans="1:20" x14ac:dyDescent="0.25">
      <c r="A22" s="40">
        <v>16</v>
      </c>
      <c r="B22" s="11">
        <v>2007</v>
      </c>
      <c r="C22" s="11" t="s">
        <v>58</v>
      </c>
      <c r="D22" s="41">
        <v>44193451</v>
      </c>
      <c r="E22" s="41">
        <v>11941126</v>
      </c>
      <c r="F22" s="41">
        <v>32252325</v>
      </c>
      <c r="G22" s="41">
        <v>416</v>
      </c>
      <c r="H22" s="41">
        <v>114</v>
      </c>
      <c r="I22" s="42">
        <v>302</v>
      </c>
      <c r="J22" s="32"/>
      <c r="K22" s="32"/>
      <c r="L22" s="48">
        <v>16</v>
      </c>
      <c r="M22" s="49">
        <v>2008</v>
      </c>
      <c r="N22" s="11" t="s">
        <v>58</v>
      </c>
      <c r="O22" s="41">
        <v>18143214</v>
      </c>
      <c r="P22" s="41">
        <v>2136313</v>
      </c>
      <c r="Q22" s="41">
        <v>16006901</v>
      </c>
      <c r="R22" s="41">
        <v>165</v>
      </c>
      <c r="S22" s="41">
        <v>19</v>
      </c>
      <c r="T22" s="42">
        <v>146</v>
      </c>
    </row>
    <row r="23" spans="1:20" x14ac:dyDescent="0.25">
      <c r="A23" s="40">
        <v>17</v>
      </c>
      <c r="B23" s="11">
        <v>2007</v>
      </c>
      <c r="C23" s="11" t="s">
        <v>60</v>
      </c>
      <c r="D23" s="41">
        <v>40134150</v>
      </c>
      <c r="E23" s="41">
        <v>1020514</v>
      </c>
      <c r="F23" s="41">
        <v>39113639</v>
      </c>
      <c r="G23" s="41">
        <v>521</v>
      </c>
      <c r="H23" s="41">
        <v>11</v>
      </c>
      <c r="I23" s="42">
        <v>510</v>
      </c>
      <c r="J23" s="32"/>
      <c r="K23" s="32"/>
      <c r="L23" s="48">
        <v>17</v>
      </c>
      <c r="M23" s="49">
        <v>2008</v>
      </c>
      <c r="N23" s="11" t="s">
        <v>60</v>
      </c>
      <c r="O23" s="41">
        <v>107997576</v>
      </c>
      <c r="P23" s="41">
        <v>7403725</v>
      </c>
      <c r="Q23" s="41">
        <v>100593851</v>
      </c>
      <c r="R23" s="41">
        <v>1070</v>
      </c>
      <c r="S23" s="41">
        <v>75</v>
      </c>
      <c r="T23" s="42">
        <v>995</v>
      </c>
    </row>
    <row r="24" spans="1:20" x14ac:dyDescent="0.25">
      <c r="A24" s="40">
        <v>18</v>
      </c>
      <c r="B24" s="11">
        <v>2007</v>
      </c>
      <c r="C24" s="11" t="s">
        <v>61</v>
      </c>
      <c r="D24" s="41">
        <v>47433488</v>
      </c>
      <c r="E24" s="41">
        <v>11593587</v>
      </c>
      <c r="F24" s="41">
        <v>35839902</v>
      </c>
      <c r="G24" s="41">
        <v>471</v>
      </c>
      <c r="H24" s="41">
        <v>92</v>
      </c>
      <c r="I24" s="42">
        <v>379</v>
      </c>
      <c r="J24" s="32"/>
      <c r="K24" s="32"/>
      <c r="L24" s="48">
        <v>18</v>
      </c>
      <c r="M24" s="49">
        <v>2008</v>
      </c>
      <c r="N24" s="11" t="s">
        <v>61</v>
      </c>
      <c r="O24" s="41">
        <v>11378151</v>
      </c>
      <c r="P24" s="41">
        <v>1702664</v>
      </c>
      <c r="Q24" s="41">
        <v>9675488</v>
      </c>
      <c r="R24" s="41">
        <v>103</v>
      </c>
      <c r="S24" s="41">
        <v>14</v>
      </c>
      <c r="T24" s="42">
        <v>89</v>
      </c>
    </row>
    <row r="25" spans="1:20" x14ac:dyDescent="0.25">
      <c r="A25" s="40">
        <v>19</v>
      </c>
      <c r="B25" s="11">
        <v>2007</v>
      </c>
      <c r="C25" s="11" t="s">
        <v>62</v>
      </c>
      <c r="D25" s="41">
        <v>24588201</v>
      </c>
      <c r="E25" s="41">
        <v>1574651</v>
      </c>
      <c r="F25" s="41">
        <v>23013551</v>
      </c>
      <c r="G25" s="41">
        <v>250</v>
      </c>
      <c r="H25" s="41">
        <v>15</v>
      </c>
      <c r="I25" s="42">
        <v>235</v>
      </c>
      <c r="J25" s="32"/>
      <c r="K25" s="32"/>
      <c r="L25" s="48">
        <v>19</v>
      </c>
      <c r="M25" s="49">
        <v>2008</v>
      </c>
      <c r="N25" s="11" t="s">
        <v>62</v>
      </c>
      <c r="O25" s="41">
        <v>36256763</v>
      </c>
      <c r="P25" s="41">
        <v>3056176</v>
      </c>
      <c r="Q25" s="41">
        <v>33200588</v>
      </c>
      <c r="R25" s="41">
        <v>344</v>
      </c>
      <c r="S25" s="41">
        <v>27</v>
      </c>
      <c r="T25" s="42">
        <v>317</v>
      </c>
    </row>
    <row r="26" spans="1:20" x14ac:dyDescent="0.25">
      <c r="A26" s="40">
        <v>20</v>
      </c>
      <c r="B26" s="11">
        <v>2007</v>
      </c>
      <c r="C26" s="11" t="s">
        <v>63</v>
      </c>
      <c r="D26" s="41">
        <v>91503826</v>
      </c>
      <c r="E26" s="41">
        <v>18237707</v>
      </c>
      <c r="F26" s="41">
        <v>73266119</v>
      </c>
      <c r="G26" s="41">
        <v>840</v>
      </c>
      <c r="H26" s="41">
        <v>156</v>
      </c>
      <c r="I26" s="42">
        <v>684</v>
      </c>
      <c r="J26" s="32"/>
      <c r="K26" s="32"/>
      <c r="L26" s="48">
        <v>20</v>
      </c>
      <c r="M26" s="49">
        <v>2008</v>
      </c>
      <c r="N26" s="11" t="s">
        <v>63</v>
      </c>
      <c r="O26" s="41">
        <v>56620463</v>
      </c>
      <c r="P26" s="41">
        <v>5882189</v>
      </c>
      <c r="Q26" s="41">
        <v>50738276</v>
      </c>
      <c r="R26" s="41">
        <v>509</v>
      </c>
      <c r="S26" s="41">
        <v>51</v>
      </c>
      <c r="T26" s="42">
        <v>458</v>
      </c>
    </row>
    <row r="27" spans="1:20" x14ac:dyDescent="0.25">
      <c r="A27" s="40">
        <v>21</v>
      </c>
      <c r="B27" s="11">
        <v>2007</v>
      </c>
      <c r="C27" s="11" t="s">
        <v>32</v>
      </c>
      <c r="D27" s="35">
        <v>71434038</v>
      </c>
      <c r="E27" s="35">
        <v>12481088</v>
      </c>
      <c r="F27" s="35">
        <v>58952951</v>
      </c>
      <c r="G27" s="35">
        <v>690</v>
      </c>
      <c r="H27" s="35">
        <v>156</v>
      </c>
      <c r="I27" s="43">
        <v>534</v>
      </c>
      <c r="J27" s="32"/>
      <c r="K27" s="32"/>
      <c r="L27" s="48">
        <v>21</v>
      </c>
      <c r="M27" s="49">
        <v>2008</v>
      </c>
      <c r="N27" s="11" t="s">
        <v>32</v>
      </c>
      <c r="O27" s="41">
        <v>16599189</v>
      </c>
      <c r="P27" s="41">
        <v>2910413</v>
      </c>
      <c r="Q27" s="41">
        <v>13688776</v>
      </c>
      <c r="R27" s="41">
        <v>148</v>
      </c>
      <c r="S27" s="41">
        <v>34</v>
      </c>
      <c r="T27" s="42">
        <v>114</v>
      </c>
    </row>
    <row r="28" spans="1:20" x14ac:dyDescent="0.25">
      <c r="A28" s="40">
        <v>22</v>
      </c>
      <c r="B28" s="11">
        <v>2007</v>
      </c>
      <c r="C28" s="11" t="s">
        <v>34</v>
      </c>
      <c r="D28" s="41">
        <v>29009401</v>
      </c>
      <c r="E28" s="41">
        <v>864500</v>
      </c>
      <c r="F28" s="41">
        <v>28144901</v>
      </c>
      <c r="G28" s="41">
        <v>299</v>
      </c>
      <c r="H28" s="41">
        <v>8</v>
      </c>
      <c r="I28" s="42">
        <v>291</v>
      </c>
      <c r="J28" s="32"/>
      <c r="K28" s="32"/>
      <c r="L28" s="48">
        <v>22</v>
      </c>
      <c r="M28" s="49">
        <v>2008</v>
      </c>
      <c r="N28" s="11" t="s">
        <v>34</v>
      </c>
      <c r="O28" s="41">
        <v>13882576</v>
      </c>
      <c r="P28" s="41">
        <v>556676</v>
      </c>
      <c r="Q28" s="41">
        <v>13325900</v>
      </c>
      <c r="R28" s="41">
        <v>134</v>
      </c>
      <c r="S28" s="41">
        <v>5</v>
      </c>
      <c r="T28" s="42">
        <v>129</v>
      </c>
    </row>
    <row r="29" spans="1:20" x14ac:dyDescent="0.25">
      <c r="A29" s="40">
        <v>23</v>
      </c>
      <c r="B29" s="11">
        <v>2007</v>
      </c>
      <c r="C29" s="11" t="s">
        <v>64</v>
      </c>
      <c r="D29" s="41">
        <v>18414814</v>
      </c>
      <c r="E29" s="41">
        <v>1813913</v>
      </c>
      <c r="F29" s="41">
        <v>16600901</v>
      </c>
      <c r="G29" s="41">
        <v>179</v>
      </c>
      <c r="H29" s="41">
        <v>15</v>
      </c>
      <c r="I29" s="42">
        <v>164</v>
      </c>
      <c r="J29" s="32"/>
      <c r="K29" s="32"/>
      <c r="L29" s="48">
        <v>23</v>
      </c>
      <c r="M29" s="49">
        <v>2008</v>
      </c>
      <c r="N29" s="11" t="s">
        <v>64</v>
      </c>
      <c r="O29" s="41">
        <v>27383126</v>
      </c>
      <c r="P29" s="41">
        <v>2113251</v>
      </c>
      <c r="Q29" s="41">
        <v>25269876</v>
      </c>
      <c r="R29" s="41">
        <v>259</v>
      </c>
      <c r="S29" s="41">
        <v>16</v>
      </c>
      <c r="T29" s="42">
        <v>243</v>
      </c>
    </row>
    <row r="30" spans="1:20" x14ac:dyDescent="0.25">
      <c r="A30" s="40">
        <v>24</v>
      </c>
      <c r="B30" s="11">
        <v>2007</v>
      </c>
      <c r="C30" s="11" t="s">
        <v>65</v>
      </c>
      <c r="D30" s="41">
        <v>30654401</v>
      </c>
      <c r="E30" s="41">
        <v>2141601</v>
      </c>
      <c r="F30" s="41">
        <v>28512801</v>
      </c>
      <c r="G30" s="41">
        <v>288</v>
      </c>
      <c r="H30" s="41">
        <v>20</v>
      </c>
      <c r="I30" s="42">
        <v>268</v>
      </c>
      <c r="J30" s="32"/>
      <c r="K30" s="32"/>
      <c r="L30" s="48">
        <v>24</v>
      </c>
      <c r="M30" s="49">
        <v>2008</v>
      </c>
      <c r="N30" s="11" t="s">
        <v>65</v>
      </c>
      <c r="O30" s="41">
        <v>49706476</v>
      </c>
      <c r="P30" s="41">
        <v>2424101</v>
      </c>
      <c r="Q30" s="41">
        <v>47282376</v>
      </c>
      <c r="R30" s="41">
        <v>403</v>
      </c>
      <c r="S30" s="41">
        <v>20</v>
      </c>
      <c r="T30" s="42">
        <v>383</v>
      </c>
    </row>
    <row r="31" spans="1:20" x14ac:dyDescent="0.25">
      <c r="A31" s="40">
        <v>25</v>
      </c>
      <c r="B31" s="11">
        <v>2007</v>
      </c>
      <c r="C31" s="11" t="s">
        <v>37</v>
      </c>
      <c r="D31" s="41">
        <v>114917164</v>
      </c>
      <c r="E31" s="41">
        <v>26852145</v>
      </c>
      <c r="F31" s="41">
        <v>88065019</v>
      </c>
      <c r="G31" s="41">
        <v>1072</v>
      </c>
      <c r="H31" s="41">
        <v>206</v>
      </c>
      <c r="I31" s="42">
        <v>866</v>
      </c>
      <c r="J31" s="32"/>
      <c r="K31" s="32"/>
      <c r="L31" s="48">
        <v>25</v>
      </c>
      <c r="M31" s="49">
        <v>2008</v>
      </c>
      <c r="N31" s="11" t="s">
        <v>37</v>
      </c>
      <c r="O31" s="41">
        <v>12199688</v>
      </c>
      <c r="P31" s="41">
        <v>2166838</v>
      </c>
      <c r="Q31" s="41">
        <v>10032851</v>
      </c>
      <c r="R31" s="41">
        <v>125</v>
      </c>
      <c r="S31" s="41">
        <v>23</v>
      </c>
      <c r="T31" s="42">
        <v>102</v>
      </c>
    </row>
    <row r="32" spans="1:20" x14ac:dyDescent="0.25">
      <c r="A32" s="40">
        <v>26</v>
      </c>
      <c r="B32" s="11">
        <v>2007</v>
      </c>
      <c r="C32" s="11" t="s">
        <v>66</v>
      </c>
      <c r="D32" s="35">
        <v>68318776</v>
      </c>
      <c r="E32" s="35">
        <v>7895938</v>
      </c>
      <c r="F32" s="35">
        <v>60422838</v>
      </c>
      <c r="G32" s="35">
        <v>630</v>
      </c>
      <c r="H32" s="35">
        <v>68</v>
      </c>
      <c r="I32" s="43">
        <v>562</v>
      </c>
      <c r="J32" s="36"/>
      <c r="K32" s="32"/>
      <c r="L32" s="48">
        <v>26</v>
      </c>
      <c r="M32" s="49">
        <v>2008</v>
      </c>
      <c r="N32" s="11" t="s">
        <v>66</v>
      </c>
      <c r="O32" s="41">
        <v>41993701</v>
      </c>
      <c r="P32" s="41">
        <v>6679288</v>
      </c>
      <c r="Q32" s="41">
        <v>35314413</v>
      </c>
      <c r="R32" s="41">
        <v>400</v>
      </c>
      <c r="S32" s="41">
        <v>63</v>
      </c>
      <c r="T32" s="42">
        <v>337</v>
      </c>
    </row>
    <row r="33" spans="1:20" x14ac:dyDescent="0.25">
      <c r="A33" s="40">
        <v>27</v>
      </c>
      <c r="B33" s="11">
        <v>2007</v>
      </c>
      <c r="C33" s="11" t="s">
        <v>67</v>
      </c>
      <c r="D33" s="41">
        <v>32425800</v>
      </c>
      <c r="E33" s="41">
        <v>4988000</v>
      </c>
      <c r="F33" s="41">
        <v>27437800</v>
      </c>
      <c r="G33" s="41">
        <v>274</v>
      </c>
      <c r="H33" s="41">
        <v>40</v>
      </c>
      <c r="I33" s="42">
        <v>234</v>
      </c>
      <c r="J33" s="32"/>
      <c r="K33" s="32"/>
      <c r="L33" s="48">
        <v>27</v>
      </c>
      <c r="M33" s="49">
        <v>2008</v>
      </c>
      <c r="N33" s="11" t="s">
        <v>67</v>
      </c>
      <c r="O33" s="41">
        <v>12645100</v>
      </c>
      <c r="P33" s="41">
        <v>2836500</v>
      </c>
      <c r="Q33" s="41">
        <v>9808600</v>
      </c>
      <c r="R33" s="41">
        <v>110</v>
      </c>
      <c r="S33" s="41">
        <v>25</v>
      </c>
      <c r="T33" s="42">
        <v>85</v>
      </c>
    </row>
    <row r="34" spans="1:20" x14ac:dyDescent="0.25">
      <c r="A34" s="40">
        <v>28</v>
      </c>
      <c r="B34" s="11">
        <v>2007</v>
      </c>
      <c r="C34" s="11" t="s">
        <v>68</v>
      </c>
      <c r="D34" s="41">
        <v>58981739</v>
      </c>
      <c r="E34" s="41">
        <v>12944926</v>
      </c>
      <c r="F34" s="41">
        <v>46036813</v>
      </c>
      <c r="G34" s="41">
        <v>551</v>
      </c>
      <c r="H34" s="41">
        <v>119</v>
      </c>
      <c r="I34" s="42">
        <v>432</v>
      </c>
      <c r="J34" s="32"/>
      <c r="K34" s="32"/>
      <c r="L34" s="48">
        <v>28</v>
      </c>
      <c r="M34" s="49">
        <v>2008</v>
      </c>
      <c r="N34" s="11" t="s">
        <v>68</v>
      </c>
      <c r="O34" s="41">
        <v>31012188</v>
      </c>
      <c r="P34" s="41">
        <v>8232623</v>
      </c>
      <c r="Q34" s="41">
        <v>22779567</v>
      </c>
      <c r="R34" s="41">
        <v>289</v>
      </c>
      <c r="S34" s="41">
        <v>45</v>
      </c>
      <c r="T34" s="42">
        <v>244</v>
      </c>
    </row>
    <row r="35" spans="1:20" ht="15.75" thickBot="1" x14ac:dyDescent="0.3">
      <c r="A35" s="44">
        <v>29</v>
      </c>
      <c r="B35" s="45">
        <v>2007</v>
      </c>
      <c r="C35" s="45" t="s">
        <v>69</v>
      </c>
      <c r="D35" s="46">
        <v>32410788</v>
      </c>
      <c r="E35" s="46">
        <v>4701988</v>
      </c>
      <c r="F35" s="46">
        <v>27708801</v>
      </c>
      <c r="G35" s="46">
        <v>316</v>
      </c>
      <c r="H35" s="46">
        <v>45</v>
      </c>
      <c r="I35" s="47">
        <v>271</v>
      </c>
      <c r="J35" s="32"/>
      <c r="K35" s="32"/>
      <c r="L35" s="50">
        <v>29</v>
      </c>
      <c r="M35" s="51">
        <v>2008</v>
      </c>
      <c r="N35" s="45" t="s">
        <v>69</v>
      </c>
      <c r="O35" s="46">
        <v>23345526</v>
      </c>
      <c r="P35" s="46">
        <v>4500001</v>
      </c>
      <c r="Q35" s="46">
        <v>18845526</v>
      </c>
      <c r="R35" s="46">
        <v>218</v>
      </c>
      <c r="S35" s="46">
        <v>40</v>
      </c>
      <c r="T35" s="47">
        <v>178</v>
      </c>
    </row>
  </sheetData>
  <mergeCells count="2">
    <mergeCell ref="A3:I4"/>
    <mergeCell ref="L3:T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9"/>
  <sheetViews>
    <sheetView tabSelected="1" topLeftCell="E1" workbookViewId="0">
      <selection activeCell="O6" sqref="O6"/>
    </sheetView>
  </sheetViews>
  <sheetFormatPr defaultRowHeight="15" x14ac:dyDescent="0.25"/>
  <cols>
    <col min="1" max="1" width="11.5703125" bestFit="1" customWidth="1"/>
    <col min="2" max="2" width="3.5703125" customWidth="1"/>
    <col min="3" max="3" width="6.85546875" customWidth="1"/>
    <col min="4" max="4" width="36.7109375" customWidth="1"/>
    <col min="5" max="5" width="11.140625" customWidth="1"/>
    <col min="6" max="6" width="10.42578125" customWidth="1"/>
    <col min="7" max="7" width="12.5703125" customWidth="1"/>
    <col min="8" max="8" width="11.140625" customWidth="1"/>
    <col min="9" max="9" width="12.5703125" customWidth="1"/>
    <col min="10" max="13" width="9.140625" customWidth="1"/>
    <col min="14" max="14" width="36.140625" bestFit="1" customWidth="1"/>
    <col min="15" max="16" width="11.140625" bestFit="1" customWidth="1"/>
    <col min="17" max="17" width="12.5703125" bestFit="1" customWidth="1"/>
    <col min="18" max="18" width="11.140625" customWidth="1"/>
    <col min="19" max="19" width="12.5703125" bestFit="1" customWidth="1"/>
    <col min="20" max="20" width="11.140625" customWidth="1"/>
    <col min="22" max="23" width="0" hidden="1" customWidth="1"/>
    <col min="24" max="24" width="31.140625" hidden="1" customWidth="1"/>
    <col min="25" max="25" width="10.140625" hidden="1" customWidth="1"/>
    <col min="26" max="26" width="10.42578125" hidden="1" customWidth="1"/>
    <col min="27" max="27" width="12.5703125" hidden="1" customWidth="1"/>
    <col min="28" max="28" width="11.140625" hidden="1" customWidth="1"/>
    <col min="29" max="29" width="12.5703125" hidden="1" customWidth="1"/>
    <col min="30" max="32" width="0" hidden="1" customWidth="1"/>
    <col min="33" max="33" width="31.140625" bestFit="1" customWidth="1"/>
    <col min="34" max="34" width="12.5703125" bestFit="1" customWidth="1"/>
    <col min="35" max="35" width="11.5703125" bestFit="1" customWidth="1"/>
    <col min="36" max="36" width="12.5703125" bestFit="1" customWidth="1"/>
    <col min="37" max="37" width="11.140625" bestFit="1" customWidth="1"/>
    <col min="38" max="38" width="12.5703125" bestFit="1" customWidth="1"/>
    <col min="40" max="40" width="10.140625" bestFit="1" customWidth="1"/>
    <col min="41" max="41" width="36.140625" bestFit="1" customWidth="1"/>
    <col min="42" max="42" width="11.140625" bestFit="1" customWidth="1"/>
    <col min="43" max="43" width="10.42578125" bestFit="1" customWidth="1"/>
    <col min="44" max="44" width="12.5703125" bestFit="1" customWidth="1"/>
    <col min="45" max="45" width="11.140625" bestFit="1" customWidth="1"/>
    <col min="46" max="46" width="12.5703125" bestFit="1" customWidth="1"/>
    <col min="48" max="48" width="10.140625" bestFit="1" customWidth="1"/>
    <col min="49" max="49" width="36.140625" bestFit="1" customWidth="1"/>
    <col min="50" max="50" width="11.140625" bestFit="1" customWidth="1"/>
    <col min="51" max="51" width="10.42578125" bestFit="1" customWidth="1"/>
    <col min="52" max="52" width="12.5703125" bestFit="1" customWidth="1"/>
    <col min="53" max="53" width="11.140625" bestFit="1" customWidth="1"/>
    <col min="54" max="54" width="12.5703125" bestFit="1" customWidth="1"/>
    <col min="56" max="56" width="10.140625" bestFit="1" customWidth="1"/>
    <col min="57" max="57" width="36.140625" bestFit="1" customWidth="1"/>
    <col min="58" max="58" width="11.140625" bestFit="1" customWidth="1"/>
    <col min="59" max="59" width="10.42578125" bestFit="1" customWidth="1"/>
    <col min="60" max="60" width="12.5703125" bestFit="1" customWidth="1"/>
    <col min="61" max="61" width="11.140625" bestFit="1" customWidth="1"/>
    <col min="62" max="62" width="12.5703125" bestFit="1" customWidth="1"/>
    <col min="65" max="65" width="10.140625" bestFit="1" customWidth="1"/>
  </cols>
  <sheetData>
    <row r="1" spans="1:63" x14ac:dyDescent="0.25">
      <c r="A1" s="58" t="s">
        <v>116</v>
      </c>
      <c r="AN1" s="58" t="s">
        <v>116</v>
      </c>
      <c r="AV1" s="58" t="s">
        <v>116</v>
      </c>
      <c r="AX1" s="58"/>
      <c r="BD1" s="58" t="s">
        <v>116</v>
      </c>
      <c r="BF1" s="58"/>
    </row>
    <row r="2" spans="1:63" x14ac:dyDescent="0.25">
      <c r="A2" s="59">
        <v>43197</v>
      </c>
      <c r="AN2" s="59">
        <v>43204</v>
      </c>
      <c r="AV2" s="59">
        <v>43211</v>
      </c>
      <c r="AX2" s="59"/>
      <c r="BD2" s="59">
        <v>43218</v>
      </c>
      <c r="BF2" s="59"/>
    </row>
    <row r="3" spans="1:63" ht="15.75" x14ac:dyDescent="0.25">
      <c r="B3" s="71" t="s">
        <v>114</v>
      </c>
      <c r="C3" s="71"/>
      <c r="D3" s="71"/>
      <c r="E3" s="71"/>
      <c r="F3" s="71"/>
      <c r="G3" s="71"/>
      <c r="H3" s="71"/>
      <c r="I3" s="71"/>
      <c r="J3" s="71"/>
      <c r="K3" s="56"/>
      <c r="L3" s="56"/>
      <c r="M3" s="56"/>
      <c r="N3" s="71" t="s">
        <v>117</v>
      </c>
      <c r="O3" s="71"/>
      <c r="P3" s="71"/>
      <c r="Q3" s="71"/>
      <c r="R3" s="71"/>
      <c r="S3" s="71"/>
      <c r="T3" s="71"/>
      <c r="V3" s="71" t="s">
        <v>74</v>
      </c>
      <c r="W3" s="71"/>
      <c r="X3" s="71"/>
      <c r="Y3" s="71"/>
      <c r="Z3" s="71"/>
      <c r="AA3" s="71"/>
      <c r="AB3" s="71"/>
      <c r="AC3" s="71"/>
      <c r="AD3" s="71"/>
      <c r="AG3" s="71" t="s">
        <v>118</v>
      </c>
      <c r="AH3" s="71"/>
      <c r="AI3" s="71"/>
      <c r="AJ3" s="71"/>
      <c r="AK3" s="71"/>
      <c r="AL3" s="71"/>
      <c r="AM3" s="71"/>
      <c r="AO3" s="71" t="s">
        <v>118</v>
      </c>
      <c r="AP3" s="71"/>
      <c r="AQ3" s="71"/>
      <c r="AR3" s="71"/>
      <c r="AS3" s="71"/>
      <c r="AT3" s="71"/>
      <c r="AU3" s="71"/>
      <c r="AV3" s="61"/>
      <c r="AW3" s="71" t="s">
        <v>118</v>
      </c>
      <c r="AX3" s="71"/>
      <c r="AY3" s="71"/>
      <c r="AZ3" s="71"/>
      <c r="BA3" s="71"/>
      <c r="BB3" s="71"/>
      <c r="BC3" s="71"/>
      <c r="BD3" s="63"/>
      <c r="BE3" s="71" t="s">
        <v>118</v>
      </c>
      <c r="BF3" s="71"/>
      <c r="BG3" s="71"/>
      <c r="BH3" s="71"/>
      <c r="BI3" s="71"/>
      <c r="BJ3" s="71"/>
      <c r="BK3" s="71"/>
    </row>
    <row r="5" spans="1:63" x14ac:dyDescent="0.25">
      <c r="B5" s="53" t="s">
        <v>70</v>
      </c>
      <c r="C5" s="53" t="s">
        <v>71</v>
      </c>
      <c r="D5" s="53" t="s">
        <v>3</v>
      </c>
      <c r="E5" s="53" t="s">
        <v>4</v>
      </c>
      <c r="F5" s="53" t="s">
        <v>5</v>
      </c>
      <c r="G5" s="53" t="s">
        <v>73</v>
      </c>
      <c r="H5" s="53" t="s">
        <v>7</v>
      </c>
      <c r="I5" s="53" t="s">
        <v>8</v>
      </c>
      <c r="J5" s="53" t="s">
        <v>11</v>
      </c>
      <c r="K5" s="57"/>
      <c r="L5" s="57"/>
      <c r="M5" s="57"/>
      <c r="N5" s="53" t="s">
        <v>3</v>
      </c>
      <c r="O5" s="53" t="s">
        <v>4</v>
      </c>
      <c r="P5" s="53" t="s">
        <v>5</v>
      </c>
      <c r="Q5" s="53" t="s">
        <v>73</v>
      </c>
      <c r="R5" s="53" t="s">
        <v>7</v>
      </c>
      <c r="S5" s="53" t="s">
        <v>8</v>
      </c>
      <c r="T5" s="53" t="s">
        <v>11</v>
      </c>
      <c r="V5" s="53" t="s">
        <v>70</v>
      </c>
      <c r="W5" s="53" t="s">
        <v>71</v>
      </c>
      <c r="X5" s="53" t="s">
        <v>3</v>
      </c>
      <c r="Y5" s="53" t="s">
        <v>4</v>
      </c>
      <c r="Z5" s="53" t="s">
        <v>5</v>
      </c>
      <c r="AA5" s="53" t="s">
        <v>73</v>
      </c>
      <c r="AB5" s="53" t="s">
        <v>7</v>
      </c>
      <c r="AC5" s="53" t="s">
        <v>8</v>
      </c>
      <c r="AD5" s="53" t="s">
        <v>11</v>
      </c>
      <c r="AG5" s="53" t="s">
        <v>3</v>
      </c>
      <c r="AH5" s="53" t="s">
        <v>4</v>
      </c>
      <c r="AI5" s="53" t="s">
        <v>5</v>
      </c>
      <c r="AJ5" s="53" t="s">
        <v>73</v>
      </c>
      <c r="AK5" s="53" t="s">
        <v>7</v>
      </c>
      <c r="AL5" s="53" t="s">
        <v>8</v>
      </c>
      <c r="AM5" s="53" t="s">
        <v>11</v>
      </c>
      <c r="AO5" s="53" t="s">
        <v>3</v>
      </c>
      <c r="AP5" s="53" t="s">
        <v>4</v>
      </c>
      <c r="AQ5" s="53" t="s">
        <v>5</v>
      </c>
      <c r="AR5" s="53" t="s">
        <v>73</v>
      </c>
      <c r="AS5" s="53" t="s">
        <v>7</v>
      </c>
      <c r="AT5" s="53" t="s">
        <v>8</v>
      </c>
      <c r="AU5" s="53" t="s">
        <v>11</v>
      </c>
      <c r="AV5" s="65"/>
      <c r="AW5" s="53" t="s">
        <v>3</v>
      </c>
      <c r="AX5" s="53" t="s">
        <v>4</v>
      </c>
      <c r="AY5" s="53" t="s">
        <v>5</v>
      </c>
      <c r="AZ5" s="53" t="s">
        <v>73</v>
      </c>
      <c r="BA5" s="53" t="s">
        <v>7</v>
      </c>
      <c r="BB5" s="53" t="s">
        <v>8</v>
      </c>
      <c r="BC5" s="53" t="s">
        <v>11</v>
      </c>
      <c r="BE5" s="53" t="s">
        <v>3</v>
      </c>
      <c r="BF5" s="53" t="s">
        <v>4</v>
      </c>
      <c r="BG5" s="53" t="s">
        <v>5</v>
      </c>
      <c r="BH5" s="53" t="s">
        <v>73</v>
      </c>
      <c r="BI5" s="53" t="s">
        <v>7</v>
      </c>
      <c r="BJ5" s="53" t="s">
        <v>8</v>
      </c>
      <c r="BK5" s="53" t="s">
        <v>11</v>
      </c>
    </row>
    <row r="6" spans="1:63" ht="15" customHeight="1" x14ac:dyDescent="0.25">
      <c r="B6" s="54">
        <v>1</v>
      </c>
      <c r="C6" s="55">
        <v>42826</v>
      </c>
      <c r="D6" s="7" t="s">
        <v>75</v>
      </c>
      <c r="E6" s="8">
        <v>230614650</v>
      </c>
      <c r="F6" s="8">
        <v>60295200</v>
      </c>
      <c r="G6" s="8">
        <v>170319450</v>
      </c>
      <c r="H6" s="8">
        <v>2274</v>
      </c>
      <c r="I6" s="7">
        <v>544</v>
      </c>
      <c r="J6" s="8">
        <v>1730</v>
      </c>
      <c r="K6" s="17"/>
      <c r="L6" s="17"/>
      <c r="M6" s="17"/>
      <c r="N6" s="7" t="s">
        <v>75</v>
      </c>
      <c r="O6" s="8">
        <f>SUM(E6+'Ttl 2017-2018'!D7)</f>
        <v>816899476</v>
      </c>
      <c r="P6" s="8">
        <f>SUM(F6+'Ttl 2017-2018'!E7)</f>
        <v>165704001</v>
      </c>
      <c r="Q6" s="8">
        <f>SUM(G6+'Ttl 2017-2018'!F7)</f>
        <v>651195476</v>
      </c>
      <c r="R6" s="8">
        <f>SUM(H6+'Ttl 2017-2018'!G7)</f>
        <v>8195</v>
      </c>
      <c r="S6" s="8">
        <f>SUM(I6+'Ttl 2017-2018'!H7)</f>
        <v>1611</v>
      </c>
      <c r="T6" s="8">
        <f>SUM(J6+'Ttl 2017-2018'!I7)</f>
        <v>6584</v>
      </c>
      <c r="U6" s="4"/>
      <c r="V6" s="54">
        <v>1</v>
      </c>
      <c r="W6" s="55">
        <v>43191</v>
      </c>
      <c r="X6" s="7" t="s">
        <v>75</v>
      </c>
      <c r="Y6" s="8">
        <v>20431950</v>
      </c>
      <c r="Z6" s="8">
        <v>2876650</v>
      </c>
      <c r="AA6" s="8">
        <v>17555300</v>
      </c>
      <c r="AB6" s="7">
        <v>228</v>
      </c>
      <c r="AC6" s="7">
        <v>31</v>
      </c>
      <c r="AD6" s="7">
        <v>197</v>
      </c>
      <c r="AG6" s="7" t="s">
        <v>75</v>
      </c>
      <c r="AH6" s="60">
        <f>SUM('Ttl 2017-2018'!O7+Total!Y6)</f>
        <v>189958564</v>
      </c>
      <c r="AI6" s="60">
        <f>SUM('Ttl 2017-2018'!P7+Total!Z6)</f>
        <v>37249888</v>
      </c>
      <c r="AJ6" s="60">
        <f>SUM('Ttl 2017-2018'!Q7+Total!AA6)</f>
        <v>152708676</v>
      </c>
      <c r="AK6" s="60">
        <f>SUM('Ttl 2017-2018'!R7+Total!AB6)</f>
        <v>2019</v>
      </c>
      <c r="AL6" s="60">
        <f>SUM('Ttl 2017-2018'!S7+Total!AC6)</f>
        <v>376</v>
      </c>
      <c r="AM6" s="60">
        <f>SUM('Ttl 2017-2018'!T7+Total!AD6)</f>
        <v>1643</v>
      </c>
      <c r="AO6" s="7" t="s">
        <v>75</v>
      </c>
      <c r="AP6" s="62">
        <f>SUM(AH6+April!Y6)</f>
        <v>231320339</v>
      </c>
      <c r="AQ6" s="62">
        <f>SUM(AI6+April!Z6)</f>
        <v>46152051</v>
      </c>
      <c r="AR6" s="62">
        <f>SUM(AJ6+April!AA6)</f>
        <v>185168289</v>
      </c>
      <c r="AS6" s="62">
        <f>SUM(AK6+April!AB6)</f>
        <v>2464</v>
      </c>
      <c r="AT6" s="62">
        <f>SUM(AL6+April!AC6)</f>
        <v>463</v>
      </c>
      <c r="AU6" s="62">
        <f>SUM(AM6+April!AD6)</f>
        <v>2001</v>
      </c>
      <c r="AV6" s="64"/>
      <c r="AW6" s="52" t="str">
        <f>AO6</f>
        <v>ATLANTIS</v>
      </c>
      <c r="AX6" s="62">
        <f>SUM(AP6+April!AI6)</f>
        <v>291798414</v>
      </c>
      <c r="AY6" s="62">
        <f>SUM(AQ6+April!AJ6)</f>
        <v>59777639</v>
      </c>
      <c r="AZ6" s="62">
        <f>SUM(AR6+April!AK6)</f>
        <v>232020777</v>
      </c>
      <c r="BA6" s="62">
        <f>SUM(AS6+April!AL6)</f>
        <v>3103</v>
      </c>
      <c r="BB6" s="62">
        <f>SUM(AT6+April!AM6)</f>
        <v>607</v>
      </c>
      <c r="BC6" s="62">
        <f>SUM(AU6+April!AN6)</f>
        <v>2496</v>
      </c>
      <c r="BD6" s="6"/>
      <c r="BE6" s="62" t="str">
        <f>AW6</f>
        <v>ATLANTIS</v>
      </c>
      <c r="BF6" s="62">
        <f>SUM(AX6+April!AS6)</f>
        <v>360445927</v>
      </c>
      <c r="BG6" s="62">
        <f>SUM(AY6+April!AT6)</f>
        <v>76966577</v>
      </c>
      <c r="BH6" s="62">
        <f>SUM(AZ6+April!AU6)</f>
        <v>283479352</v>
      </c>
      <c r="BI6" s="62">
        <f>SUM(BA6+April!AV6)</f>
        <v>3822</v>
      </c>
      <c r="BJ6" s="62">
        <f>SUM(BB6+April!AW6)</f>
        <v>796</v>
      </c>
      <c r="BK6" s="62">
        <f>SUM(BC6+April!AX6)</f>
        <v>3026</v>
      </c>
    </row>
    <row r="7" spans="1:63" ht="15" customHeight="1" x14ac:dyDescent="0.25">
      <c r="B7" s="54">
        <v>2</v>
      </c>
      <c r="C7" s="55">
        <v>42826</v>
      </c>
      <c r="D7" s="7" t="s">
        <v>76</v>
      </c>
      <c r="E7" s="8">
        <v>173084013</v>
      </c>
      <c r="F7" s="8">
        <v>11519463</v>
      </c>
      <c r="G7" s="8">
        <v>161564550</v>
      </c>
      <c r="H7" s="8">
        <v>1646</v>
      </c>
      <c r="I7" s="7">
        <v>114</v>
      </c>
      <c r="J7" s="8">
        <v>1532</v>
      </c>
      <c r="K7" s="17"/>
      <c r="L7" s="17"/>
      <c r="M7" s="17"/>
      <c r="N7" s="7" t="s">
        <v>76</v>
      </c>
      <c r="O7" s="8">
        <f>SUM(E7+'Ttl 2017-2018'!D8)</f>
        <v>622541589</v>
      </c>
      <c r="P7" s="8">
        <f>SUM(F7+'Ttl 2017-2018'!E8)</f>
        <v>41560364</v>
      </c>
      <c r="Q7" s="8">
        <f>SUM(G7+'Ttl 2017-2018'!F8)</f>
        <v>580981225</v>
      </c>
      <c r="R7" s="8">
        <f>SUM(H7+'Ttl 2017-2018'!G8)</f>
        <v>5951</v>
      </c>
      <c r="S7" s="8">
        <f>SUM(I7+'Ttl 2017-2018'!H8)</f>
        <v>389</v>
      </c>
      <c r="T7" s="8">
        <f>SUM(J7+'Ttl 2017-2018'!I8)</f>
        <v>5562</v>
      </c>
      <c r="V7" s="54">
        <v>2</v>
      </c>
      <c r="W7" s="55">
        <v>43191</v>
      </c>
      <c r="X7" s="7" t="s">
        <v>76</v>
      </c>
      <c r="Y7" s="8">
        <v>45618913</v>
      </c>
      <c r="Z7" s="8">
        <v>3391850</v>
      </c>
      <c r="AA7" s="8">
        <v>42227063</v>
      </c>
      <c r="AB7" s="7">
        <v>406</v>
      </c>
      <c r="AC7" s="7">
        <v>40</v>
      </c>
      <c r="AD7" s="7">
        <v>366</v>
      </c>
      <c r="AG7" s="7" t="s">
        <v>76</v>
      </c>
      <c r="AH7" s="60">
        <f>SUM('Ttl 2017-2018'!O8+Total!Y7)</f>
        <v>425264526</v>
      </c>
      <c r="AI7" s="60">
        <f>SUM('Ttl 2017-2018'!P8+Total!Z7)</f>
        <v>38020501</v>
      </c>
      <c r="AJ7" s="60">
        <f>SUM('Ttl 2017-2018'!Q8+Total!AA7)</f>
        <v>387244026</v>
      </c>
      <c r="AK7" s="60">
        <f>SUM('Ttl 2017-2018'!R8+Total!AB7)</f>
        <v>3876</v>
      </c>
      <c r="AL7" s="60">
        <f>SUM('Ttl 2017-2018'!S8+Total!AC7)</f>
        <v>348</v>
      </c>
      <c r="AM7" s="60">
        <f>SUM('Ttl 2017-2018'!T8+Total!AD7)</f>
        <v>3528</v>
      </c>
      <c r="AO7" s="7" t="s">
        <v>76</v>
      </c>
      <c r="AP7" s="62">
        <f>SUM(AH7+April!Y7)</f>
        <v>516645414</v>
      </c>
      <c r="AQ7" s="62">
        <f>SUM(AI7+April!Z7)</f>
        <v>46288901</v>
      </c>
      <c r="AR7" s="62">
        <f>SUM(AJ7+April!AA7)</f>
        <v>470356514</v>
      </c>
      <c r="AS7" s="62">
        <f>SUM(AK7+April!AB7)</f>
        <v>4709</v>
      </c>
      <c r="AT7" s="62">
        <f>SUM(AL7+April!AC7)</f>
        <v>434</v>
      </c>
      <c r="AU7" s="62">
        <f>SUM(AM7+April!AD7)</f>
        <v>4275</v>
      </c>
      <c r="AV7" s="64"/>
      <c r="AW7" s="52" t="str">
        <f t="shared" ref="AW7:AW45" si="0">AO7</f>
        <v>ARIF JULIANSAH (BANDROS)</v>
      </c>
      <c r="AX7" s="62">
        <f>SUM(AP7+April!AI7)</f>
        <v>651274752</v>
      </c>
      <c r="AY7" s="62">
        <f>SUM(AQ7+April!AJ7)</f>
        <v>57882739</v>
      </c>
      <c r="AZ7" s="62">
        <f>SUM(AR7+April!AK7)</f>
        <v>593392014</v>
      </c>
      <c r="BA7" s="62">
        <f>SUM(AS7+April!AL7)</f>
        <v>5936</v>
      </c>
      <c r="BB7" s="62">
        <f>SUM(AT7+April!AM7)</f>
        <v>547</v>
      </c>
      <c r="BC7" s="62">
        <f>SUM(AU7+April!AN7)</f>
        <v>5389</v>
      </c>
      <c r="BE7" s="62" t="str">
        <f t="shared" ref="BE7:BE45" si="1">AW7</f>
        <v>ARIF JULIANSAH (BANDROS)</v>
      </c>
      <c r="BF7" s="62">
        <f>SUM(AX7+April!AS7)</f>
        <v>809985490</v>
      </c>
      <c r="BG7" s="62">
        <f>SUM(AY7+April!AT7)</f>
        <v>72270539</v>
      </c>
      <c r="BH7" s="62">
        <f>SUM(AZ7+April!AU7)</f>
        <v>737714952</v>
      </c>
      <c r="BI7" s="62">
        <f>SUM(BA7+April!AV7)</f>
        <v>7392</v>
      </c>
      <c r="BJ7" s="62">
        <f>SUM(BB7+April!AW7)</f>
        <v>695</v>
      </c>
      <c r="BK7" s="62">
        <f>SUM(BC7+April!AX7)</f>
        <v>6697</v>
      </c>
    </row>
    <row r="8" spans="1:63" ht="15" customHeight="1" x14ac:dyDescent="0.25">
      <c r="B8" s="54">
        <v>3</v>
      </c>
      <c r="C8" s="55">
        <v>42826</v>
      </c>
      <c r="D8" s="7" t="s">
        <v>0</v>
      </c>
      <c r="E8" s="8">
        <v>102040663</v>
      </c>
      <c r="F8" s="8">
        <v>14012250</v>
      </c>
      <c r="G8" s="8">
        <v>88028413</v>
      </c>
      <c r="H8" s="7">
        <v>942</v>
      </c>
      <c r="I8" s="7">
        <v>138</v>
      </c>
      <c r="J8" s="7">
        <v>804</v>
      </c>
      <c r="K8" s="13"/>
      <c r="L8" s="13"/>
      <c r="M8" s="13"/>
      <c r="N8" s="7" t="s">
        <v>0</v>
      </c>
      <c r="O8" s="8">
        <f>SUM(E8+'Ttl 2017-2018'!D9)</f>
        <v>314981801</v>
      </c>
      <c r="P8" s="8">
        <f>SUM(F8+'Ttl 2017-2018'!E9)</f>
        <v>49290026</v>
      </c>
      <c r="Q8" s="8">
        <f>SUM(G8+'Ttl 2017-2018'!F9)</f>
        <v>265691777</v>
      </c>
      <c r="R8" s="8">
        <f>SUM(H8+'Ttl 2017-2018'!G9)</f>
        <v>2971</v>
      </c>
      <c r="S8" s="8">
        <f>SUM(I8+'Ttl 2017-2018'!H9)</f>
        <v>457</v>
      </c>
      <c r="T8" s="8">
        <f>SUM(J8+'Ttl 2017-2018'!I9)</f>
        <v>2514</v>
      </c>
      <c r="V8" s="54">
        <v>3</v>
      </c>
      <c r="W8" s="55">
        <v>43191</v>
      </c>
      <c r="X8" s="7" t="s">
        <v>0</v>
      </c>
      <c r="Y8" s="8">
        <v>13226150</v>
      </c>
      <c r="Z8" s="8">
        <v>443800</v>
      </c>
      <c r="AA8" s="8">
        <v>12782350</v>
      </c>
      <c r="AB8" s="7">
        <v>125</v>
      </c>
      <c r="AC8" s="7">
        <v>10</v>
      </c>
      <c r="AD8" s="7">
        <v>115</v>
      </c>
      <c r="AG8" s="7" t="s">
        <v>0</v>
      </c>
      <c r="AH8" s="60">
        <f>SUM('Ttl 2017-2018'!O9+Total!Y8)</f>
        <v>127373488</v>
      </c>
      <c r="AI8" s="60">
        <f>SUM('Ttl 2017-2018'!P9+Total!Z8)</f>
        <v>11679850</v>
      </c>
      <c r="AJ8" s="60">
        <f>SUM('Ttl 2017-2018'!Q9+Total!AA8)</f>
        <v>115693638</v>
      </c>
      <c r="AK8" s="60">
        <f>SUM('Ttl 2017-2018'!R9+Total!AB8)</f>
        <v>1229</v>
      </c>
      <c r="AL8" s="60">
        <f>SUM('Ttl 2017-2018'!S9+Total!AC8)</f>
        <v>125</v>
      </c>
      <c r="AM8" s="60">
        <f>SUM('Ttl 2017-2018'!T9+Total!AD8)</f>
        <v>1104</v>
      </c>
      <c r="AO8" s="7" t="s">
        <v>0</v>
      </c>
      <c r="AP8" s="62">
        <f>SUM(AH8+April!Y8)</f>
        <v>155791301</v>
      </c>
      <c r="AQ8" s="62">
        <f>SUM(AI8+April!Z8)</f>
        <v>13188788</v>
      </c>
      <c r="AR8" s="62">
        <f>SUM(AJ8+April!AA8)</f>
        <v>142602513</v>
      </c>
      <c r="AS8" s="62">
        <f>SUM(AK8+April!AB8)</f>
        <v>1496</v>
      </c>
      <c r="AT8" s="62">
        <f>SUM(AL8+April!AC8)</f>
        <v>150</v>
      </c>
      <c r="AU8" s="62">
        <f>SUM(AM8+April!AD8)</f>
        <v>1346</v>
      </c>
      <c r="AV8" s="64"/>
      <c r="AW8" s="52" t="str">
        <f t="shared" si="0"/>
        <v>TAUFIK ST</v>
      </c>
      <c r="AX8" s="62">
        <f>SUM(AP8+April!AI8)</f>
        <v>193911376</v>
      </c>
      <c r="AY8" s="62">
        <f>SUM(AQ8+April!AJ8)</f>
        <v>16370551</v>
      </c>
      <c r="AZ8" s="62">
        <f>SUM(AR8+April!AK8)</f>
        <v>177540826</v>
      </c>
      <c r="BA8" s="62">
        <f>SUM(AS8+April!AL8)</f>
        <v>1851</v>
      </c>
      <c r="BB8" s="62">
        <f>SUM(AT8+April!AM8)</f>
        <v>199</v>
      </c>
      <c r="BC8" s="62">
        <f>SUM(AU8+April!AN8)</f>
        <v>1652</v>
      </c>
      <c r="BE8" s="62" t="str">
        <f t="shared" si="1"/>
        <v>TAUFIK ST</v>
      </c>
      <c r="BF8" s="62">
        <f>SUM(AX8+April!AS8)</f>
        <v>250445914</v>
      </c>
      <c r="BG8" s="62">
        <f>SUM(AY8+April!AT8)</f>
        <v>22519614</v>
      </c>
      <c r="BH8" s="62">
        <f>SUM(AZ8+April!AU8)</f>
        <v>227926301</v>
      </c>
      <c r="BI8" s="62">
        <f>SUM(BA8+April!AV8)</f>
        <v>2362</v>
      </c>
      <c r="BJ8" s="62">
        <f>SUM(BB8+April!AW8)</f>
        <v>265</v>
      </c>
      <c r="BK8" s="62">
        <f>SUM(BC8+April!AX8)</f>
        <v>2097</v>
      </c>
    </row>
    <row r="9" spans="1:63" ht="15" customHeight="1" x14ac:dyDescent="0.25">
      <c r="B9" s="54">
        <v>4</v>
      </c>
      <c r="C9" s="55">
        <v>42826</v>
      </c>
      <c r="D9" s="7" t="s">
        <v>100</v>
      </c>
      <c r="E9" s="8">
        <v>18096488</v>
      </c>
      <c r="F9" s="7">
        <v>0</v>
      </c>
      <c r="G9" s="8">
        <v>18096488</v>
      </c>
      <c r="H9" s="7">
        <v>178</v>
      </c>
      <c r="I9" s="7">
        <v>1</v>
      </c>
      <c r="J9" s="7">
        <v>177</v>
      </c>
      <c r="K9" s="13"/>
      <c r="L9" s="13"/>
      <c r="M9" s="13"/>
      <c r="N9" s="7" t="s">
        <v>100</v>
      </c>
      <c r="O9" s="8">
        <f>SUM(E9+'Ttl 2017-2018'!D10)</f>
        <v>62666101</v>
      </c>
      <c r="P9" s="8">
        <f>SUM(F9+'Ttl 2017-2018'!E10)</f>
        <v>3048506</v>
      </c>
      <c r="Q9" s="8">
        <f>SUM(G9+'Ttl 2017-2018'!F10)</f>
        <v>59617595</v>
      </c>
      <c r="R9" s="8">
        <f>SUM(H9+'Ttl 2017-2018'!G10)</f>
        <v>618</v>
      </c>
      <c r="S9" s="8">
        <f>SUM(I9+'Ttl 2017-2018'!H10)</f>
        <v>11</v>
      </c>
      <c r="T9" s="8">
        <f>SUM(J9+'Ttl 2017-2018'!I10)</f>
        <v>607</v>
      </c>
      <c r="V9" s="54">
        <v>4</v>
      </c>
      <c r="W9" s="55">
        <v>43191</v>
      </c>
      <c r="X9" s="7" t="s">
        <v>100</v>
      </c>
      <c r="Y9" s="8">
        <v>2193975</v>
      </c>
      <c r="Z9" s="8">
        <v>21612</v>
      </c>
      <c r="AA9" s="8">
        <v>2172363</v>
      </c>
      <c r="AB9" s="7">
        <v>20</v>
      </c>
      <c r="AC9" s="7">
        <v>0</v>
      </c>
      <c r="AD9" s="7">
        <v>20</v>
      </c>
      <c r="AG9" s="7" t="s">
        <v>100</v>
      </c>
      <c r="AH9" s="60">
        <f>SUM('Ttl 2017-2018'!O10+Total!Y9)</f>
        <v>23073401</v>
      </c>
      <c r="AI9" s="60">
        <f>SUM('Ttl 2017-2018'!P10+Total!Z9)</f>
        <v>333987</v>
      </c>
      <c r="AJ9" s="60">
        <f>SUM('Ttl 2017-2018'!Q10+Total!AA9)</f>
        <v>22739414</v>
      </c>
      <c r="AK9" s="60">
        <f>SUM('Ttl 2017-2018'!R10+Total!AB9)</f>
        <v>240</v>
      </c>
      <c r="AL9" s="60">
        <f>SUM('Ttl 2017-2018'!S10+Total!AC9)</f>
        <v>2</v>
      </c>
      <c r="AM9" s="60">
        <f>SUM('Ttl 2017-2018'!T10+Total!AD9)</f>
        <v>238</v>
      </c>
      <c r="AO9" s="7" t="s">
        <v>100</v>
      </c>
      <c r="AP9" s="62">
        <f>SUM(AH9+April!Y9)</f>
        <v>26257001</v>
      </c>
      <c r="AQ9" s="62">
        <f>SUM(AI9+April!Z9)</f>
        <v>355599</v>
      </c>
      <c r="AR9" s="62">
        <f>SUM(AJ9+April!AA9)</f>
        <v>25901402</v>
      </c>
      <c r="AS9" s="62">
        <f>SUM(AK9+April!AB9)</f>
        <v>268</v>
      </c>
      <c r="AT9" s="62">
        <f>SUM(AL9+April!AC9)</f>
        <v>2</v>
      </c>
      <c r="AU9" s="62">
        <f>SUM(AM9+April!AD9)</f>
        <v>266</v>
      </c>
      <c r="AV9" s="64"/>
      <c r="AW9" s="52" t="str">
        <f t="shared" si="0"/>
        <v>PUJA-ARCAMANIK</v>
      </c>
      <c r="AX9" s="62">
        <f>SUM(AP9+April!AI9)</f>
        <v>31405239</v>
      </c>
      <c r="AY9" s="62">
        <f>SUM(AQ9+April!AJ9)</f>
        <v>377211</v>
      </c>
      <c r="AZ9" s="62">
        <f>SUM(AR9+April!AK9)</f>
        <v>31028028</v>
      </c>
      <c r="BA9" s="62">
        <f>SUM(AS9+April!AL9)</f>
        <v>315</v>
      </c>
      <c r="BB9" s="62">
        <f>SUM(AT9+April!AM9)</f>
        <v>2</v>
      </c>
      <c r="BC9" s="62">
        <f>SUM(AU9+April!AN9)</f>
        <v>313</v>
      </c>
      <c r="BE9" s="62" t="str">
        <f t="shared" si="1"/>
        <v>PUJA-ARCAMANIK</v>
      </c>
      <c r="BF9" s="62">
        <f>SUM(AX9+April!AS9)</f>
        <v>38033364</v>
      </c>
      <c r="BG9" s="62">
        <f>SUM(AY9+April!AT9)</f>
        <v>398823</v>
      </c>
      <c r="BH9" s="62">
        <f>SUM(AZ9+April!AU9)</f>
        <v>37634541</v>
      </c>
      <c r="BI9" s="62">
        <f>SUM(BA9+April!AV9)</f>
        <v>380</v>
      </c>
      <c r="BJ9" s="62">
        <f>SUM(BB9+April!AW9)</f>
        <v>2</v>
      </c>
      <c r="BK9" s="62">
        <f>SUM(BC9+April!AX9)</f>
        <v>378</v>
      </c>
    </row>
    <row r="10" spans="1:63" ht="15" customHeight="1" x14ac:dyDescent="0.25">
      <c r="B10" s="54">
        <v>5</v>
      </c>
      <c r="C10" s="55">
        <v>42826</v>
      </c>
      <c r="D10" s="7" t="s">
        <v>96</v>
      </c>
      <c r="E10" s="8">
        <v>21095988</v>
      </c>
      <c r="F10" s="8">
        <v>1500551</v>
      </c>
      <c r="G10" s="8">
        <v>19595437</v>
      </c>
      <c r="H10" s="7">
        <v>181</v>
      </c>
      <c r="I10" s="7">
        <v>9</v>
      </c>
      <c r="J10" s="7">
        <v>172</v>
      </c>
      <c r="K10" s="13"/>
      <c r="L10" s="13"/>
      <c r="M10" s="13"/>
      <c r="N10" s="7" t="s">
        <v>96</v>
      </c>
      <c r="O10" s="8">
        <f>SUM(E10+'Ttl 2017-2018'!D11)</f>
        <v>86178051</v>
      </c>
      <c r="P10" s="8">
        <f>SUM(F10+'Ttl 2017-2018'!E11)</f>
        <v>3059239</v>
      </c>
      <c r="Q10" s="8">
        <f>SUM(G10+'Ttl 2017-2018'!F11)</f>
        <v>83118812</v>
      </c>
      <c r="R10" s="8">
        <f>SUM(H10+'Ttl 2017-2018'!G11)</f>
        <v>736</v>
      </c>
      <c r="S10" s="8">
        <f>SUM(I10+'Ttl 2017-2018'!H11)</f>
        <v>22</v>
      </c>
      <c r="T10" s="8">
        <f>SUM(J10+'Ttl 2017-2018'!I11)</f>
        <v>714</v>
      </c>
      <c r="V10" s="54">
        <v>5</v>
      </c>
      <c r="W10" s="55">
        <v>43191</v>
      </c>
      <c r="X10" s="7" t="s">
        <v>96</v>
      </c>
      <c r="Y10" s="8">
        <v>2406688</v>
      </c>
      <c r="Z10" s="8">
        <v>269838</v>
      </c>
      <c r="AA10" s="8">
        <v>2136850</v>
      </c>
      <c r="AB10" s="7">
        <v>24</v>
      </c>
      <c r="AC10" s="7">
        <v>0</v>
      </c>
      <c r="AD10" s="7">
        <v>24</v>
      </c>
      <c r="AG10" s="7" t="s">
        <v>96</v>
      </c>
      <c r="AH10" s="60">
        <f>SUM('Ttl 2017-2018'!O11+Total!Y10)</f>
        <v>54087076</v>
      </c>
      <c r="AI10" s="60">
        <f>SUM('Ttl 2017-2018'!P11+Total!Z10)</f>
        <v>2999289</v>
      </c>
      <c r="AJ10" s="60">
        <f>SUM('Ttl 2017-2018'!Q11+Total!AA10)</f>
        <v>51087788</v>
      </c>
      <c r="AK10" s="60">
        <f>SUM('Ttl 2017-2018'!R11+Total!AB10)</f>
        <v>482</v>
      </c>
      <c r="AL10" s="60">
        <f>SUM('Ttl 2017-2018'!S11+Total!AC10)</f>
        <v>24</v>
      </c>
      <c r="AM10" s="60">
        <f>SUM('Ttl 2017-2018'!T11+Total!AD10)</f>
        <v>458</v>
      </c>
      <c r="AO10" s="7" t="s">
        <v>96</v>
      </c>
      <c r="AP10" s="62">
        <f>SUM(AH10+April!Y10)</f>
        <v>57953439</v>
      </c>
      <c r="AQ10" s="62">
        <f>SUM(AI10+April!Z10)</f>
        <v>3269127</v>
      </c>
      <c r="AR10" s="62">
        <f>SUM(AJ10+April!AA10)</f>
        <v>54684313</v>
      </c>
      <c r="AS10" s="62">
        <f>SUM(AK10+April!AB10)</f>
        <v>522</v>
      </c>
      <c r="AT10" s="62">
        <f>SUM(AL10+April!AC10)</f>
        <v>24</v>
      </c>
      <c r="AU10" s="62">
        <f>SUM(AM10+April!AD10)</f>
        <v>498</v>
      </c>
      <c r="AV10" s="64"/>
      <c r="AW10" s="52" t="str">
        <f t="shared" si="0"/>
        <v>ADE GILANG RAMADHAN</v>
      </c>
      <c r="AX10" s="62">
        <f>SUM(AP10+April!AI10)</f>
        <v>63319289</v>
      </c>
      <c r="AY10" s="62">
        <f>SUM(AQ10+April!AJ10)</f>
        <v>3538965</v>
      </c>
      <c r="AZ10" s="62">
        <f>SUM(AR10+April!AK10)</f>
        <v>59780326</v>
      </c>
      <c r="BA10" s="62">
        <f>SUM(AS10+April!AL10)</f>
        <v>577</v>
      </c>
      <c r="BB10" s="62">
        <f>SUM(AT10+April!AM10)</f>
        <v>24</v>
      </c>
      <c r="BC10" s="62">
        <f>SUM(AU10+April!AN10)</f>
        <v>553</v>
      </c>
      <c r="BE10" s="62" t="str">
        <f t="shared" si="1"/>
        <v>ADE GILANG RAMADHAN</v>
      </c>
      <c r="BF10" s="62">
        <f>SUM(AX10+April!AS10)</f>
        <v>72281127</v>
      </c>
      <c r="BG10" s="62">
        <f>SUM(AY10+April!AT10)</f>
        <v>4213490</v>
      </c>
      <c r="BH10" s="62">
        <f>SUM(AZ10+April!AU10)</f>
        <v>68067639</v>
      </c>
      <c r="BI10" s="62">
        <f>SUM(BA10+April!AV10)</f>
        <v>664</v>
      </c>
      <c r="BJ10" s="62">
        <f>SUM(BB10+April!AW10)</f>
        <v>28</v>
      </c>
      <c r="BK10" s="62">
        <f>SUM(BC10+April!AX10)</f>
        <v>636</v>
      </c>
    </row>
    <row r="11" spans="1:63" ht="15" customHeight="1" x14ac:dyDescent="0.25">
      <c r="B11" s="54">
        <v>6</v>
      </c>
      <c r="C11" s="55">
        <v>42826</v>
      </c>
      <c r="D11" s="7" t="s">
        <v>77</v>
      </c>
      <c r="E11" s="8">
        <v>72082675</v>
      </c>
      <c r="F11" s="8">
        <v>13879338</v>
      </c>
      <c r="G11" s="8">
        <v>58203338</v>
      </c>
      <c r="H11" s="7">
        <v>583</v>
      </c>
      <c r="I11" s="7">
        <v>112</v>
      </c>
      <c r="J11" s="7">
        <v>471</v>
      </c>
      <c r="K11" s="13"/>
      <c r="L11" s="13"/>
      <c r="M11" s="13"/>
      <c r="N11" s="7" t="s">
        <v>77</v>
      </c>
      <c r="O11" s="8">
        <f>SUM(E11+'Ttl 2017-2018'!D12)</f>
        <v>169340275</v>
      </c>
      <c r="P11" s="8">
        <f>SUM(F11+'Ttl 2017-2018'!E12)</f>
        <v>37692026</v>
      </c>
      <c r="Q11" s="8">
        <f>SUM(G11+'Ttl 2017-2018'!F12)</f>
        <v>131648251</v>
      </c>
      <c r="R11" s="8">
        <f>SUM(H11+'Ttl 2017-2018'!G12)</f>
        <v>1424</v>
      </c>
      <c r="S11" s="8">
        <f>SUM(I11+'Ttl 2017-2018'!H12)</f>
        <v>307</v>
      </c>
      <c r="T11" s="8">
        <f>SUM(J11+'Ttl 2017-2018'!I12)</f>
        <v>1117</v>
      </c>
      <c r="V11" s="54">
        <v>6</v>
      </c>
      <c r="W11" s="55">
        <v>43191</v>
      </c>
      <c r="X11" s="7" t="s">
        <v>77</v>
      </c>
      <c r="Y11" s="8">
        <v>5763800</v>
      </c>
      <c r="Z11" s="8">
        <v>1842000</v>
      </c>
      <c r="AA11" s="8">
        <v>3921800</v>
      </c>
      <c r="AB11" s="7">
        <v>47</v>
      </c>
      <c r="AC11" s="7">
        <v>16</v>
      </c>
      <c r="AD11" s="7">
        <v>31</v>
      </c>
      <c r="AG11" s="7" t="s">
        <v>77</v>
      </c>
      <c r="AH11" s="60">
        <f>SUM('Ttl 2017-2018'!O12+Total!Y11)</f>
        <v>35355800</v>
      </c>
      <c r="AI11" s="60">
        <f>SUM('Ttl 2017-2018'!P12+Total!Z11)</f>
        <v>10061088</v>
      </c>
      <c r="AJ11" s="60">
        <f>SUM('Ttl 2017-2018'!Q12+Total!AA11)</f>
        <v>25294713</v>
      </c>
      <c r="AK11" s="60">
        <f>SUM('Ttl 2017-2018'!R12+Total!AB11)</f>
        <v>290</v>
      </c>
      <c r="AL11" s="60">
        <f>SUM('Ttl 2017-2018'!S12+Total!AC11)</f>
        <v>84</v>
      </c>
      <c r="AM11" s="60">
        <f>SUM('Ttl 2017-2018'!T12+Total!AD11)</f>
        <v>206</v>
      </c>
      <c r="AO11" s="7" t="s">
        <v>77</v>
      </c>
      <c r="AP11" s="62">
        <f>SUM(AH11+April!Y11)</f>
        <v>45535600</v>
      </c>
      <c r="AQ11" s="62">
        <f>SUM(AI11+April!Z11)</f>
        <v>13494888</v>
      </c>
      <c r="AR11" s="62">
        <f>SUM(AJ11+April!AA11)</f>
        <v>32040713</v>
      </c>
      <c r="AS11" s="62">
        <f>SUM(AK11+April!AB11)</f>
        <v>375</v>
      </c>
      <c r="AT11" s="62">
        <f>SUM(AL11+April!AC11)</f>
        <v>115</v>
      </c>
      <c r="AU11" s="62">
        <f>SUM(AM11+April!AD11)</f>
        <v>260</v>
      </c>
      <c r="AV11" s="64"/>
      <c r="AW11" s="52" t="str">
        <f t="shared" si="0"/>
        <v>JAYA MANDIRI | ASEP RADJIS</v>
      </c>
      <c r="AX11" s="62">
        <f>SUM(AP11+April!AI11)</f>
        <v>55715400</v>
      </c>
      <c r="AY11" s="62">
        <f>SUM(AQ11+April!AJ11)</f>
        <v>16928688</v>
      </c>
      <c r="AZ11" s="62">
        <f>SUM(AR11+April!AK11)</f>
        <v>38786713</v>
      </c>
      <c r="BA11" s="62">
        <f>SUM(AS11+April!AL11)</f>
        <v>460</v>
      </c>
      <c r="BB11" s="62">
        <f>SUM(AT11+April!AM11)</f>
        <v>146</v>
      </c>
      <c r="BC11" s="62">
        <f>SUM(AU11+April!AN11)</f>
        <v>314</v>
      </c>
      <c r="BE11" s="62" t="str">
        <f t="shared" si="1"/>
        <v>JAYA MANDIRI | ASEP RADJIS</v>
      </c>
      <c r="BF11" s="62">
        <f>SUM(AX11+April!AS11)</f>
        <v>74904288</v>
      </c>
      <c r="BG11" s="62">
        <f>SUM(AY11+April!AT11)</f>
        <v>21305038</v>
      </c>
      <c r="BH11" s="62">
        <f>SUM(AZ11+April!AU11)</f>
        <v>53599251</v>
      </c>
      <c r="BI11" s="62">
        <f>SUM(BA11+April!AV11)</f>
        <v>627</v>
      </c>
      <c r="BJ11" s="62">
        <f>SUM(BB11+April!AW11)</f>
        <v>186</v>
      </c>
      <c r="BK11" s="62">
        <f>SUM(BC11+April!AX11)</f>
        <v>441</v>
      </c>
    </row>
    <row r="12" spans="1:63" ht="15" customHeight="1" x14ac:dyDescent="0.25">
      <c r="B12" s="54">
        <v>7</v>
      </c>
      <c r="C12" s="55">
        <v>42826</v>
      </c>
      <c r="D12" s="7" t="s">
        <v>80</v>
      </c>
      <c r="E12" s="8">
        <v>47793813</v>
      </c>
      <c r="F12" s="8">
        <v>1454775</v>
      </c>
      <c r="G12" s="8">
        <v>46339038</v>
      </c>
      <c r="H12" s="7">
        <v>410</v>
      </c>
      <c r="I12" s="7">
        <v>13</v>
      </c>
      <c r="J12" s="7">
        <v>397</v>
      </c>
      <c r="K12" s="13"/>
      <c r="L12" s="13"/>
      <c r="M12" s="13"/>
      <c r="N12" s="7" t="s">
        <v>80</v>
      </c>
      <c r="O12" s="8">
        <f>SUM(E12+'Ttl 2017-2018'!D13)</f>
        <v>130625601</v>
      </c>
      <c r="P12" s="8">
        <f>SUM(F12+'Ttl 2017-2018'!E13)</f>
        <v>3399463</v>
      </c>
      <c r="Q12" s="8">
        <f>SUM(G12+'Ttl 2017-2018'!F13)</f>
        <v>127226139</v>
      </c>
      <c r="R12" s="8">
        <f>SUM(H12+'Ttl 2017-2018'!G13)</f>
        <v>1136</v>
      </c>
      <c r="S12" s="8">
        <f>SUM(I12+'Ttl 2017-2018'!H13)</f>
        <v>32</v>
      </c>
      <c r="T12" s="8">
        <f>SUM(J12+'Ttl 2017-2018'!I13)</f>
        <v>1104</v>
      </c>
      <c r="V12" s="54">
        <v>7</v>
      </c>
      <c r="W12" s="55">
        <v>43191</v>
      </c>
      <c r="X12" s="7" t="s">
        <v>80</v>
      </c>
      <c r="Y12" s="8">
        <v>5176238</v>
      </c>
      <c r="Z12" s="8">
        <v>275713</v>
      </c>
      <c r="AA12" s="8">
        <v>4900525</v>
      </c>
      <c r="AB12" s="7">
        <v>49</v>
      </c>
      <c r="AC12" s="7">
        <v>2</v>
      </c>
      <c r="AD12" s="7">
        <v>47</v>
      </c>
      <c r="AG12" s="7" t="s">
        <v>80</v>
      </c>
      <c r="AH12" s="60">
        <f>SUM('Ttl 2017-2018'!O13+Total!Y12)</f>
        <v>48670476</v>
      </c>
      <c r="AI12" s="60">
        <f>SUM('Ttl 2017-2018'!P13+Total!Z12)</f>
        <v>774376</v>
      </c>
      <c r="AJ12" s="60">
        <f>SUM('Ttl 2017-2018'!Q13+Total!AA12)</f>
        <v>47896101</v>
      </c>
      <c r="AK12" s="60">
        <f>SUM('Ttl 2017-2018'!R13+Total!AB12)</f>
        <v>446</v>
      </c>
      <c r="AL12" s="60">
        <f>SUM('Ttl 2017-2018'!S13+Total!AC12)</f>
        <v>7</v>
      </c>
      <c r="AM12" s="60">
        <f>SUM('Ttl 2017-2018'!T13+Total!AD12)</f>
        <v>439</v>
      </c>
      <c r="AO12" s="7" t="s">
        <v>80</v>
      </c>
      <c r="AP12" s="62">
        <f>SUM(AH12+April!Y12)</f>
        <v>58540214</v>
      </c>
      <c r="AQ12" s="62">
        <f>SUM(AI12+April!Z12)</f>
        <v>1148089</v>
      </c>
      <c r="AR12" s="62">
        <f>SUM(AJ12+April!AA12)</f>
        <v>57392126</v>
      </c>
      <c r="AS12" s="62">
        <f>SUM(AK12+April!AB12)</f>
        <v>536</v>
      </c>
      <c r="AT12" s="62">
        <f>SUM(AL12+April!AC12)</f>
        <v>10</v>
      </c>
      <c r="AU12" s="62">
        <f>SUM(AM12+April!AD12)</f>
        <v>526</v>
      </c>
      <c r="AV12" s="64"/>
      <c r="AW12" s="52" t="str">
        <f t="shared" si="0"/>
        <v>WENPI SARAGIH</v>
      </c>
      <c r="AX12" s="62">
        <f>SUM(AP12+April!AI12)</f>
        <v>76587964</v>
      </c>
      <c r="AY12" s="62">
        <f>SUM(AQ12+April!AJ12)</f>
        <v>1521802</v>
      </c>
      <c r="AZ12" s="62">
        <f>SUM(AR12+April!AK12)</f>
        <v>75066164</v>
      </c>
      <c r="BA12" s="62">
        <f>SUM(AS12+April!AL12)</f>
        <v>698</v>
      </c>
      <c r="BB12" s="62">
        <f>SUM(AT12+April!AM12)</f>
        <v>13</v>
      </c>
      <c r="BC12" s="62">
        <f>SUM(AU12+April!AN12)</f>
        <v>685</v>
      </c>
      <c r="BE12" s="62" t="str">
        <f t="shared" si="1"/>
        <v>WENPI SARAGIH</v>
      </c>
      <c r="BF12" s="62">
        <f>SUM(AX12+April!AS12)</f>
        <v>98240277</v>
      </c>
      <c r="BG12" s="62">
        <f>SUM(AY12+April!AT12)</f>
        <v>1999027</v>
      </c>
      <c r="BH12" s="62">
        <f>SUM(AZ12+April!AU12)</f>
        <v>96241252</v>
      </c>
      <c r="BI12" s="62">
        <f>SUM(BA12+April!AV12)</f>
        <v>894</v>
      </c>
      <c r="BJ12" s="62">
        <f>SUM(BB12+April!AW12)</f>
        <v>17</v>
      </c>
      <c r="BK12" s="62">
        <f>SUM(BC12+April!AX12)</f>
        <v>877</v>
      </c>
    </row>
    <row r="13" spans="1:63" ht="15" customHeight="1" x14ac:dyDescent="0.25">
      <c r="B13" s="54">
        <v>8</v>
      </c>
      <c r="C13" s="55">
        <v>42826</v>
      </c>
      <c r="D13" s="7" t="s">
        <v>97</v>
      </c>
      <c r="E13" s="8">
        <v>20384613</v>
      </c>
      <c r="F13" s="8">
        <v>793538</v>
      </c>
      <c r="G13" s="8">
        <v>19591075</v>
      </c>
      <c r="H13" s="7">
        <v>167</v>
      </c>
      <c r="I13" s="7">
        <v>6</v>
      </c>
      <c r="J13" s="7">
        <v>161</v>
      </c>
      <c r="K13" s="13"/>
      <c r="L13" s="13"/>
      <c r="M13" s="13"/>
      <c r="N13" s="7" t="s">
        <v>97</v>
      </c>
      <c r="O13" s="8">
        <f>SUM(E13+'Ttl 2017-2018'!D14)</f>
        <v>68162414</v>
      </c>
      <c r="P13" s="8">
        <f>SUM(F13+'Ttl 2017-2018'!E14)</f>
        <v>2358477</v>
      </c>
      <c r="Q13" s="8">
        <f>SUM(G13+'Ttl 2017-2018'!F14)</f>
        <v>65803938</v>
      </c>
      <c r="R13" s="8">
        <f>SUM(H13+'Ttl 2017-2018'!G14)</f>
        <v>567</v>
      </c>
      <c r="S13" s="8">
        <f>SUM(I13+'Ttl 2017-2018'!H14)</f>
        <v>20</v>
      </c>
      <c r="T13" s="8">
        <f>SUM(J13+'Ttl 2017-2018'!I14)</f>
        <v>547</v>
      </c>
      <c r="V13" s="54">
        <v>8</v>
      </c>
      <c r="W13" s="55">
        <v>43191</v>
      </c>
      <c r="X13" s="7" t="s">
        <v>97</v>
      </c>
      <c r="Y13" s="8">
        <v>4519113</v>
      </c>
      <c r="Z13" s="7">
        <v>0</v>
      </c>
      <c r="AA13" s="8">
        <v>4519113</v>
      </c>
      <c r="AB13" s="7">
        <v>42</v>
      </c>
      <c r="AC13" s="7">
        <v>0</v>
      </c>
      <c r="AD13" s="7">
        <v>42</v>
      </c>
      <c r="AG13" s="7" t="s">
        <v>97</v>
      </c>
      <c r="AH13" s="60">
        <f>SUM('Ttl 2017-2018'!O14+Total!Y13)</f>
        <v>43032939</v>
      </c>
      <c r="AI13" s="60">
        <f>SUM('Ttl 2017-2018'!P14+Total!Z13)</f>
        <v>1066276</v>
      </c>
      <c r="AJ13" s="60">
        <f>SUM('Ttl 2017-2018'!Q14+Total!AA13)</f>
        <v>41966664</v>
      </c>
      <c r="AK13" s="60">
        <f>SUM('Ttl 2017-2018'!R14+Total!AB13)</f>
        <v>385</v>
      </c>
      <c r="AL13" s="60">
        <f>SUM('Ttl 2017-2018'!S14+Total!AC13)</f>
        <v>11</v>
      </c>
      <c r="AM13" s="60">
        <f>SUM('Ttl 2017-2018'!T14+Total!AD13)</f>
        <v>374</v>
      </c>
      <c r="AO13" s="7" t="s">
        <v>97</v>
      </c>
      <c r="AP13" s="62">
        <f>SUM(AH13+April!Y13)</f>
        <v>51204302</v>
      </c>
      <c r="AQ13" s="62">
        <f>SUM(AI13+April!Z13)</f>
        <v>1066276</v>
      </c>
      <c r="AR13" s="62">
        <f>SUM(AJ13+April!AA13)</f>
        <v>50138027</v>
      </c>
      <c r="AS13" s="62">
        <f>SUM(AK13+April!AB13)</f>
        <v>458</v>
      </c>
      <c r="AT13" s="62">
        <f>SUM(AL13+April!AC13)</f>
        <v>11</v>
      </c>
      <c r="AU13" s="62">
        <f>SUM(AM13+April!AD13)</f>
        <v>447</v>
      </c>
      <c r="AV13" s="64"/>
      <c r="AW13" s="52" t="str">
        <f t="shared" si="0"/>
        <v>IMAS JUBAEDAH - KOPO</v>
      </c>
      <c r="AX13" s="62">
        <f>SUM(AP13+April!AI13)</f>
        <v>63066327</v>
      </c>
      <c r="AY13" s="62">
        <f>SUM(AQ13+April!AJ13)</f>
        <v>1372426</v>
      </c>
      <c r="AZ13" s="62">
        <f>SUM(AR13+April!AK13)</f>
        <v>61693902</v>
      </c>
      <c r="BA13" s="62">
        <f>SUM(AS13+April!AL13)</f>
        <v>563</v>
      </c>
      <c r="BB13" s="62">
        <f>SUM(AT13+April!AM13)</f>
        <v>14</v>
      </c>
      <c r="BC13" s="62">
        <f>SUM(AU13+April!AN13)</f>
        <v>549</v>
      </c>
      <c r="BE13" s="62" t="str">
        <f t="shared" si="1"/>
        <v>IMAS JUBAEDAH - KOPO</v>
      </c>
      <c r="BF13" s="62">
        <f>SUM(AX13+April!AS13)</f>
        <v>79847777</v>
      </c>
      <c r="BG13" s="62">
        <f>SUM(AY13+April!AT13)</f>
        <v>1784801</v>
      </c>
      <c r="BH13" s="62">
        <f>SUM(AZ13+April!AU13)</f>
        <v>78062977</v>
      </c>
      <c r="BI13" s="62">
        <f>SUM(BA13+April!AV13)</f>
        <v>705</v>
      </c>
      <c r="BJ13" s="62">
        <f>SUM(BB13+April!AW13)</f>
        <v>18</v>
      </c>
      <c r="BK13" s="62">
        <f>SUM(BC13+April!AX13)</f>
        <v>687</v>
      </c>
    </row>
    <row r="14" spans="1:63" ht="15" customHeight="1" x14ac:dyDescent="0.25">
      <c r="B14" s="54">
        <v>9</v>
      </c>
      <c r="C14" s="55">
        <v>42826</v>
      </c>
      <c r="D14" s="7" t="s">
        <v>95</v>
      </c>
      <c r="E14" s="8">
        <v>24657938</v>
      </c>
      <c r="F14" s="8">
        <v>3148250</v>
      </c>
      <c r="G14" s="8">
        <v>21509688</v>
      </c>
      <c r="H14" s="7">
        <v>229</v>
      </c>
      <c r="I14" s="7">
        <v>26</v>
      </c>
      <c r="J14" s="7">
        <v>203</v>
      </c>
      <c r="K14" s="13"/>
      <c r="L14" s="13"/>
      <c r="M14" s="13"/>
      <c r="N14" s="7" t="s">
        <v>95</v>
      </c>
      <c r="O14" s="8">
        <f>SUM(E14+'Ttl 2017-2018'!D15)</f>
        <v>88797714</v>
      </c>
      <c r="P14" s="8">
        <f>SUM(F14+'Ttl 2017-2018'!E15)</f>
        <v>9783201</v>
      </c>
      <c r="Q14" s="8">
        <f>SUM(G14+'Ttl 2017-2018'!F15)</f>
        <v>79014513</v>
      </c>
      <c r="R14" s="8">
        <f>SUM(H14+'Ttl 2017-2018'!G15)</f>
        <v>820</v>
      </c>
      <c r="S14" s="8">
        <f>SUM(I14+'Ttl 2017-2018'!H15)</f>
        <v>85</v>
      </c>
      <c r="T14" s="8">
        <f>SUM(J14+'Ttl 2017-2018'!I15)</f>
        <v>735</v>
      </c>
      <c r="V14" s="54">
        <v>9</v>
      </c>
      <c r="W14" s="55">
        <v>43191</v>
      </c>
      <c r="X14" s="7" t="s">
        <v>95</v>
      </c>
      <c r="Y14" s="8">
        <v>3788050</v>
      </c>
      <c r="Z14" s="8">
        <v>230038</v>
      </c>
      <c r="AA14" s="8">
        <v>3558013</v>
      </c>
      <c r="AB14" s="7">
        <v>37</v>
      </c>
      <c r="AC14" s="7">
        <v>2</v>
      </c>
      <c r="AD14" s="7">
        <v>35</v>
      </c>
      <c r="AG14" s="7" t="s">
        <v>95</v>
      </c>
      <c r="AH14" s="60">
        <f>SUM('Ttl 2017-2018'!O15+Total!Y14)</f>
        <v>31276700</v>
      </c>
      <c r="AI14" s="60">
        <f>SUM('Ttl 2017-2018'!P15+Total!Z14)</f>
        <v>1795589</v>
      </c>
      <c r="AJ14" s="60">
        <f>SUM('Ttl 2017-2018'!Q15+Total!AA14)</f>
        <v>29481114</v>
      </c>
      <c r="AK14" s="60">
        <f>SUM('Ttl 2017-2018'!R15+Total!AB14)</f>
        <v>302</v>
      </c>
      <c r="AL14" s="60">
        <f>SUM('Ttl 2017-2018'!S15+Total!AC14)</f>
        <v>16</v>
      </c>
      <c r="AM14" s="60">
        <f>SUM('Ttl 2017-2018'!T15+Total!AD14)</f>
        <v>286</v>
      </c>
      <c r="AO14" s="7" t="s">
        <v>95</v>
      </c>
      <c r="AP14" s="62">
        <f>SUM(AH14+April!Y14)</f>
        <v>39358550</v>
      </c>
      <c r="AQ14" s="62">
        <f>SUM(AI14+April!Z14)</f>
        <v>2268702</v>
      </c>
      <c r="AR14" s="62">
        <f>SUM(AJ14+April!AA14)</f>
        <v>37089852</v>
      </c>
      <c r="AS14" s="62">
        <f>SUM(AK14+April!AB14)</f>
        <v>377</v>
      </c>
      <c r="AT14" s="62">
        <f>SUM(AL14+April!AC14)</f>
        <v>20</v>
      </c>
      <c r="AU14" s="62">
        <f>SUM(AM14+April!AD14)</f>
        <v>357</v>
      </c>
      <c r="AV14" s="64"/>
      <c r="AW14" s="52" t="str">
        <f t="shared" si="0"/>
        <v>DEDI KURNIADI</v>
      </c>
      <c r="AX14" s="62">
        <f>SUM(AP14+April!AI14)</f>
        <v>52842125</v>
      </c>
      <c r="AY14" s="62">
        <f>SUM(AQ14+April!AJ14)</f>
        <v>3709915</v>
      </c>
      <c r="AZ14" s="62">
        <f>SUM(AR14+April!AK14)</f>
        <v>49132215</v>
      </c>
      <c r="BA14" s="62">
        <f>SUM(AS14+April!AL14)</f>
        <v>498</v>
      </c>
      <c r="BB14" s="62">
        <f>SUM(AT14+April!AM14)</f>
        <v>32</v>
      </c>
      <c r="BC14" s="62">
        <f>SUM(AU14+April!AN14)</f>
        <v>466</v>
      </c>
      <c r="BE14" s="62" t="str">
        <f t="shared" si="1"/>
        <v>DEDI KURNIADI</v>
      </c>
      <c r="BF14" s="62">
        <f>SUM(AX14+April!AS14)</f>
        <v>69192813</v>
      </c>
      <c r="BG14" s="62">
        <f>SUM(AY14+April!AT14)</f>
        <v>5969690</v>
      </c>
      <c r="BH14" s="62">
        <f>SUM(AZ14+April!AU14)</f>
        <v>63223128</v>
      </c>
      <c r="BI14" s="62">
        <f>SUM(BA14+April!AV14)</f>
        <v>645</v>
      </c>
      <c r="BJ14" s="62">
        <f>SUM(BB14+April!AW14)</f>
        <v>49</v>
      </c>
      <c r="BK14" s="62">
        <f>SUM(BC14+April!AX14)</f>
        <v>596</v>
      </c>
    </row>
    <row r="15" spans="1:63" ht="15" customHeight="1" x14ac:dyDescent="0.25">
      <c r="B15" s="54">
        <v>10</v>
      </c>
      <c r="C15" s="55">
        <v>42826</v>
      </c>
      <c r="D15" s="7" t="s">
        <v>109</v>
      </c>
      <c r="E15" s="8">
        <v>9385688</v>
      </c>
      <c r="F15" s="8">
        <v>140525</v>
      </c>
      <c r="G15" s="8">
        <v>9245163</v>
      </c>
      <c r="H15" s="7">
        <v>93</v>
      </c>
      <c r="I15" s="7">
        <v>2</v>
      </c>
      <c r="J15" s="7">
        <v>91</v>
      </c>
      <c r="K15" s="13"/>
      <c r="L15" s="13"/>
      <c r="M15" s="13"/>
      <c r="N15" s="7" t="s">
        <v>109</v>
      </c>
      <c r="O15" s="8">
        <f>SUM(E15+'Ttl 2017-2018'!D16)</f>
        <v>57667839</v>
      </c>
      <c r="P15" s="8">
        <f>SUM(F15+'Ttl 2017-2018'!E16)</f>
        <v>1747463</v>
      </c>
      <c r="Q15" s="8">
        <f>SUM(G15+'Ttl 2017-2018'!F16)</f>
        <v>55920376</v>
      </c>
      <c r="R15" s="8">
        <f>SUM(H15+'Ttl 2017-2018'!G16)</f>
        <v>569</v>
      </c>
      <c r="S15" s="8">
        <f>SUM(I15+'Ttl 2017-2018'!H16)</f>
        <v>19</v>
      </c>
      <c r="T15" s="8">
        <f>SUM(J15+'Ttl 2017-2018'!I16)</f>
        <v>550</v>
      </c>
      <c r="V15" s="54">
        <v>10</v>
      </c>
      <c r="W15" s="55">
        <v>43191</v>
      </c>
      <c r="X15" s="7" t="s">
        <v>109</v>
      </c>
      <c r="Y15" s="8">
        <v>3111238</v>
      </c>
      <c r="Z15" s="7">
        <v>0</v>
      </c>
      <c r="AA15" s="8">
        <v>3111238</v>
      </c>
      <c r="AB15" s="7">
        <v>29</v>
      </c>
      <c r="AC15" s="7">
        <v>0</v>
      </c>
      <c r="AD15" s="7">
        <v>29</v>
      </c>
      <c r="AG15" s="7" t="s">
        <v>109</v>
      </c>
      <c r="AH15" s="60">
        <f>SUM('Ttl 2017-2018'!O16+Total!Y15)</f>
        <v>24854463</v>
      </c>
      <c r="AI15" s="60">
        <f>SUM('Ttl 2017-2018'!P16+Total!Z15)</f>
        <v>806313</v>
      </c>
      <c r="AJ15" s="60">
        <f>SUM('Ttl 2017-2018'!Q16+Total!AA15)</f>
        <v>24048151</v>
      </c>
      <c r="AK15" s="60">
        <f>SUM('Ttl 2017-2018'!R16+Total!AB15)</f>
        <v>228</v>
      </c>
      <c r="AL15" s="60">
        <f>SUM('Ttl 2017-2018'!S16+Total!AC15)</f>
        <v>6</v>
      </c>
      <c r="AM15" s="60">
        <f>SUM('Ttl 2017-2018'!T16+Total!AD15)</f>
        <v>222</v>
      </c>
      <c r="AO15" s="7" t="s">
        <v>109</v>
      </c>
      <c r="AP15" s="62">
        <f>SUM(AH15+April!Y15)</f>
        <v>29876613</v>
      </c>
      <c r="AQ15" s="62">
        <f>SUM(AI15+April!Z15)</f>
        <v>850313</v>
      </c>
      <c r="AR15" s="62">
        <f>SUM(AJ15+April!AA15)</f>
        <v>29026301</v>
      </c>
      <c r="AS15" s="62">
        <f>SUM(AK15+April!AB15)</f>
        <v>273</v>
      </c>
      <c r="AT15" s="62">
        <f>SUM(AL15+April!AC15)</f>
        <v>6</v>
      </c>
      <c r="AU15" s="62">
        <f>SUM(AM15+April!AD15)</f>
        <v>267</v>
      </c>
      <c r="AV15" s="64"/>
      <c r="AW15" s="52" t="str">
        <f t="shared" si="0"/>
        <v>MUH IRFAN AL ANSHARI</v>
      </c>
      <c r="AX15" s="62">
        <f>SUM(AP15+April!AI15)</f>
        <v>38349851</v>
      </c>
      <c r="AY15" s="62">
        <f>SUM(AQ15+April!AJ15)</f>
        <v>1107026</v>
      </c>
      <c r="AZ15" s="62">
        <f>SUM(AR15+April!AK15)</f>
        <v>37242826</v>
      </c>
      <c r="BA15" s="62">
        <f>SUM(AS15+April!AL15)</f>
        <v>349</v>
      </c>
      <c r="BB15" s="62">
        <f>SUM(AT15+April!AM15)</f>
        <v>8</v>
      </c>
      <c r="BC15" s="62">
        <f>SUM(AU15+April!AN15)</f>
        <v>341</v>
      </c>
      <c r="BE15" s="62" t="str">
        <f t="shared" si="1"/>
        <v>MUH IRFAN AL ANSHARI</v>
      </c>
      <c r="BF15" s="62">
        <f>SUM(AX15+April!AS15)</f>
        <v>50162964</v>
      </c>
      <c r="BG15" s="62">
        <f>SUM(AY15+April!AT15)</f>
        <v>1508026</v>
      </c>
      <c r="BH15" s="62">
        <f>SUM(AZ15+April!AU15)</f>
        <v>48654939</v>
      </c>
      <c r="BI15" s="62">
        <f>SUM(BA15+April!AV15)</f>
        <v>453</v>
      </c>
      <c r="BJ15" s="62">
        <f>SUM(BB15+April!AW15)</f>
        <v>11</v>
      </c>
      <c r="BK15" s="62">
        <f>SUM(BC15+April!AX15)</f>
        <v>442</v>
      </c>
    </row>
    <row r="16" spans="1:63" ht="15" customHeight="1" x14ac:dyDescent="0.25">
      <c r="B16" s="54">
        <v>11</v>
      </c>
      <c r="C16" s="55">
        <v>42826</v>
      </c>
      <c r="D16" s="7" t="s">
        <v>84</v>
      </c>
      <c r="E16" s="8">
        <v>45184650</v>
      </c>
      <c r="F16" s="8">
        <v>6381375</v>
      </c>
      <c r="G16" s="8">
        <v>38803275</v>
      </c>
      <c r="H16" s="7">
        <v>428</v>
      </c>
      <c r="I16" s="7">
        <v>65</v>
      </c>
      <c r="J16" s="7">
        <v>363</v>
      </c>
      <c r="K16" s="13"/>
      <c r="L16" s="13"/>
      <c r="M16" s="13"/>
      <c r="N16" s="7" t="s">
        <v>84</v>
      </c>
      <c r="O16" s="8">
        <f>SUM(E16+'Ttl 2017-2018'!D17)</f>
        <v>153578163</v>
      </c>
      <c r="P16" s="8">
        <f>SUM(F16+'Ttl 2017-2018'!E17)</f>
        <v>20280926</v>
      </c>
      <c r="Q16" s="8">
        <f>SUM(G16+'Ttl 2017-2018'!F17)</f>
        <v>133297238</v>
      </c>
      <c r="R16" s="8">
        <f>SUM(H16+'Ttl 2017-2018'!G17)</f>
        <v>1478</v>
      </c>
      <c r="S16" s="8">
        <f>SUM(I16+'Ttl 2017-2018'!H17)</f>
        <v>195</v>
      </c>
      <c r="T16" s="8">
        <f>SUM(J16+'Ttl 2017-2018'!I17)</f>
        <v>1283</v>
      </c>
      <c r="V16" s="54">
        <v>11</v>
      </c>
      <c r="W16" s="55">
        <v>43191</v>
      </c>
      <c r="X16" s="7" t="s">
        <v>84</v>
      </c>
      <c r="Y16" s="8">
        <v>4057900</v>
      </c>
      <c r="Z16" s="8">
        <v>114363</v>
      </c>
      <c r="AA16" s="8">
        <v>3943538</v>
      </c>
      <c r="AB16" s="7">
        <v>37</v>
      </c>
      <c r="AC16" s="7">
        <v>3</v>
      </c>
      <c r="AD16" s="7">
        <v>34</v>
      </c>
      <c r="AG16" s="7" t="s">
        <v>84</v>
      </c>
      <c r="AH16" s="60">
        <f>SUM('Ttl 2017-2018'!O17+Total!Y16)</f>
        <v>38622326</v>
      </c>
      <c r="AI16" s="60">
        <f>SUM('Ttl 2017-2018'!P17+Total!Z16)</f>
        <v>12241287</v>
      </c>
      <c r="AJ16" s="60">
        <f>SUM('Ttl 2017-2018'!Q17+Total!AA16)</f>
        <v>26381040</v>
      </c>
      <c r="AK16" s="60">
        <f>SUM('Ttl 2017-2018'!R17+Total!AB16)</f>
        <v>365</v>
      </c>
      <c r="AL16" s="60">
        <f>SUM('Ttl 2017-2018'!S17+Total!AC16)</f>
        <v>37</v>
      </c>
      <c r="AM16" s="60">
        <f>SUM('Ttl 2017-2018'!T17+Total!AD16)</f>
        <v>328</v>
      </c>
      <c r="AO16" s="7" t="s">
        <v>84</v>
      </c>
      <c r="AP16" s="62">
        <f>SUM(AH16+April!Y16)</f>
        <v>47314051</v>
      </c>
      <c r="AQ16" s="62">
        <f>SUM(AI16+April!Z16)</f>
        <v>12735662</v>
      </c>
      <c r="AR16" s="62">
        <f>SUM(AJ16+April!AA16)</f>
        <v>34578390</v>
      </c>
      <c r="AS16" s="62">
        <f>SUM(AK16+April!AB16)</f>
        <v>444</v>
      </c>
      <c r="AT16" s="62">
        <f>SUM(AL16+April!AC16)</f>
        <v>42</v>
      </c>
      <c r="AU16" s="62">
        <f>SUM(AM16+April!AD16)</f>
        <v>402</v>
      </c>
      <c r="AV16" s="64"/>
      <c r="AW16" s="52" t="str">
        <f t="shared" si="0"/>
        <v>INDRA FASHION BANDUNG</v>
      </c>
      <c r="AX16" s="62">
        <f>SUM(AP16+April!AI16)</f>
        <v>59970839</v>
      </c>
      <c r="AY16" s="62">
        <f>SUM(AQ16+April!AJ16)</f>
        <v>13496912</v>
      </c>
      <c r="AZ16" s="62">
        <f>SUM(AR16+April!AK16)</f>
        <v>46473928</v>
      </c>
      <c r="BA16" s="62">
        <f>SUM(AS16+April!AL16)</f>
        <v>559</v>
      </c>
      <c r="BB16" s="62">
        <f>SUM(AT16+April!AM16)</f>
        <v>51</v>
      </c>
      <c r="BC16" s="62">
        <f>SUM(AU16+April!AN16)</f>
        <v>508</v>
      </c>
      <c r="BE16" s="62" t="str">
        <f t="shared" si="1"/>
        <v>INDRA FASHION BANDUNG</v>
      </c>
      <c r="BF16" s="62">
        <f>SUM(AX16+April!AS16)</f>
        <v>77083739</v>
      </c>
      <c r="BG16" s="62">
        <f>SUM(AY16+April!AT16)</f>
        <v>14841875</v>
      </c>
      <c r="BH16" s="62">
        <f>SUM(AZ16+April!AU16)</f>
        <v>62241866</v>
      </c>
      <c r="BI16" s="62">
        <f>SUM(BA16+April!AV16)</f>
        <v>717</v>
      </c>
      <c r="BJ16" s="62">
        <f>SUM(BB16+April!AW16)</f>
        <v>61</v>
      </c>
      <c r="BK16" s="62">
        <f>SUM(BC16+April!AX16)</f>
        <v>656</v>
      </c>
    </row>
    <row r="17" spans="2:63" ht="15" customHeight="1" x14ac:dyDescent="0.25">
      <c r="B17" s="54">
        <v>12</v>
      </c>
      <c r="C17" s="55">
        <v>42826</v>
      </c>
      <c r="D17" s="7" t="s">
        <v>104</v>
      </c>
      <c r="E17" s="8">
        <v>16197913</v>
      </c>
      <c r="F17" s="8">
        <v>2241475</v>
      </c>
      <c r="G17" s="8">
        <v>13956438</v>
      </c>
      <c r="H17" s="7">
        <v>142</v>
      </c>
      <c r="I17" s="7">
        <v>21</v>
      </c>
      <c r="J17" s="7">
        <v>121</v>
      </c>
      <c r="K17" s="13"/>
      <c r="L17" s="13"/>
      <c r="M17" s="13"/>
      <c r="N17" s="7" t="s">
        <v>104</v>
      </c>
      <c r="O17" s="8">
        <f>SUM(E17+'Ttl 2017-2018'!D18)</f>
        <v>61006401</v>
      </c>
      <c r="P17" s="8">
        <f>SUM(F17+'Ttl 2017-2018'!E18)</f>
        <v>6294562</v>
      </c>
      <c r="Q17" s="8">
        <f>SUM(G17+'Ttl 2017-2018'!F18)</f>
        <v>54711839</v>
      </c>
      <c r="R17" s="8">
        <f>SUM(H17+'Ttl 2017-2018'!G18)</f>
        <v>554</v>
      </c>
      <c r="S17" s="8">
        <f>SUM(I17+'Ttl 2017-2018'!H18)</f>
        <v>59</v>
      </c>
      <c r="T17" s="8">
        <f>SUM(J17+'Ttl 2017-2018'!I18)</f>
        <v>495</v>
      </c>
      <c r="V17" s="54">
        <v>12</v>
      </c>
      <c r="W17" s="55">
        <v>43191</v>
      </c>
      <c r="X17" s="7" t="s">
        <v>104</v>
      </c>
      <c r="Y17" s="8">
        <v>2159413</v>
      </c>
      <c r="Z17" s="8">
        <v>591938</v>
      </c>
      <c r="AA17" s="8">
        <v>1567475</v>
      </c>
      <c r="AB17" s="7">
        <v>22</v>
      </c>
      <c r="AC17" s="7">
        <v>6</v>
      </c>
      <c r="AD17" s="7">
        <v>16</v>
      </c>
      <c r="AG17" s="7" t="s">
        <v>104</v>
      </c>
      <c r="AH17" s="60">
        <f>SUM('Ttl 2017-2018'!O18+Total!Y17)</f>
        <v>25536264</v>
      </c>
      <c r="AI17" s="60">
        <f>SUM('Ttl 2017-2018'!P18+Total!Z17)</f>
        <v>2800701</v>
      </c>
      <c r="AJ17" s="60">
        <f>SUM('Ttl 2017-2018'!Q18+Total!AA17)</f>
        <v>22735564</v>
      </c>
      <c r="AK17" s="60">
        <f>SUM('Ttl 2017-2018'!R18+Total!AB17)</f>
        <v>246</v>
      </c>
      <c r="AL17" s="60">
        <f>SUM('Ttl 2017-2018'!S18+Total!AC17)</f>
        <v>25</v>
      </c>
      <c r="AM17" s="60">
        <f>SUM('Ttl 2017-2018'!T18+Total!AD17)</f>
        <v>221</v>
      </c>
      <c r="AO17" s="7" t="s">
        <v>104</v>
      </c>
      <c r="AP17" s="62">
        <f>SUM(AH17+April!Y17)</f>
        <v>29201814</v>
      </c>
      <c r="AQ17" s="62">
        <f>SUM(AI17+April!Z17)</f>
        <v>3392639</v>
      </c>
      <c r="AR17" s="62">
        <f>SUM(AJ17+April!AA17)</f>
        <v>25809177</v>
      </c>
      <c r="AS17" s="62">
        <f>SUM(AK17+April!AB17)</f>
        <v>284</v>
      </c>
      <c r="AT17" s="62">
        <f>SUM(AL17+April!AC17)</f>
        <v>31</v>
      </c>
      <c r="AU17" s="62">
        <f>SUM(AM17+April!AD17)</f>
        <v>253</v>
      </c>
      <c r="AV17" s="64"/>
      <c r="AW17" s="52" t="str">
        <f t="shared" si="0"/>
        <v>YUAN PERDANA</v>
      </c>
      <c r="AX17" s="62">
        <f>SUM(AP17+April!AI17)</f>
        <v>34434139</v>
      </c>
      <c r="AY17" s="62">
        <f>SUM(AQ17+April!AJ17)</f>
        <v>4345339</v>
      </c>
      <c r="AZ17" s="62">
        <f>SUM(AR17+April!AK17)</f>
        <v>30088802</v>
      </c>
      <c r="BA17" s="62">
        <f>SUM(AS17+April!AL17)</f>
        <v>337</v>
      </c>
      <c r="BB17" s="62">
        <f>SUM(AT17+April!AM17)</f>
        <v>40</v>
      </c>
      <c r="BC17" s="62">
        <f>SUM(AU17+April!AN17)</f>
        <v>297</v>
      </c>
      <c r="BE17" s="62" t="str">
        <f t="shared" si="1"/>
        <v>YUAN PERDANA</v>
      </c>
      <c r="BF17" s="62">
        <f>SUM(AX17+April!AS17)</f>
        <v>42697464</v>
      </c>
      <c r="BG17" s="62">
        <f>SUM(AY17+April!AT17)</f>
        <v>5298039</v>
      </c>
      <c r="BH17" s="62">
        <f>SUM(AZ17+April!AU17)</f>
        <v>37399427</v>
      </c>
      <c r="BI17" s="62">
        <f>SUM(BA17+April!AV17)</f>
        <v>418</v>
      </c>
      <c r="BJ17" s="62">
        <f>SUM(BB17+April!AW17)</f>
        <v>49</v>
      </c>
      <c r="BK17" s="62">
        <f>SUM(BC17+April!AX17)</f>
        <v>369</v>
      </c>
    </row>
    <row r="18" spans="2:63" ht="15" customHeight="1" x14ac:dyDescent="0.25">
      <c r="B18" s="54">
        <v>13</v>
      </c>
      <c r="C18" s="55">
        <v>42826</v>
      </c>
      <c r="D18" s="7" t="s">
        <v>113</v>
      </c>
      <c r="E18" s="8">
        <v>6231050</v>
      </c>
      <c r="F18" s="7">
        <v>0</v>
      </c>
      <c r="G18" s="8">
        <v>6231050</v>
      </c>
      <c r="H18" s="7">
        <v>54</v>
      </c>
      <c r="I18" s="7">
        <v>0</v>
      </c>
      <c r="J18" s="7">
        <v>54</v>
      </c>
      <c r="K18" s="13"/>
      <c r="L18" s="13"/>
      <c r="M18" s="13"/>
      <c r="N18" s="7" t="s">
        <v>113</v>
      </c>
      <c r="O18" s="8">
        <f>SUM(E18+'Ttl 2017-2018'!D19)</f>
        <v>40364101</v>
      </c>
      <c r="P18" s="8">
        <f>SUM(F18+'Ttl 2017-2018'!E19)</f>
        <v>230300</v>
      </c>
      <c r="Q18" s="8">
        <f>SUM(G18+'Ttl 2017-2018'!F19)</f>
        <v>40133801</v>
      </c>
      <c r="R18" s="8">
        <f>SUM(H18+'Ttl 2017-2018'!G19)</f>
        <v>422</v>
      </c>
      <c r="S18" s="8">
        <f>SUM(I18+'Ttl 2017-2018'!H19)</f>
        <v>2</v>
      </c>
      <c r="T18" s="8">
        <f>SUM(J18+'Ttl 2017-2018'!I19)</f>
        <v>420</v>
      </c>
      <c r="V18" s="54">
        <v>13</v>
      </c>
      <c r="W18" s="55">
        <v>43191</v>
      </c>
      <c r="X18" s="7" t="s">
        <v>113</v>
      </c>
      <c r="Y18" s="8">
        <v>5681988</v>
      </c>
      <c r="Z18" s="7">
        <v>0</v>
      </c>
      <c r="AA18" s="8">
        <v>5681988</v>
      </c>
      <c r="AB18" s="7">
        <v>44</v>
      </c>
      <c r="AC18" s="7">
        <v>0</v>
      </c>
      <c r="AD18" s="7">
        <v>44</v>
      </c>
      <c r="AG18" s="7" t="s">
        <v>113</v>
      </c>
      <c r="AH18" s="60">
        <f>SUM('Ttl 2017-2018'!O19+Total!Y18)</f>
        <v>89151652</v>
      </c>
      <c r="AI18" s="60">
        <f>SUM('Ttl 2017-2018'!P19+Total!Z18)</f>
        <v>0</v>
      </c>
      <c r="AJ18" s="60">
        <f>SUM('Ttl 2017-2018'!Q19+Total!AA18)</f>
        <v>89151652</v>
      </c>
      <c r="AK18" s="60">
        <f>SUM('Ttl 2017-2018'!R19+Total!AB18)</f>
        <v>725</v>
      </c>
      <c r="AL18" s="60">
        <f>SUM('Ttl 2017-2018'!S19+Total!AC18)</f>
        <v>0</v>
      </c>
      <c r="AM18" s="60">
        <f>SUM('Ttl 2017-2018'!T19+Total!AD18)</f>
        <v>725</v>
      </c>
      <c r="AO18" s="7" t="s">
        <v>113</v>
      </c>
      <c r="AP18" s="62">
        <f>SUM(AH18+April!Y18)</f>
        <v>101385990</v>
      </c>
      <c r="AQ18" s="62">
        <f>SUM(AI18+April!Z18)</f>
        <v>0</v>
      </c>
      <c r="AR18" s="62">
        <f>SUM(AJ18+April!AA18)</f>
        <v>101385990</v>
      </c>
      <c r="AS18" s="62">
        <f>SUM(AK18+April!AB18)</f>
        <v>818</v>
      </c>
      <c r="AT18" s="62">
        <f>SUM(AL18+April!AC18)</f>
        <v>0</v>
      </c>
      <c r="AU18" s="62">
        <f>SUM(AM18+April!AD18)</f>
        <v>818</v>
      </c>
      <c r="AV18" s="64"/>
      <c r="AW18" s="52" t="str">
        <f t="shared" si="0"/>
        <v>MARTIN SUKIYONO</v>
      </c>
      <c r="AX18" s="62">
        <f>SUM(AP18+April!AI18)</f>
        <v>115477078</v>
      </c>
      <c r="AY18" s="62">
        <f>SUM(AQ18+April!AJ18)</f>
        <v>0</v>
      </c>
      <c r="AZ18" s="62">
        <f>SUM(AR18+April!AK18)</f>
        <v>115477078</v>
      </c>
      <c r="BA18" s="62">
        <f>SUM(AS18+April!AL18)</f>
        <v>930</v>
      </c>
      <c r="BB18" s="62">
        <f>SUM(AT18+April!AM18)</f>
        <v>0</v>
      </c>
      <c r="BC18" s="62">
        <f>SUM(AU18+April!AN18)</f>
        <v>930</v>
      </c>
      <c r="BE18" s="62" t="str">
        <f t="shared" si="1"/>
        <v>MARTIN SUKIYONO</v>
      </c>
      <c r="BF18" s="62">
        <f>SUM(AX18+April!AS18)</f>
        <v>131136953</v>
      </c>
      <c r="BG18" s="62">
        <f>SUM(AY18+April!AT18)</f>
        <v>0</v>
      </c>
      <c r="BH18" s="62">
        <f>SUM(AZ18+April!AU18)</f>
        <v>131136953</v>
      </c>
      <c r="BI18" s="62">
        <f>SUM(BA18+April!AV18)</f>
        <v>1057</v>
      </c>
      <c r="BJ18" s="62">
        <f>SUM(BB18+April!AW18)</f>
        <v>0</v>
      </c>
      <c r="BK18" s="62">
        <f>SUM(BC18+April!AX18)</f>
        <v>1057</v>
      </c>
    </row>
    <row r="19" spans="2:63" ht="15" customHeight="1" x14ac:dyDescent="0.25">
      <c r="B19" s="54">
        <v>14</v>
      </c>
      <c r="C19" s="55">
        <v>42826</v>
      </c>
      <c r="D19" s="7" t="s">
        <v>93</v>
      </c>
      <c r="E19" s="8">
        <v>27066550</v>
      </c>
      <c r="F19" s="8">
        <v>5417913</v>
      </c>
      <c r="G19" s="8">
        <v>21648638</v>
      </c>
      <c r="H19" s="7">
        <v>253</v>
      </c>
      <c r="I19" s="7">
        <v>52</v>
      </c>
      <c r="J19" s="7">
        <v>201</v>
      </c>
      <c r="K19" s="13"/>
      <c r="L19" s="13"/>
      <c r="M19" s="13"/>
      <c r="N19" s="7" t="s">
        <v>93</v>
      </c>
      <c r="O19" s="8">
        <f>SUM(E19+'Ttl 2017-2018'!D20)</f>
        <v>78643951</v>
      </c>
      <c r="P19" s="8">
        <f>SUM(F19+'Ttl 2017-2018'!E20)</f>
        <v>17034001</v>
      </c>
      <c r="Q19" s="8">
        <f>SUM(G19+'Ttl 2017-2018'!F20)</f>
        <v>61609952</v>
      </c>
      <c r="R19" s="8">
        <f>SUM(H19+'Ttl 2017-2018'!G20)</f>
        <v>756</v>
      </c>
      <c r="S19" s="8">
        <f>SUM(I19+'Ttl 2017-2018'!H20)</f>
        <v>163</v>
      </c>
      <c r="T19" s="8">
        <f>SUM(J19+'Ttl 2017-2018'!I20)</f>
        <v>593</v>
      </c>
      <c r="V19" s="54">
        <v>14</v>
      </c>
      <c r="W19" s="55">
        <v>43191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G19" s="7" t="s">
        <v>93</v>
      </c>
      <c r="AH19" s="60">
        <f>SUM('Ttl 2017-2018'!O20+Total!Y19)</f>
        <v>20941213</v>
      </c>
      <c r="AI19" s="60">
        <f>SUM('Ttl 2017-2018'!P20+Total!Z19)</f>
        <v>10171002</v>
      </c>
      <c r="AJ19" s="60">
        <f>SUM('Ttl 2017-2018'!Q20+Total!AA19)</f>
        <v>10770211</v>
      </c>
      <c r="AK19" s="60">
        <f>SUM('Ttl 2017-2018'!R20+Total!AB19)</f>
        <v>181</v>
      </c>
      <c r="AL19" s="60">
        <f>SUM('Ttl 2017-2018'!S20+Total!AC19)</f>
        <v>53</v>
      </c>
      <c r="AM19" s="60">
        <f>SUM('Ttl 2017-2018'!T20+Total!AD19)</f>
        <v>128</v>
      </c>
      <c r="AO19" s="7" t="s">
        <v>93</v>
      </c>
      <c r="AP19" s="62">
        <f>SUM(AH19+April!Y19)</f>
        <v>23911713</v>
      </c>
      <c r="AQ19" s="62">
        <f>SUM(AI19+April!Z19)</f>
        <v>10564502</v>
      </c>
      <c r="AR19" s="62">
        <f>SUM(AJ19+April!AA19)</f>
        <v>13347211</v>
      </c>
      <c r="AS19" s="62">
        <f>SUM(AK19+April!AB19)</f>
        <v>207</v>
      </c>
      <c r="AT19" s="62">
        <f>SUM(AL19+April!AC19)</f>
        <v>56</v>
      </c>
      <c r="AU19" s="62">
        <f>SUM(AM19+April!AD19)</f>
        <v>151</v>
      </c>
      <c r="AV19" s="64"/>
      <c r="AW19" s="52" t="str">
        <f t="shared" si="0"/>
        <v>MISBAH - CIBUNTU</v>
      </c>
      <c r="AX19" s="62">
        <f>SUM(AP19+April!AI19)</f>
        <v>29498813</v>
      </c>
      <c r="AY19" s="62">
        <f>SUM(AQ19+April!AJ19)</f>
        <v>11752902</v>
      </c>
      <c r="AZ19" s="62">
        <f>SUM(AR19+April!AK19)</f>
        <v>17745911</v>
      </c>
      <c r="BA19" s="62">
        <f>SUM(AS19+April!AL19)</f>
        <v>256</v>
      </c>
      <c r="BB19" s="62">
        <f>SUM(AT19+April!AM19)</f>
        <v>65</v>
      </c>
      <c r="BC19" s="62">
        <f>SUM(AU19+April!AN19)</f>
        <v>191</v>
      </c>
      <c r="BE19" s="62" t="str">
        <f t="shared" si="1"/>
        <v>MISBAH - CIBUNTU</v>
      </c>
      <c r="BF19" s="62">
        <f>SUM(AX19+April!AS19)</f>
        <v>35085913</v>
      </c>
      <c r="BG19" s="62">
        <f>SUM(AY19+April!AT19)</f>
        <v>12941302</v>
      </c>
      <c r="BH19" s="62">
        <f>SUM(AZ19+April!AU19)</f>
        <v>22144611</v>
      </c>
      <c r="BI19" s="62">
        <f>SUM(BA19+April!AV19)</f>
        <v>305</v>
      </c>
      <c r="BJ19" s="62">
        <f>SUM(BB19+April!AW19)</f>
        <v>74</v>
      </c>
      <c r="BK19" s="62">
        <f>SUM(BC19+April!AX19)</f>
        <v>231</v>
      </c>
    </row>
    <row r="20" spans="2:63" ht="15" customHeight="1" x14ac:dyDescent="0.25">
      <c r="B20" s="54">
        <v>15</v>
      </c>
      <c r="C20" s="55">
        <v>42826</v>
      </c>
      <c r="D20" s="7" t="s">
        <v>108</v>
      </c>
      <c r="E20" s="8">
        <v>9806213</v>
      </c>
      <c r="F20" s="8">
        <v>324600</v>
      </c>
      <c r="G20" s="8">
        <v>9481613</v>
      </c>
      <c r="H20" s="7">
        <v>98</v>
      </c>
      <c r="I20" s="7">
        <v>6</v>
      </c>
      <c r="J20" s="7">
        <v>92</v>
      </c>
      <c r="K20" s="13"/>
      <c r="L20" s="13"/>
      <c r="M20" s="13"/>
      <c r="N20" s="7" t="s">
        <v>108</v>
      </c>
      <c r="O20" s="8">
        <f>SUM(E20+'Ttl 2017-2018'!D21)</f>
        <v>40246764</v>
      </c>
      <c r="P20" s="8">
        <f>SUM(F20+'Ttl 2017-2018'!E21)</f>
        <v>1208288</v>
      </c>
      <c r="Q20" s="8">
        <f>SUM(G20+'Ttl 2017-2018'!F21)</f>
        <v>39038476</v>
      </c>
      <c r="R20" s="8">
        <f>SUM(H20+'Ttl 2017-2018'!G21)</f>
        <v>392</v>
      </c>
      <c r="S20" s="8">
        <f>SUM(I20+'Ttl 2017-2018'!H21)</f>
        <v>11</v>
      </c>
      <c r="T20" s="8">
        <f>SUM(J20+'Ttl 2017-2018'!I21)</f>
        <v>381</v>
      </c>
      <c r="V20" s="54">
        <v>15</v>
      </c>
      <c r="W20" s="55">
        <v>43191</v>
      </c>
      <c r="X20" s="7" t="s">
        <v>108</v>
      </c>
      <c r="Y20" s="8">
        <v>1020600</v>
      </c>
      <c r="Z20" s="8">
        <v>110075</v>
      </c>
      <c r="AA20" s="8">
        <v>910525</v>
      </c>
      <c r="AB20" s="7">
        <v>11</v>
      </c>
      <c r="AC20" s="7">
        <v>1</v>
      </c>
      <c r="AD20" s="7">
        <v>10</v>
      </c>
      <c r="AG20" s="7" t="s">
        <v>108</v>
      </c>
      <c r="AH20" s="60">
        <f>SUM('Ttl 2017-2018'!O21+Total!Y20)</f>
        <v>11759475</v>
      </c>
      <c r="AI20" s="60">
        <f>SUM('Ttl 2017-2018'!P21+Total!Z20)</f>
        <v>138950</v>
      </c>
      <c r="AJ20" s="60">
        <f>SUM('Ttl 2017-2018'!Q21+Total!AA20)</f>
        <v>11620526</v>
      </c>
      <c r="AK20" s="60">
        <f>SUM('Ttl 2017-2018'!R21+Total!AB20)</f>
        <v>124</v>
      </c>
      <c r="AL20" s="60">
        <f>SUM('Ttl 2017-2018'!S21+Total!AC20)</f>
        <v>2</v>
      </c>
      <c r="AM20" s="60">
        <f>SUM('Ttl 2017-2018'!T21+Total!AD20)</f>
        <v>122</v>
      </c>
      <c r="AO20" s="7" t="s">
        <v>108</v>
      </c>
      <c r="AP20" s="62">
        <f>SUM(AH20+April!Y20)</f>
        <v>14336788</v>
      </c>
      <c r="AQ20" s="62">
        <f>SUM(AI20+April!Z20)</f>
        <v>249025</v>
      </c>
      <c r="AR20" s="62">
        <f>SUM(AJ20+April!AA20)</f>
        <v>14087764</v>
      </c>
      <c r="AS20" s="62">
        <f>SUM(AK20+April!AB20)</f>
        <v>152</v>
      </c>
      <c r="AT20" s="62">
        <f>SUM(AL20+April!AC20)</f>
        <v>3</v>
      </c>
      <c r="AU20" s="62">
        <f>SUM(AM20+April!AD20)</f>
        <v>149</v>
      </c>
      <c r="AV20" s="64"/>
      <c r="AW20" s="52" t="str">
        <f t="shared" si="0"/>
        <v>CANDRA BANDUNG STORE</v>
      </c>
      <c r="AX20" s="62">
        <f>SUM(AP20+April!AI20)</f>
        <v>17900051</v>
      </c>
      <c r="AY20" s="62">
        <f>SUM(AQ20+April!AJ20)</f>
        <v>466362</v>
      </c>
      <c r="AZ20" s="62">
        <f>SUM(AR20+April!AK20)</f>
        <v>17433690</v>
      </c>
      <c r="BA20" s="62">
        <f>SUM(AS20+April!AL20)</f>
        <v>192</v>
      </c>
      <c r="BB20" s="62">
        <f>SUM(AT20+April!AM20)</f>
        <v>4</v>
      </c>
      <c r="BC20" s="62">
        <f>SUM(AU20+April!AN20)</f>
        <v>188</v>
      </c>
      <c r="BE20" s="62" t="str">
        <f t="shared" si="1"/>
        <v>CANDRA BANDUNG STORE</v>
      </c>
      <c r="BF20" s="62">
        <f>SUM(AX20+April!AS20)</f>
        <v>22384951</v>
      </c>
      <c r="BG20" s="62">
        <f>SUM(AY20+April!AT20)</f>
        <v>643699</v>
      </c>
      <c r="BH20" s="62">
        <f>SUM(AZ20+April!AU20)</f>
        <v>21741254</v>
      </c>
      <c r="BI20" s="62">
        <f>SUM(BA20+April!AV20)</f>
        <v>241</v>
      </c>
      <c r="BJ20" s="62">
        <f>SUM(BB20+April!AW20)</f>
        <v>5</v>
      </c>
      <c r="BK20" s="62">
        <f>SUM(BC20+April!AX20)</f>
        <v>236</v>
      </c>
    </row>
    <row r="21" spans="2:63" ht="15" customHeight="1" x14ac:dyDescent="0.25">
      <c r="B21" s="54">
        <v>16</v>
      </c>
      <c r="C21" s="55">
        <v>42826</v>
      </c>
      <c r="D21" s="7" t="s">
        <v>89</v>
      </c>
      <c r="E21" s="8">
        <v>31496763</v>
      </c>
      <c r="F21" s="8">
        <v>7566563</v>
      </c>
      <c r="G21" s="8">
        <v>23930200</v>
      </c>
      <c r="H21" s="7">
        <v>290</v>
      </c>
      <c r="I21" s="7">
        <v>64</v>
      </c>
      <c r="J21" s="7">
        <v>226</v>
      </c>
      <c r="K21" s="13"/>
      <c r="L21" s="13"/>
      <c r="M21" s="13"/>
      <c r="N21" s="7" t="s">
        <v>89</v>
      </c>
      <c r="O21" s="8">
        <f>SUM(E21+'Ttl 2017-2018'!D22)</f>
        <v>75690214</v>
      </c>
      <c r="P21" s="8">
        <f>SUM(F21+'Ttl 2017-2018'!E22)</f>
        <v>19507689</v>
      </c>
      <c r="Q21" s="8">
        <f>SUM(G21+'Ttl 2017-2018'!F22)</f>
        <v>56182525</v>
      </c>
      <c r="R21" s="8">
        <f>SUM(H21+'Ttl 2017-2018'!G22)</f>
        <v>706</v>
      </c>
      <c r="S21" s="8">
        <f>SUM(I21+'Ttl 2017-2018'!H22)</f>
        <v>178</v>
      </c>
      <c r="T21" s="8">
        <f>SUM(J21+'Ttl 2017-2018'!I22)</f>
        <v>528</v>
      </c>
      <c r="V21" s="54">
        <v>16</v>
      </c>
      <c r="W21" s="55">
        <v>43191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G21" s="7" t="s">
        <v>89</v>
      </c>
      <c r="AH21" s="60">
        <f>SUM('Ttl 2017-2018'!O22+Total!Y21)</f>
        <v>18143214</v>
      </c>
      <c r="AI21" s="60">
        <f>SUM('Ttl 2017-2018'!P22+Total!Z21)</f>
        <v>2136313</v>
      </c>
      <c r="AJ21" s="60">
        <f>SUM('Ttl 2017-2018'!Q22+Total!AA21)</f>
        <v>16006901</v>
      </c>
      <c r="AK21" s="60">
        <f>SUM('Ttl 2017-2018'!R22+Total!AB21)</f>
        <v>165</v>
      </c>
      <c r="AL21" s="60">
        <f>SUM('Ttl 2017-2018'!S22+Total!AC21)</f>
        <v>19</v>
      </c>
      <c r="AM21" s="60">
        <f>SUM('Ttl 2017-2018'!T22+Total!AD21)</f>
        <v>146</v>
      </c>
      <c r="AO21" s="7" t="s">
        <v>89</v>
      </c>
      <c r="AP21" s="62">
        <f>SUM(AH21+April!Y21)</f>
        <v>22886327</v>
      </c>
      <c r="AQ21" s="62">
        <f>SUM(AI21+April!Z21)</f>
        <v>3583826</v>
      </c>
      <c r="AR21" s="62">
        <f>SUM(AJ21+April!AA21)</f>
        <v>19302501</v>
      </c>
      <c r="AS21" s="62">
        <f>SUM(AK21+April!AB21)</f>
        <v>209</v>
      </c>
      <c r="AT21" s="62">
        <f>SUM(AL21+April!AC21)</f>
        <v>30</v>
      </c>
      <c r="AU21" s="62">
        <f>SUM(AM21+April!AD21)</f>
        <v>179</v>
      </c>
      <c r="AV21" s="64"/>
      <c r="AW21" s="52" t="str">
        <f t="shared" si="0"/>
        <v>ASEP FAHMI (DIAN JAYA)</v>
      </c>
      <c r="AX21" s="62">
        <f>SUM(AP21+April!AI21)</f>
        <v>33042452</v>
      </c>
      <c r="AY21" s="62">
        <f>SUM(AQ21+April!AJ21)</f>
        <v>6440176</v>
      </c>
      <c r="AZ21" s="62">
        <f>SUM(AR21+April!AK21)</f>
        <v>26602276</v>
      </c>
      <c r="BA21" s="62">
        <f>SUM(AS21+April!AL21)</f>
        <v>304</v>
      </c>
      <c r="BB21" s="62">
        <f>SUM(AT21+April!AM21)</f>
        <v>54</v>
      </c>
      <c r="BC21" s="62">
        <f>SUM(AU21+April!AN21)</f>
        <v>250</v>
      </c>
      <c r="BE21" s="62" t="str">
        <f t="shared" si="1"/>
        <v>ASEP FAHMI (DIAN JAYA)</v>
      </c>
      <c r="BF21" s="62">
        <f>SUM(AX21+April!AS21)</f>
        <v>43198577</v>
      </c>
      <c r="BG21" s="62">
        <f>SUM(AY21+April!AT21)</f>
        <v>9296526</v>
      </c>
      <c r="BH21" s="62">
        <f>SUM(AZ21+April!AU21)</f>
        <v>33902051</v>
      </c>
      <c r="BI21" s="62">
        <f>SUM(BA21+April!AV21)</f>
        <v>399</v>
      </c>
      <c r="BJ21" s="62">
        <f>SUM(BB21+April!AW21)</f>
        <v>78</v>
      </c>
      <c r="BK21" s="62">
        <f>SUM(BC21+April!AX21)</f>
        <v>321</v>
      </c>
    </row>
    <row r="22" spans="2:63" ht="15" customHeight="1" x14ac:dyDescent="0.25">
      <c r="B22" s="54">
        <v>17</v>
      </c>
      <c r="C22" s="55">
        <v>42826</v>
      </c>
      <c r="D22" s="7" t="s">
        <v>91</v>
      </c>
      <c r="E22" s="8">
        <v>26273975</v>
      </c>
      <c r="F22" s="8">
        <v>4559625</v>
      </c>
      <c r="G22" s="8">
        <v>21714350</v>
      </c>
      <c r="H22" s="7">
        <v>337</v>
      </c>
      <c r="I22" s="7">
        <v>50</v>
      </c>
      <c r="J22" s="7">
        <v>287</v>
      </c>
      <c r="K22" s="13"/>
      <c r="L22" s="13"/>
      <c r="M22" s="13"/>
      <c r="N22" s="7" t="s">
        <v>91</v>
      </c>
      <c r="O22" s="8">
        <f>SUM(E22+'Ttl 2017-2018'!D23)</f>
        <v>66408125</v>
      </c>
      <c r="P22" s="8">
        <f>SUM(F22+'Ttl 2017-2018'!E23)</f>
        <v>5580139</v>
      </c>
      <c r="Q22" s="8">
        <f>SUM(G22+'Ttl 2017-2018'!F23)</f>
        <v>60827989</v>
      </c>
      <c r="R22" s="8">
        <f>SUM(H22+'Ttl 2017-2018'!G23)</f>
        <v>858</v>
      </c>
      <c r="S22" s="8">
        <f>SUM(I22+'Ttl 2017-2018'!H23)</f>
        <v>61</v>
      </c>
      <c r="T22" s="8">
        <f>SUM(J22+'Ttl 2017-2018'!I23)</f>
        <v>797</v>
      </c>
      <c r="V22" s="54">
        <v>17</v>
      </c>
      <c r="W22" s="55">
        <v>43191</v>
      </c>
      <c r="X22" s="7" t="s">
        <v>91</v>
      </c>
      <c r="Y22" s="8">
        <v>12709200</v>
      </c>
      <c r="Z22" s="7">
        <v>0</v>
      </c>
      <c r="AA22" s="8">
        <v>12709200</v>
      </c>
      <c r="AB22" s="7">
        <v>108</v>
      </c>
      <c r="AC22" s="7">
        <v>0</v>
      </c>
      <c r="AD22" s="7">
        <v>108</v>
      </c>
      <c r="AG22" s="7" t="s">
        <v>91</v>
      </c>
      <c r="AH22" s="60">
        <f>SUM('Ttl 2017-2018'!O23+Total!Y22)</f>
        <v>120706776</v>
      </c>
      <c r="AI22" s="60">
        <f>SUM('Ttl 2017-2018'!P23+Total!Z22)</f>
        <v>7403725</v>
      </c>
      <c r="AJ22" s="60">
        <f>SUM('Ttl 2017-2018'!Q23+Total!AA22)</f>
        <v>113303051</v>
      </c>
      <c r="AK22" s="60">
        <f>SUM('Ttl 2017-2018'!R23+Total!AB22)</f>
        <v>1178</v>
      </c>
      <c r="AL22" s="60">
        <f>SUM('Ttl 2017-2018'!S23+Total!AC22)</f>
        <v>75</v>
      </c>
      <c r="AM22" s="60">
        <f>SUM('Ttl 2017-2018'!T23+Total!AD22)</f>
        <v>1103</v>
      </c>
      <c r="AO22" s="7" t="s">
        <v>91</v>
      </c>
      <c r="AP22" s="62">
        <f>SUM(AH22+April!Y22)</f>
        <v>134349776</v>
      </c>
      <c r="AQ22" s="62">
        <f>SUM(AI22+April!Z22)</f>
        <v>7403725</v>
      </c>
      <c r="AR22" s="62">
        <f>SUM(AJ22+April!AA22)</f>
        <v>126946051</v>
      </c>
      <c r="AS22" s="62">
        <f>SUM(AK22+April!AB22)</f>
        <v>1295</v>
      </c>
      <c r="AT22" s="62">
        <f>SUM(AL22+April!AC22)</f>
        <v>75</v>
      </c>
      <c r="AU22" s="62">
        <f>SUM(AM22+April!AD22)</f>
        <v>1220</v>
      </c>
      <c r="AV22" s="64"/>
      <c r="AW22" s="52" t="str">
        <f t="shared" si="0"/>
        <v>TAKUR (TAUFIK KURNIAWAN)</v>
      </c>
      <c r="AX22" s="62">
        <f>SUM(AP22+April!AI22)</f>
        <v>150148951</v>
      </c>
      <c r="AY22" s="62">
        <f>SUM(AQ22+April!AJ22)</f>
        <v>7403725</v>
      </c>
      <c r="AZ22" s="62">
        <f>SUM(AR22+April!AK22)</f>
        <v>142745226</v>
      </c>
      <c r="BA22" s="62">
        <f>SUM(AS22+April!AL22)</f>
        <v>1432</v>
      </c>
      <c r="BB22" s="62">
        <f>SUM(AT22+April!AM22)</f>
        <v>75</v>
      </c>
      <c r="BC22" s="62">
        <f>SUM(AU22+April!AN22)</f>
        <v>1357</v>
      </c>
      <c r="BE22" s="62" t="str">
        <f t="shared" si="1"/>
        <v>TAKUR (TAUFIK KURNIAWAN)</v>
      </c>
      <c r="BF22" s="62">
        <f>SUM(AX22+April!AS22)</f>
        <v>168651876</v>
      </c>
      <c r="BG22" s="62">
        <f>SUM(AY22+April!AT22)</f>
        <v>8475775</v>
      </c>
      <c r="BH22" s="62">
        <f>SUM(AZ22+April!AU22)</f>
        <v>160176101</v>
      </c>
      <c r="BI22" s="62">
        <f>SUM(BA22+April!AV22)</f>
        <v>1594</v>
      </c>
      <c r="BJ22" s="62">
        <f>SUM(BB22+April!AW22)</f>
        <v>84</v>
      </c>
      <c r="BK22" s="62">
        <f>SUM(BC22+April!AX22)</f>
        <v>1510</v>
      </c>
    </row>
    <row r="23" spans="2:63" ht="15" customHeight="1" x14ac:dyDescent="0.25">
      <c r="B23" s="54">
        <v>18</v>
      </c>
      <c r="C23" s="55">
        <v>42826</v>
      </c>
      <c r="D23" s="7" t="s">
        <v>101</v>
      </c>
      <c r="E23" s="8">
        <v>21419300</v>
      </c>
      <c r="F23" s="8">
        <v>5141763</v>
      </c>
      <c r="G23" s="8">
        <v>16277538</v>
      </c>
      <c r="H23" s="7">
        <v>199</v>
      </c>
      <c r="I23" s="7">
        <v>48</v>
      </c>
      <c r="J23" s="7">
        <v>151</v>
      </c>
      <c r="K23" s="13"/>
      <c r="L23" s="13"/>
      <c r="M23" s="13"/>
      <c r="N23" s="7" t="s">
        <v>101</v>
      </c>
      <c r="O23" s="8">
        <f>SUM(E23+'Ttl 2017-2018'!D24)</f>
        <v>68852788</v>
      </c>
      <c r="P23" s="8">
        <f>SUM(F23+'Ttl 2017-2018'!E24)</f>
        <v>16735350</v>
      </c>
      <c r="Q23" s="8">
        <f>SUM(G23+'Ttl 2017-2018'!F24)</f>
        <v>52117440</v>
      </c>
      <c r="R23" s="8">
        <f>SUM(H23+'Ttl 2017-2018'!G24)</f>
        <v>670</v>
      </c>
      <c r="S23" s="8">
        <f>SUM(I23+'Ttl 2017-2018'!H24)</f>
        <v>140</v>
      </c>
      <c r="T23" s="8">
        <f>SUM(J23+'Ttl 2017-2018'!I24)</f>
        <v>530</v>
      </c>
      <c r="V23" s="54">
        <v>18</v>
      </c>
      <c r="W23" s="55">
        <v>43191</v>
      </c>
      <c r="X23" s="7" t="s">
        <v>101</v>
      </c>
      <c r="Y23" s="8">
        <v>3352213</v>
      </c>
      <c r="Z23" s="8">
        <v>378963</v>
      </c>
      <c r="AA23" s="8">
        <v>2973250</v>
      </c>
      <c r="AB23" s="7">
        <v>29</v>
      </c>
      <c r="AC23" s="7">
        <v>4</v>
      </c>
      <c r="AD23" s="7">
        <v>25</v>
      </c>
      <c r="AG23" s="7" t="s">
        <v>101</v>
      </c>
      <c r="AH23" s="60">
        <f>SUM('Ttl 2017-2018'!O24+Total!Y23)</f>
        <v>14730364</v>
      </c>
      <c r="AI23" s="60">
        <f>SUM('Ttl 2017-2018'!P24+Total!Z23)</f>
        <v>2081627</v>
      </c>
      <c r="AJ23" s="60">
        <f>SUM('Ttl 2017-2018'!Q24+Total!AA23)</f>
        <v>12648738</v>
      </c>
      <c r="AK23" s="60">
        <f>SUM('Ttl 2017-2018'!R24+Total!AB23)</f>
        <v>132</v>
      </c>
      <c r="AL23" s="60">
        <f>SUM('Ttl 2017-2018'!S24+Total!AC23)</f>
        <v>18</v>
      </c>
      <c r="AM23" s="60">
        <f>SUM('Ttl 2017-2018'!T24+Total!AD23)</f>
        <v>114</v>
      </c>
      <c r="AO23" s="7" t="s">
        <v>101</v>
      </c>
      <c r="AP23" s="62">
        <f>SUM(AH23+April!Y23)</f>
        <v>18082577</v>
      </c>
      <c r="AQ23" s="62">
        <f>SUM(AI23+April!Z23)</f>
        <v>2460590</v>
      </c>
      <c r="AR23" s="62">
        <f>SUM(AJ23+April!AA23)</f>
        <v>15621988</v>
      </c>
      <c r="AS23" s="62">
        <f>SUM(AK23+April!AB23)</f>
        <v>161</v>
      </c>
      <c r="AT23" s="62">
        <f>SUM(AL23+April!AC23)</f>
        <v>22</v>
      </c>
      <c r="AU23" s="62">
        <f>SUM(AM23+April!AD23)</f>
        <v>139</v>
      </c>
      <c r="AV23" s="64"/>
      <c r="AW23" s="52" t="str">
        <f t="shared" si="0"/>
        <v>MEKI SANDI ROLIANSYAH</v>
      </c>
      <c r="AX23" s="62">
        <f>SUM(AP23+April!AI23)</f>
        <v>24359215</v>
      </c>
      <c r="AY23" s="62">
        <f>SUM(AQ23+April!AJ23)</f>
        <v>3501140</v>
      </c>
      <c r="AZ23" s="62">
        <f>SUM(AR23+April!AK23)</f>
        <v>20858076</v>
      </c>
      <c r="BA23" s="62">
        <f>SUM(AS23+April!AL23)</f>
        <v>216</v>
      </c>
      <c r="BB23" s="62">
        <f>SUM(AT23+April!AM23)</f>
        <v>33</v>
      </c>
      <c r="BC23" s="62">
        <f>SUM(AU23+April!AN23)</f>
        <v>183</v>
      </c>
      <c r="BE23" s="62" t="str">
        <f t="shared" si="1"/>
        <v>MEKI SANDI ROLIANSYAH</v>
      </c>
      <c r="BF23" s="62">
        <f>SUM(AX23+April!AS23)</f>
        <v>32909190</v>
      </c>
      <c r="BG23" s="62">
        <f>SUM(AY23+April!AT23)</f>
        <v>5566753</v>
      </c>
      <c r="BH23" s="62">
        <f>SUM(AZ23+April!AU23)</f>
        <v>27342439</v>
      </c>
      <c r="BI23" s="62">
        <f>SUM(BA23+April!AV23)</f>
        <v>296</v>
      </c>
      <c r="BJ23" s="62">
        <f>SUM(BB23+April!AW23)</f>
        <v>53</v>
      </c>
      <c r="BK23" s="62">
        <f>SUM(BC23+April!AX23)</f>
        <v>243</v>
      </c>
    </row>
    <row r="24" spans="2:63" ht="15" customHeight="1" x14ac:dyDescent="0.25">
      <c r="B24" s="54">
        <v>19</v>
      </c>
      <c r="C24" s="55">
        <v>42826</v>
      </c>
      <c r="D24" s="7" t="s">
        <v>112</v>
      </c>
      <c r="E24" s="8">
        <v>7068163</v>
      </c>
      <c r="F24" s="8">
        <v>610400</v>
      </c>
      <c r="G24" s="8">
        <v>6457763</v>
      </c>
      <c r="H24" s="7">
        <v>68</v>
      </c>
      <c r="I24" s="7">
        <v>6</v>
      </c>
      <c r="J24" s="7">
        <v>62</v>
      </c>
      <c r="K24" s="13"/>
      <c r="L24" s="13"/>
      <c r="M24" s="13"/>
      <c r="N24" s="7" t="s">
        <v>112</v>
      </c>
      <c r="O24" s="8">
        <f>SUM(E24+'Ttl 2017-2018'!D25)</f>
        <v>31656364</v>
      </c>
      <c r="P24" s="8">
        <f>SUM(F24+'Ttl 2017-2018'!E25)</f>
        <v>2185051</v>
      </c>
      <c r="Q24" s="8">
        <f>SUM(G24+'Ttl 2017-2018'!F25)</f>
        <v>29471314</v>
      </c>
      <c r="R24" s="8">
        <f>SUM(H24+'Ttl 2017-2018'!G25)</f>
        <v>318</v>
      </c>
      <c r="S24" s="8">
        <f>SUM(I24+'Ttl 2017-2018'!H25)</f>
        <v>21</v>
      </c>
      <c r="T24" s="8">
        <f>SUM(J24+'Ttl 2017-2018'!I25)</f>
        <v>297</v>
      </c>
      <c r="V24" s="54">
        <v>19</v>
      </c>
      <c r="W24" s="55">
        <v>43191</v>
      </c>
      <c r="X24" s="7" t="s">
        <v>112</v>
      </c>
      <c r="Y24" s="8">
        <v>1344000</v>
      </c>
      <c r="Z24" s="7">
        <v>0</v>
      </c>
      <c r="AA24" s="8">
        <v>1344000</v>
      </c>
      <c r="AB24" s="7">
        <v>14</v>
      </c>
      <c r="AC24" s="7">
        <v>0</v>
      </c>
      <c r="AD24" s="7">
        <v>14</v>
      </c>
      <c r="AG24" s="7" t="s">
        <v>112</v>
      </c>
      <c r="AH24" s="60">
        <f>SUM('Ttl 2017-2018'!O25+Total!Y24)</f>
        <v>37600763</v>
      </c>
      <c r="AI24" s="60">
        <f>SUM('Ttl 2017-2018'!P25+Total!Z24)</f>
        <v>3056176</v>
      </c>
      <c r="AJ24" s="60">
        <f>SUM('Ttl 2017-2018'!Q25+Total!AA24)</f>
        <v>34544588</v>
      </c>
      <c r="AK24" s="60">
        <f>SUM('Ttl 2017-2018'!R25+Total!AB24)</f>
        <v>358</v>
      </c>
      <c r="AL24" s="60">
        <f>SUM('Ttl 2017-2018'!S25+Total!AC24)</f>
        <v>27</v>
      </c>
      <c r="AM24" s="60">
        <f>SUM('Ttl 2017-2018'!T25+Total!AD24)</f>
        <v>331</v>
      </c>
      <c r="AO24" s="7" t="s">
        <v>112</v>
      </c>
      <c r="AP24" s="62">
        <f>SUM(AH24+April!Y24)</f>
        <v>41680101</v>
      </c>
      <c r="AQ24" s="62">
        <f>SUM(AI24+April!Z24)</f>
        <v>3159251</v>
      </c>
      <c r="AR24" s="62">
        <f>SUM(AJ24+April!AA24)</f>
        <v>38520851</v>
      </c>
      <c r="AS24" s="62">
        <f>SUM(AK24+April!AB24)</f>
        <v>397</v>
      </c>
      <c r="AT24" s="62">
        <f>SUM(AL24+April!AC24)</f>
        <v>28</v>
      </c>
      <c r="AU24" s="62">
        <f>SUM(AM24+April!AD24)</f>
        <v>369</v>
      </c>
      <c r="AV24" s="64"/>
      <c r="AW24" s="52" t="str">
        <f t="shared" si="0"/>
        <v>MULANA ROHIMAT</v>
      </c>
      <c r="AX24" s="62">
        <f>SUM(AP24+April!AI24)</f>
        <v>50139689</v>
      </c>
      <c r="AY24" s="62">
        <f>SUM(AQ24+April!AJ24)</f>
        <v>3262326</v>
      </c>
      <c r="AZ24" s="62">
        <f>SUM(AR24+April!AK24)</f>
        <v>46877364</v>
      </c>
      <c r="BA24" s="62">
        <f>SUM(AS24+April!AL24)</f>
        <v>478</v>
      </c>
      <c r="BB24" s="62">
        <f>SUM(AT24+April!AM24)</f>
        <v>29</v>
      </c>
      <c r="BC24" s="62">
        <f>SUM(AU24+April!AN24)</f>
        <v>449</v>
      </c>
      <c r="BE24" s="62" t="str">
        <f t="shared" si="1"/>
        <v>MULANA ROHIMAT</v>
      </c>
      <c r="BF24" s="62">
        <f>SUM(AX24+April!AS24)</f>
        <v>61910627</v>
      </c>
      <c r="BG24" s="62">
        <f>SUM(AY24+April!AT24)</f>
        <v>3408276</v>
      </c>
      <c r="BH24" s="62">
        <f>SUM(AZ24+April!AU24)</f>
        <v>58502352</v>
      </c>
      <c r="BI24" s="62">
        <f>SUM(BA24+April!AV24)</f>
        <v>591</v>
      </c>
      <c r="BJ24" s="62">
        <f>SUM(BB24+April!AW24)</f>
        <v>31</v>
      </c>
      <c r="BK24" s="62">
        <f>SUM(BC24+April!AX24)</f>
        <v>560</v>
      </c>
    </row>
    <row r="25" spans="2:63" ht="15" customHeight="1" x14ac:dyDescent="0.25">
      <c r="B25" s="54">
        <v>20</v>
      </c>
      <c r="C25" s="55">
        <v>42826</v>
      </c>
      <c r="D25" s="7" t="s">
        <v>79</v>
      </c>
      <c r="E25" s="8">
        <v>64900763</v>
      </c>
      <c r="F25" s="8">
        <v>15135263</v>
      </c>
      <c r="G25" s="8">
        <v>49765500</v>
      </c>
      <c r="H25" s="7">
        <v>602</v>
      </c>
      <c r="I25" s="7">
        <v>139</v>
      </c>
      <c r="J25" s="7">
        <v>463</v>
      </c>
      <c r="K25" s="13"/>
      <c r="L25" s="13"/>
      <c r="M25" s="13"/>
      <c r="N25" s="7" t="s">
        <v>79</v>
      </c>
      <c r="O25" s="8">
        <f>SUM(E25+'Ttl 2017-2018'!D26)</f>
        <v>156404589</v>
      </c>
      <c r="P25" s="8">
        <f>SUM(F25+'Ttl 2017-2018'!E26)</f>
        <v>33372970</v>
      </c>
      <c r="Q25" s="8">
        <f>SUM(G25+'Ttl 2017-2018'!F26)</f>
        <v>123031619</v>
      </c>
      <c r="R25" s="8">
        <f>SUM(H25+'Ttl 2017-2018'!G26)</f>
        <v>1442</v>
      </c>
      <c r="S25" s="8">
        <f>SUM(I25+'Ttl 2017-2018'!H26)</f>
        <v>295</v>
      </c>
      <c r="T25" s="8">
        <f>SUM(J25+'Ttl 2017-2018'!I26)</f>
        <v>1147</v>
      </c>
      <c r="V25" s="54">
        <v>20</v>
      </c>
      <c r="W25" s="55">
        <v>43191</v>
      </c>
      <c r="X25" s="7" t="s">
        <v>79</v>
      </c>
      <c r="Y25" s="8">
        <v>11810225</v>
      </c>
      <c r="Z25" s="8">
        <v>4847413</v>
      </c>
      <c r="AA25" s="8">
        <v>6962813</v>
      </c>
      <c r="AB25" s="7">
        <v>110</v>
      </c>
      <c r="AC25" s="7">
        <v>42</v>
      </c>
      <c r="AD25" s="7">
        <v>68</v>
      </c>
      <c r="AG25" s="7" t="s">
        <v>79</v>
      </c>
      <c r="AH25" s="60">
        <f>SUM('Ttl 2017-2018'!O26+Total!Y25)</f>
        <v>68430688</v>
      </c>
      <c r="AI25" s="60">
        <f>SUM('Ttl 2017-2018'!P26+Total!Z25)</f>
        <v>10729602</v>
      </c>
      <c r="AJ25" s="60">
        <f>SUM('Ttl 2017-2018'!Q26+Total!AA25)</f>
        <v>57701089</v>
      </c>
      <c r="AK25" s="60">
        <f>SUM('Ttl 2017-2018'!R26+Total!AB25)</f>
        <v>619</v>
      </c>
      <c r="AL25" s="60">
        <f>SUM('Ttl 2017-2018'!S26+Total!AC25)</f>
        <v>93</v>
      </c>
      <c r="AM25" s="60">
        <f>SUM('Ttl 2017-2018'!T26+Total!AD25)</f>
        <v>526</v>
      </c>
      <c r="AO25" s="7" t="s">
        <v>79</v>
      </c>
      <c r="AP25" s="62">
        <f>SUM(AH25+April!Y25)</f>
        <v>97776613</v>
      </c>
      <c r="AQ25" s="62">
        <f>SUM(AI25+April!Z25)</f>
        <v>18979802</v>
      </c>
      <c r="AR25" s="62">
        <f>SUM(AJ25+April!AA25)</f>
        <v>78796814</v>
      </c>
      <c r="AS25" s="62">
        <f>SUM(AK25+April!AB25)</f>
        <v>898</v>
      </c>
      <c r="AT25" s="62">
        <f>SUM(AL25+April!AC25)</f>
        <v>164</v>
      </c>
      <c r="AU25" s="62">
        <f>SUM(AM25+April!AD25)</f>
        <v>734</v>
      </c>
      <c r="AV25" s="64"/>
      <c r="AW25" s="52" t="str">
        <f t="shared" si="0"/>
        <v>NILAM COLLECTION</v>
      </c>
      <c r="AX25" s="62">
        <f>SUM(AP25+April!AI25)</f>
        <v>157316601</v>
      </c>
      <c r="AY25" s="62">
        <f>SUM(AQ25+April!AJ25)</f>
        <v>33027052</v>
      </c>
      <c r="AZ25" s="62">
        <f>SUM(AR25+April!AK25)</f>
        <v>124289552</v>
      </c>
      <c r="BA25" s="62">
        <f>SUM(AS25+April!AL25)</f>
        <v>1459</v>
      </c>
      <c r="BB25" s="62">
        <f>SUM(AT25+April!AM25)</f>
        <v>292</v>
      </c>
      <c r="BC25" s="62">
        <f>SUM(AU25+April!AN25)</f>
        <v>1167</v>
      </c>
      <c r="BE25" s="62" t="str">
        <f t="shared" si="1"/>
        <v>NILAM COLLECTION</v>
      </c>
      <c r="BF25" s="62">
        <f>SUM(AX25+April!AS25)</f>
        <v>229145789</v>
      </c>
      <c r="BG25" s="62">
        <f>SUM(AY25+April!AT25)</f>
        <v>52021990</v>
      </c>
      <c r="BH25" s="62">
        <f>SUM(AZ25+April!AU25)</f>
        <v>177123802</v>
      </c>
      <c r="BI25" s="62">
        <f>SUM(BA25+April!AV25)</f>
        <v>2137</v>
      </c>
      <c r="BJ25" s="62">
        <f>SUM(BB25+April!AW25)</f>
        <v>467</v>
      </c>
      <c r="BK25" s="62">
        <f>SUM(BC25+April!AX25)</f>
        <v>1670</v>
      </c>
    </row>
    <row r="26" spans="2:63" ht="15" customHeight="1" x14ac:dyDescent="0.25">
      <c r="B26" s="54">
        <v>21</v>
      </c>
      <c r="C26" s="55">
        <v>42826</v>
      </c>
      <c r="D26" s="7" t="s">
        <v>83</v>
      </c>
      <c r="E26" s="8">
        <v>52444700</v>
      </c>
      <c r="F26" s="8">
        <v>10289475</v>
      </c>
      <c r="G26" s="8">
        <v>42155225</v>
      </c>
      <c r="H26" s="7">
        <v>506</v>
      </c>
      <c r="I26" s="7">
        <v>91</v>
      </c>
      <c r="J26" s="7">
        <v>415</v>
      </c>
      <c r="K26" s="13"/>
      <c r="L26" s="13"/>
      <c r="M26" s="13"/>
      <c r="N26" s="7" t="s">
        <v>83</v>
      </c>
      <c r="O26" s="8">
        <f>SUM(E26+'Ttl 2017-2018'!D27)</f>
        <v>123878738</v>
      </c>
      <c r="P26" s="8">
        <f>SUM(F26+'Ttl 2017-2018'!E27)</f>
        <v>22770563</v>
      </c>
      <c r="Q26" s="8">
        <f>SUM(G26+'Ttl 2017-2018'!F27)</f>
        <v>101108176</v>
      </c>
      <c r="R26" s="8">
        <f>SUM(H26+'Ttl 2017-2018'!G27)</f>
        <v>1196</v>
      </c>
      <c r="S26" s="8">
        <f>SUM(I26+'Ttl 2017-2018'!H27)</f>
        <v>247</v>
      </c>
      <c r="T26" s="8">
        <f>SUM(J26+'Ttl 2017-2018'!I27)</f>
        <v>949</v>
      </c>
      <c r="V26" s="54">
        <v>21</v>
      </c>
      <c r="W26" s="55">
        <v>43191</v>
      </c>
      <c r="X26" s="7" t="s">
        <v>83</v>
      </c>
      <c r="Y26" s="8">
        <v>4288550</v>
      </c>
      <c r="Z26" s="8">
        <v>639275</v>
      </c>
      <c r="AA26" s="8">
        <v>3649275</v>
      </c>
      <c r="AB26" s="7">
        <v>41</v>
      </c>
      <c r="AC26" s="7">
        <v>9</v>
      </c>
      <c r="AD26" s="7">
        <v>32</v>
      </c>
      <c r="AG26" s="7" t="s">
        <v>83</v>
      </c>
      <c r="AH26" s="60">
        <f>SUM('Ttl 2017-2018'!O27+Total!Y26)</f>
        <v>20887739</v>
      </c>
      <c r="AI26" s="60">
        <f>SUM('Ttl 2017-2018'!P27+Total!Z26)</f>
        <v>3549688</v>
      </c>
      <c r="AJ26" s="60">
        <f>SUM('Ttl 2017-2018'!Q27+Total!AA26)</f>
        <v>17338051</v>
      </c>
      <c r="AK26" s="60">
        <f>SUM('Ttl 2017-2018'!R27+Total!AB26)</f>
        <v>189</v>
      </c>
      <c r="AL26" s="60">
        <f>SUM('Ttl 2017-2018'!S27+Total!AC26)</f>
        <v>43</v>
      </c>
      <c r="AM26" s="60">
        <f>SUM('Ttl 2017-2018'!T27+Total!AD26)</f>
        <v>146</v>
      </c>
      <c r="AO26" s="7" t="s">
        <v>83</v>
      </c>
      <c r="AP26" s="62">
        <f>SUM(AH26+April!Y26)</f>
        <v>31829352</v>
      </c>
      <c r="AQ26" s="62">
        <f>SUM(AI26+April!Z26)</f>
        <v>5269763</v>
      </c>
      <c r="AR26" s="62">
        <f>SUM(AJ26+April!AA26)</f>
        <v>26559589</v>
      </c>
      <c r="AS26" s="62">
        <f>SUM(AK26+April!AB26)</f>
        <v>294</v>
      </c>
      <c r="AT26" s="62">
        <f>SUM(AL26+April!AC26)</f>
        <v>52</v>
      </c>
      <c r="AU26" s="62">
        <f>SUM(AM26+April!AD26)</f>
        <v>242</v>
      </c>
      <c r="AV26" s="64"/>
      <c r="AW26" s="52" t="str">
        <f t="shared" si="0"/>
        <v>AGUS ANDRIANTO</v>
      </c>
      <c r="AX26" s="62">
        <f>SUM(AP26+April!AI26)</f>
        <v>42770965</v>
      </c>
      <c r="AY26" s="62">
        <f>SUM(AQ26+April!AJ26)</f>
        <v>6989838</v>
      </c>
      <c r="AZ26" s="62">
        <f>SUM(AR26+April!AK26)</f>
        <v>35781127</v>
      </c>
      <c r="BA26" s="62">
        <f>SUM(AS26+April!AL26)</f>
        <v>399</v>
      </c>
      <c r="BB26" s="62">
        <f>SUM(AT26+April!AM26)</f>
        <v>74</v>
      </c>
      <c r="BC26" s="62">
        <f>SUM(AU26+April!AN26)</f>
        <v>325</v>
      </c>
      <c r="BE26" s="62" t="str">
        <f t="shared" si="1"/>
        <v>AGUS ANDRIANTO</v>
      </c>
      <c r="BF26" s="62">
        <f>SUM(AX26+April!AS26)</f>
        <v>59245290</v>
      </c>
      <c r="BG26" s="62">
        <f>SUM(AY26+April!AT26)</f>
        <v>10178688</v>
      </c>
      <c r="BH26" s="62">
        <f>SUM(AZ26+April!AU26)</f>
        <v>49066602</v>
      </c>
      <c r="BI26" s="62">
        <f>SUM(BA26+April!AV26)</f>
        <v>555</v>
      </c>
      <c r="BJ26" s="62">
        <f>SUM(BB26+April!AW26)</f>
        <v>113</v>
      </c>
      <c r="BK26" s="62">
        <f>SUM(BC26+April!AX26)</f>
        <v>442</v>
      </c>
    </row>
    <row r="27" spans="2:63" ht="15" customHeight="1" x14ac:dyDescent="0.25">
      <c r="B27" s="54">
        <v>22</v>
      </c>
      <c r="C27" s="55">
        <v>42826</v>
      </c>
      <c r="D27" s="7" t="s">
        <v>107</v>
      </c>
      <c r="E27" s="8">
        <v>12640425</v>
      </c>
      <c r="F27" s="8">
        <v>646013</v>
      </c>
      <c r="G27" s="8">
        <v>11994413</v>
      </c>
      <c r="H27" s="7">
        <v>128</v>
      </c>
      <c r="I27" s="7">
        <v>6</v>
      </c>
      <c r="J27" s="7">
        <v>122</v>
      </c>
      <c r="K27" s="13"/>
      <c r="L27" s="13"/>
      <c r="M27" s="13"/>
      <c r="N27" s="7" t="s">
        <v>107</v>
      </c>
      <c r="O27" s="8">
        <f>SUM(E27+'Ttl 2017-2018'!D28)</f>
        <v>41649826</v>
      </c>
      <c r="P27" s="8">
        <f>SUM(F27+'Ttl 2017-2018'!E28)</f>
        <v>1510513</v>
      </c>
      <c r="Q27" s="8">
        <f>SUM(G27+'Ttl 2017-2018'!F28)</f>
        <v>40139314</v>
      </c>
      <c r="R27" s="8">
        <f>SUM(H27+'Ttl 2017-2018'!G28)</f>
        <v>427</v>
      </c>
      <c r="S27" s="8">
        <f>SUM(I27+'Ttl 2017-2018'!H28)</f>
        <v>14</v>
      </c>
      <c r="T27" s="8">
        <f>SUM(J27+'Ttl 2017-2018'!I28)</f>
        <v>413</v>
      </c>
      <c r="V27" s="54">
        <v>22</v>
      </c>
      <c r="W27" s="55">
        <v>43191</v>
      </c>
      <c r="X27" s="7" t="s">
        <v>107</v>
      </c>
      <c r="Y27" s="8">
        <v>1628200</v>
      </c>
      <c r="Z27" s="7">
        <v>0</v>
      </c>
      <c r="AA27" s="8">
        <v>1628200</v>
      </c>
      <c r="AB27" s="7">
        <v>16</v>
      </c>
      <c r="AC27" s="7">
        <v>0</v>
      </c>
      <c r="AD27" s="7">
        <v>16</v>
      </c>
      <c r="AG27" s="7" t="s">
        <v>107</v>
      </c>
      <c r="AH27" s="60">
        <f>SUM('Ttl 2017-2018'!O28+Total!Y27)</f>
        <v>15510776</v>
      </c>
      <c r="AI27" s="60">
        <f>SUM('Ttl 2017-2018'!P28+Total!Z27)</f>
        <v>556676</v>
      </c>
      <c r="AJ27" s="60">
        <f>SUM('Ttl 2017-2018'!Q28+Total!AA27)</f>
        <v>14954100</v>
      </c>
      <c r="AK27" s="60">
        <f>SUM('Ttl 2017-2018'!R28+Total!AB27)</f>
        <v>150</v>
      </c>
      <c r="AL27" s="60">
        <f>SUM('Ttl 2017-2018'!S28+Total!AC27)</f>
        <v>5</v>
      </c>
      <c r="AM27" s="60">
        <f>SUM('Ttl 2017-2018'!T28+Total!AD27)</f>
        <v>145</v>
      </c>
      <c r="AO27" s="7" t="s">
        <v>107</v>
      </c>
      <c r="AP27" s="62">
        <f>SUM(AH27+April!Y27)</f>
        <v>19429639</v>
      </c>
      <c r="AQ27" s="62">
        <f>SUM(AI27+April!Z27)</f>
        <v>596751</v>
      </c>
      <c r="AR27" s="62">
        <f>SUM(AJ27+April!AA27)</f>
        <v>18832888</v>
      </c>
      <c r="AS27" s="62">
        <f>SUM(AK27+April!AB27)</f>
        <v>187</v>
      </c>
      <c r="AT27" s="62">
        <f>SUM(AL27+April!AC27)</f>
        <v>6</v>
      </c>
      <c r="AU27" s="62">
        <f>SUM(AM27+April!AD27)</f>
        <v>181</v>
      </c>
      <c r="AV27" s="64"/>
      <c r="AW27" s="52" t="str">
        <f t="shared" si="0"/>
        <v>NARNIA</v>
      </c>
      <c r="AX27" s="62">
        <f>SUM(AP27+April!AI27)</f>
        <v>24318614</v>
      </c>
      <c r="AY27" s="62">
        <f>SUM(AQ27+April!AJ27)</f>
        <v>636826</v>
      </c>
      <c r="AZ27" s="62">
        <f>SUM(AR27+April!AK27)</f>
        <v>23681788</v>
      </c>
      <c r="BA27" s="62">
        <f>SUM(AS27+April!AL27)</f>
        <v>233</v>
      </c>
      <c r="BB27" s="62">
        <f>SUM(AT27+April!AM27)</f>
        <v>8</v>
      </c>
      <c r="BC27" s="62">
        <f>SUM(AU27+April!AN27)</f>
        <v>225</v>
      </c>
      <c r="BE27" s="62" t="str">
        <f t="shared" si="1"/>
        <v>NARNIA</v>
      </c>
      <c r="BF27" s="62">
        <f>SUM(AX27+April!AS27)</f>
        <v>30425852</v>
      </c>
      <c r="BG27" s="62">
        <f>SUM(AY27+April!AT27)</f>
        <v>754514</v>
      </c>
      <c r="BH27" s="62">
        <f>SUM(AZ27+April!AU27)</f>
        <v>29671338</v>
      </c>
      <c r="BI27" s="62">
        <f>SUM(BA27+April!AV27)</f>
        <v>290</v>
      </c>
      <c r="BJ27" s="62">
        <f>SUM(BB27+April!AW27)</f>
        <v>10</v>
      </c>
      <c r="BK27" s="62">
        <f>SUM(BC27+April!AX27)</f>
        <v>280</v>
      </c>
    </row>
    <row r="28" spans="2:63" ht="15" customHeight="1" x14ac:dyDescent="0.25">
      <c r="B28" s="54">
        <v>23</v>
      </c>
      <c r="C28" s="55">
        <v>42826</v>
      </c>
      <c r="D28" s="7" t="s">
        <v>111</v>
      </c>
      <c r="E28" s="8">
        <v>7194163</v>
      </c>
      <c r="F28" s="8">
        <v>305538</v>
      </c>
      <c r="G28" s="8">
        <v>6888625</v>
      </c>
      <c r="H28" s="7">
        <v>74</v>
      </c>
      <c r="I28" s="7">
        <v>2</v>
      </c>
      <c r="J28" s="7">
        <v>72</v>
      </c>
      <c r="K28" s="13"/>
      <c r="L28" s="13"/>
      <c r="M28" s="13"/>
      <c r="N28" s="7" t="s">
        <v>111</v>
      </c>
      <c r="O28" s="8">
        <f>SUM(E28+'Ttl 2017-2018'!D29)</f>
        <v>25608977</v>
      </c>
      <c r="P28" s="8">
        <f>SUM(F28+'Ttl 2017-2018'!E29)</f>
        <v>2119451</v>
      </c>
      <c r="Q28" s="8">
        <f>SUM(G28+'Ttl 2017-2018'!F29)</f>
        <v>23489526</v>
      </c>
      <c r="R28" s="8">
        <f>SUM(H28+'Ttl 2017-2018'!G29)</f>
        <v>253</v>
      </c>
      <c r="S28" s="8">
        <f>SUM(I28+'Ttl 2017-2018'!H29)</f>
        <v>17</v>
      </c>
      <c r="T28" s="8">
        <f>SUM(J28+'Ttl 2017-2018'!I29)</f>
        <v>236</v>
      </c>
      <c r="V28" s="54">
        <v>23</v>
      </c>
      <c r="W28" s="55">
        <v>43191</v>
      </c>
      <c r="X28" s="7" t="s">
        <v>111</v>
      </c>
      <c r="Y28" s="8">
        <v>1991938</v>
      </c>
      <c r="Z28" s="7">
        <v>0</v>
      </c>
      <c r="AA28" s="8">
        <v>1991938</v>
      </c>
      <c r="AB28" s="7">
        <v>16</v>
      </c>
      <c r="AC28" s="7">
        <v>0</v>
      </c>
      <c r="AD28" s="7">
        <v>16</v>
      </c>
      <c r="AG28" s="7" t="s">
        <v>111</v>
      </c>
      <c r="AH28" s="60">
        <f>SUM('Ttl 2017-2018'!O29+Total!Y28)</f>
        <v>29375064</v>
      </c>
      <c r="AI28" s="60">
        <f>SUM('Ttl 2017-2018'!P29+Total!Z28)</f>
        <v>2113251</v>
      </c>
      <c r="AJ28" s="60">
        <f>SUM('Ttl 2017-2018'!Q29+Total!AA28)</f>
        <v>27261814</v>
      </c>
      <c r="AK28" s="60">
        <f>SUM('Ttl 2017-2018'!R29+Total!AB28)</f>
        <v>275</v>
      </c>
      <c r="AL28" s="60">
        <f>SUM('Ttl 2017-2018'!S29+Total!AC28)</f>
        <v>16</v>
      </c>
      <c r="AM28" s="60">
        <f>SUM('Ttl 2017-2018'!T29+Total!AD28)</f>
        <v>259</v>
      </c>
      <c r="AO28" s="7" t="s">
        <v>111</v>
      </c>
      <c r="AP28" s="62">
        <f>SUM(AH28+April!Y28)</f>
        <v>33743414</v>
      </c>
      <c r="AQ28" s="62">
        <f>SUM(AI28+April!Z28)</f>
        <v>2102751</v>
      </c>
      <c r="AR28" s="62">
        <f>SUM(AJ28+April!AA28)</f>
        <v>31640664</v>
      </c>
      <c r="AS28" s="62">
        <f>SUM(AK28+April!AB28)</f>
        <v>314</v>
      </c>
      <c r="AT28" s="62">
        <f>SUM(AL28+April!AC28)</f>
        <v>16</v>
      </c>
      <c r="AU28" s="62">
        <f>SUM(AM28+April!AD28)</f>
        <v>298</v>
      </c>
      <c r="AV28" s="64"/>
      <c r="AW28" s="52" t="str">
        <f t="shared" si="0"/>
        <v>IRMAYANTI</v>
      </c>
      <c r="AX28" s="62">
        <f>SUM(AP28+April!AI28)</f>
        <v>40141764</v>
      </c>
      <c r="AY28" s="62">
        <f>SUM(AQ28+April!AJ28)</f>
        <v>2092251</v>
      </c>
      <c r="AZ28" s="62">
        <f>SUM(AR28+April!AK28)</f>
        <v>38049514</v>
      </c>
      <c r="BA28" s="62">
        <f>SUM(AS28+April!AL28)</f>
        <v>369</v>
      </c>
      <c r="BB28" s="62">
        <f>SUM(AT28+April!AM28)</f>
        <v>16</v>
      </c>
      <c r="BC28" s="62">
        <f>SUM(AU28+April!AN28)</f>
        <v>353</v>
      </c>
      <c r="BE28" s="62" t="str">
        <f t="shared" si="1"/>
        <v>IRMAYANTI</v>
      </c>
      <c r="BF28" s="62">
        <f>SUM(AX28+April!AS28)</f>
        <v>48165864</v>
      </c>
      <c r="BG28" s="62">
        <f>SUM(AY28+April!AT28)</f>
        <v>2081751</v>
      </c>
      <c r="BH28" s="62">
        <f>SUM(AZ28+April!AU28)</f>
        <v>46084114</v>
      </c>
      <c r="BI28" s="62">
        <f>SUM(BA28+April!AV28)</f>
        <v>438</v>
      </c>
      <c r="BJ28" s="62">
        <f>SUM(BB28+April!AW28)</f>
        <v>16</v>
      </c>
      <c r="BK28" s="62">
        <f>SUM(BC28+April!AX28)</f>
        <v>422</v>
      </c>
    </row>
    <row r="29" spans="2:63" ht="15" customHeight="1" x14ac:dyDescent="0.25">
      <c r="B29" s="54">
        <v>24</v>
      </c>
      <c r="C29" s="55">
        <v>42826</v>
      </c>
      <c r="D29" s="7" t="s">
        <v>105</v>
      </c>
      <c r="E29" s="8">
        <v>13801200</v>
      </c>
      <c r="F29" s="8">
        <v>909913</v>
      </c>
      <c r="G29" s="8">
        <v>12891288</v>
      </c>
      <c r="H29" s="7">
        <v>121</v>
      </c>
      <c r="I29" s="7">
        <v>8</v>
      </c>
      <c r="J29" s="7">
        <v>113</v>
      </c>
      <c r="K29" s="13"/>
      <c r="L29" s="13"/>
      <c r="M29" s="13"/>
      <c r="N29" s="7" t="s">
        <v>105</v>
      </c>
      <c r="O29" s="8">
        <f>SUM(E29+'Ttl 2017-2018'!D30)</f>
        <v>44455601</v>
      </c>
      <c r="P29" s="8">
        <f>SUM(F29+'Ttl 2017-2018'!E30)</f>
        <v>3051514</v>
      </c>
      <c r="Q29" s="8">
        <f>SUM(G29+'Ttl 2017-2018'!F30)</f>
        <v>41404089</v>
      </c>
      <c r="R29" s="8">
        <f>SUM(H29+'Ttl 2017-2018'!G30)</f>
        <v>409</v>
      </c>
      <c r="S29" s="8">
        <f>SUM(I29+'Ttl 2017-2018'!H30)</f>
        <v>28</v>
      </c>
      <c r="T29" s="8">
        <f>SUM(J29+'Ttl 2017-2018'!I30)</f>
        <v>381</v>
      </c>
      <c r="V29" s="54">
        <v>24</v>
      </c>
      <c r="W29" s="55">
        <v>43191</v>
      </c>
      <c r="X29" s="7" t="s">
        <v>105</v>
      </c>
      <c r="Y29" s="8">
        <v>2511775</v>
      </c>
      <c r="Z29" s="8">
        <v>432513</v>
      </c>
      <c r="AA29" s="8">
        <v>2079263</v>
      </c>
      <c r="AB29" s="7">
        <v>19</v>
      </c>
      <c r="AC29" s="7">
        <v>4</v>
      </c>
      <c r="AD29" s="7">
        <v>15</v>
      </c>
      <c r="AG29" s="7" t="s">
        <v>105</v>
      </c>
      <c r="AH29" s="60">
        <f>SUM('Ttl 2017-2018'!O30+Total!Y29)</f>
        <v>52218251</v>
      </c>
      <c r="AI29" s="60">
        <f>SUM('Ttl 2017-2018'!P30+Total!Z29)</f>
        <v>2856614</v>
      </c>
      <c r="AJ29" s="60">
        <f>SUM('Ttl 2017-2018'!Q30+Total!AA29)</f>
        <v>49361639</v>
      </c>
      <c r="AK29" s="60">
        <f>SUM('Ttl 2017-2018'!R30+Total!AB29)</f>
        <v>422</v>
      </c>
      <c r="AL29" s="60">
        <f>SUM('Ttl 2017-2018'!S30+Total!AC29)</f>
        <v>24</v>
      </c>
      <c r="AM29" s="60">
        <f>SUM('Ttl 2017-2018'!T30+Total!AD29)</f>
        <v>398</v>
      </c>
      <c r="AO29" s="7" t="s">
        <v>105</v>
      </c>
      <c r="AP29" s="62">
        <f>SUM(AH29+April!Y29)</f>
        <v>56891451</v>
      </c>
      <c r="AQ29" s="62">
        <f>SUM(AI29+April!Z29)</f>
        <v>3289127</v>
      </c>
      <c r="AR29" s="62">
        <f>SUM(AJ29+April!AA29)</f>
        <v>53602327</v>
      </c>
      <c r="AS29" s="62">
        <f>SUM(AK29+April!AB29)</f>
        <v>458</v>
      </c>
      <c r="AT29" s="62">
        <f>SUM(AL29+April!AC29)</f>
        <v>28</v>
      </c>
      <c r="AU29" s="62">
        <f>SUM(AM29+April!AD29)</f>
        <v>430</v>
      </c>
      <c r="AV29" s="64"/>
      <c r="AW29" s="52" t="str">
        <f t="shared" si="0"/>
        <v>GUNANJAR ARI SETIAWAN</v>
      </c>
      <c r="AX29" s="62">
        <f>SUM(AP29+April!AI29)</f>
        <v>68751989</v>
      </c>
      <c r="AY29" s="62">
        <f>SUM(AQ29+April!AJ29)</f>
        <v>4081790</v>
      </c>
      <c r="AZ29" s="62">
        <f>SUM(AR29+April!AK29)</f>
        <v>64670202</v>
      </c>
      <c r="BA29" s="62">
        <f>SUM(AS29+April!AL29)</f>
        <v>553</v>
      </c>
      <c r="BB29" s="62">
        <f>SUM(AT29+April!AM29)</f>
        <v>35</v>
      </c>
      <c r="BC29" s="62">
        <f>SUM(AU29+April!AN29)</f>
        <v>518</v>
      </c>
      <c r="BE29" s="62" t="str">
        <f t="shared" si="1"/>
        <v>GUNANJAR ARI SETIAWAN</v>
      </c>
      <c r="BF29" s="62">
        <f>SUM(AX29+April!AS29)</f>
        <v>85380052</v>
      </c>
      <c r="BG29" s="62">
        <f>SUM(AY29+April!AT29)</f>
        <v>4874453</v>
      </c>
      <c r="BH29" s="62">
        <f>SUM(AZ29+April!AU29)</f>
        <v>80505602</v>
      </c>
      <c r="BI29" s="62">
        <f>SUM(BA29+April!AV29)</f>
        <v>696</v>
      </c>
      <c r="BJ29" s="62">
        <f>SUM(BB29+April!AW29)</f>
        <v>42</v>
      </c>
      <c r="BK29" s="62">
        <f>SUM(BC29+April!AX29)</f>
        <v>654</v>
      </c>
    </row>
    <row r="30" spans="2:63" ht="15" customHeight="1" x14ac:dyDescent="0.25">
      <c r="B30" s="54">
        <v>25</v>
      </c>
      <c r="C30" s="55">
        <v>42826</v>
      </c>
      <c r="D30" s="7" t="s">
        <v>85</v>
      </c>
      <c r="E30" s="8">
        <v>48367200</v>
      </c>
      <c r="F30" s="8">
        <v>11925725</v>
      </c>
      <c r="G30" s="8">
        <v>36441475</v>
      </c>
      <c r="H30" s="7">
        <v>457</v>
      </c>
      <c r="I30" s="7">
        <v>115</v>
      </c>
      <c r="J30" s="7">
        <v>342</v>
      </c>
      <c r="K30" s="13"/>
      <c r="L30" s="13"/>
      <c r="M30" s="13"/>
      <c r="N30" s="7" t="s">
        <v>85</v>
      </c>
      <c r="O30" s="8">
        <f>SUM(E30+'Ttl 2017-2018'!D31)</f>
        <v>163284364</v>
      </c>
      <c r="P30" s="8">
        <f>SUM(F30+'Ttl 2017-2018'!E31)</f>
        <v>38777870</v>
      </c>
      <c r="Q30" s="8">
        <f>SUM(G30+'Ttl 2017-2018'!F31)</f>
        <v>124506494</v>
      </c>
      <c r="R30" s="8">
        <f>SUM(H30+'Ttl 2017-2018'!G31)</f>
        <v>1529</v>
      </c>
      <c r="S30" s="8">
        <f>SUM(I30+'Ttl 2017-2018'!H31)</f>
        <v>321</v>
      </c>
      <c r="T30" s="8">
        <f>SUM(J30+'Ttl 2017-2018'!I31)</f>
        <v>1208</v>
      </c>
      <c r="V30" s="54">
        <v>25</v>
      </c>
      <c r="W30" s="55">
        <v>43191</v>
      </c>
      <c r="X30" s="7" t="s">
        <v>85</v>
      </c>
      <c r="Y30" s="8">
        <v>835100</v>
      </c>
      <c r="Z30" s="8">
        <v>277375</v>
      </c>
      <c r="AA30" s="8">
        <v>557725</v>
      </c>
      <c r="AB30" s="7">
        <v>10</v>
      </c>
      <c r="AC30" s="7">
        <v>1</v>
      </c>
      <c r="AD30" s="7">
        <v>9</v>
      </c>
      <c r="AG30" s="7" t="s">
        <v>85</v>
      </c>
      <c r="AH30" s="60">
        <f>SUM('Ttl 2017-2018'!O31+Total!Y30)</f>
        <v>13034788</v>
      </c>
      <c r="AI30" s="60">
        <f>SUM('Ttl 2017-2018'!P31+Total!Z30)</f>
        <v>2444213</v>
      </c>
      <c r="AJ30" s="60">
        <f>SUM('Ttl 2017-2018'!Q31+Total!AA30)</f>
        <v>10590576</v>
      </c>
      <c r="AK30" s="60">
        <f>SUM('Ttl 2017-2018'!R31+Total!AB30)</f>
        <v>135</v>
      </c>
      <c r="AL30" s="60">
        <f>SUM('Ttl 2017-2018'!S31+Total!AC30)</f>
        <v>24</v>
      </c>
      <c r="AM30" s="60">
        <f>SUM('Ttl 2017-2018'!T31+Total!AD30)</f>
        <v>111</v>
      </c>
      <c r="AO30" s="7" t="s">
        <v>85</v>
      </c>
      <c r="AP30" s="62">
        <f>SUM(AH30+April!Y30)</f>
        <v>14378438</v>
      </c>
      <c r="AQ30" s="62">
        <f>SUM(AI30+April!Z30)</f>
        <v>2721588</v>
      </c>
      <c r="AR30" s="62">
        <f>SUM(AJ30+April!AA30)</f>
        <v>11656851</v>
      </c>
      <c r="AS30" s="62">
        <f>SUM(AK30+April!AB30)</f>
        <v>151</v>
      </c>
      <c r="AT30" s="62">
        <f>SUM(AL30+April!AC30)</f>
        <v>25</v>
      </c>
      <c r="AU30" s="62">
        <f>SUM(AM30+April!AD30)</f>
        <v>126</v>
      </c>
      <c r="AV30" s="64"/>
      <c r="AW30" s="52" t="str">
        <f t="shared" si="0"/>
        <v>DIRWAN</v>
      </c>
      <c r="AX30" s="62">
        <f>SUM(AP30+April!AI30)</f>
        <v>14378438</v>
      </c>
      <c r="AY30" s="62">
        <f>SUM(AQ30+April!AJ30)</f>
        <v>2721588</v>
      </c>
      <c r="AZ30" s="62">
        <f>SUM(AR30+April!AK30)</f>
        <v>11656851</v>
      </c>
      <c r="BA30" s="62">
        <f>SUM(AS30+April!AL30)</f>
        <v>151</v>
      </c>
      <c r="BB30" s="62">
        <f>SUM(AT30+April!AM30)</f>
        <v>25</v>
      </c>
      <c r="BC30" s="62">
        <f>SUM(AU30+April!AN30)</f>
        <v>126</v>
      </c>
      <c r="BE30" s="62" t="str">
        <f t="shared" si="1"/>
        <v>DIRWAN</v>
      </c>
      <c r="BF30" s="62">
        <f>SUM(AX30+April!AS30)</f>
        <v>17131713</v>
      </c>
      <c r="BG30" s="62">
        <f>SUM(AY30+April!AT30)</f>
        <v>3426926</v>
      </c>
      <c r="BH30" s="62">
        <f>SUM(AZ30+April!AU30)</f>
        <v>13704789</v>
      </c>
      <c r="BI30" s="62">
        <f>SUM(BA30+April!AV30)</f>
        <v>181</v>
      </c>
      <c r="BJ30" s="62">
        <f>SUM(BB30+April!AW30)</f>
        <v>31</v>
      </c>
      <c r="BK30" s="62">
        <f>SUM(BC30+April!AX30)</f>
        <v>150</v>
      </c>
    </row>
    <row r="31" spans="2:63" ht="15" customHeight="1" x14ac:dyDescent="0.25">
      <c r="B31" s="54">
        <v>26</v>
      </c>
      <c r="C31" s="55">
        <v>42826</v>
      </c>
      <c r="D31" s="7" t="s">
        <v>81</v>
      </c>
      <c r="E31" s="8">
        <v>53711788</v>
      </c>
      <c r="F31" s="8">
        <v>8234063</v>
      </c>
      <c r="G31" s="8">
        <v>45477725</v>
      </c>
      <c r="H31" s="7">
        <v>496</v>
      </c>
      <c r="I31" s="7">
        <v>70</v>
      </c>
      <c r="J31" s="7">
        <v>426</v>
      </c>
      <c r="K31" s="13"/>
      <c r="L31" s="13"/>
      <c r="M31" s="13"/>
      <c r="N31" s="7" t="s">
        <v>81</v>
      </c>
      <c r="O31" s="8">
        <f>SUM(E31+'Ttl 2017-2018'!D32)</f>
        <v>122030564</v>
      </c>
      <c r="P31" s="8">
        <f>SUM(F31+'Ttl 2017-2018'!E32)</f>
        <v>16130001</v>
      </c>
      <c r="Q31" s="8">
        <f>SUM(G31+'Ttl 2017-2018'!F32)</f>
        <v>105900563</v>
      </c>
      <c r="R31" s="8">
        <f>SUM(H31+'Ttl 2017-2018'!G32)</f>
        <v>1126</v>
      </c>
      <c r="S31" s="8">
        <f>SUM(I31+'Ttl 2017-2018'!H32)</f>
        <v>138</v>
      </c>
      <c r="T31" s="8">
        <f>SUM(J31+'Ttl 2017-2018'!I32)</f>
        <v>988</v>
      </c>
      <c r="V31" s="54">
        <v>26</v>
      </c>
      <c r="W31" s="55">
        <v>43191</v>
      </c>
      <c r="X31" s="7" t="s">
        <v>81</v>
      </c>
      <c r="Y31" s="8">
        <v>9811288</v>
      </c>
      <c r="Z31" s="8">
        <v>1285813</v>
      </c>
      <c r="AA31" s="8">
        <v>8525475</v>
      </c>
      <c r="AB31" s="7">
        <v>94</v>
      </c>
      <c r="AC31" s="7">
        <v>13</v>
      </c>
      <c r="AD31" s="7">
        <v>81</v>
      </c>
      <c r="AG31" s="7" t="s">
        <v>81</v>
      </c>
      <c r="AH31" s="60">
        <f>SUM('Ttl 2017-2018'!O32+Total!Y31)</f>
        <v>51804989</v>
      </c>
      <c r="AI31" s="60">
        <f>SUM('Ttl 2017-2018'!P32+Total!Z31)</f>
        <v>7965101</v>
      </c>
      <c r="AJ31" s="60">
        <f>SUM('Ttl 2017-2018'!Q32+Total!AA31)</f>
        <v>43839888</v>
      </c>
      <c r="AK31" s="60">
        <f>SUM('Ttl 2017-2018'!R32+Total!AB31)</f>
        <v>494</v>
      </c>
      <c r="AL31" s="60">
        <f>SUM('Ttl 2017-2018'!S32+Total!AC31)</f>
        <v>76</v>
      </c>
      <c r="AM31" s="60">
        <f>SUM('Ttl 2017-2018'!T32+Total!AD31)</f>
        <v>418</v>
      </c>
      <c r="AO31" s="7" t="s">
        <v>81</v>
      </c>
      <c r="AP31" s="62">
        <f>SUM(AH31+April!Y31)</f>
        <v>61616277</v>
      </c>
      <c r="AQ31" s="62">
        <f>SUM(AI31+April!Z31)</f>
        <v>9250914</v>
      </c>
      <c r="AR31" s="62">
        <f>SUM(AJ31+April!AA31)</f>
        <v>52365363</v>
      </c>
      <c r="AS31" s="62">
        <f>SUM(AK31+April!AB31)</f>
        <v>588</v>
      </c>
      <c r="AT31" s="62">
        <f>SUM(AL31+April!AC31)</f>
        <v>89</v>
      </c>
      <c r="AU31" s="62">
        <f>SUM(AM31+April!AD31)</f>
        <v>499</v>
      </c>
      <c r="AV31" s="64"/>
      <c r="AW31" s="52" t="str">
        <f t="shared" si="0"/>
        <v>ASEP JENAL M</v>
      </c>
      <c r="AX31" s="62">
        <f>SUM(AP31+April!AI31)</f>
        <v>84378702</v>
      </c>
      <c r="AY31" s="62">
        <f>SUM(AQ31+April!AJ31)</f>
        <v>12983314</v>
      </c>
      <c r="AZ31" s="62">
        <f>SUM(AR31+April!AK31)</f>
        <v>71395388</v>
      </c>
      <c r="BA31" s="62">
        <f>SUM(AS31+April!AL31)</f>
        <v>808</v>
      </c>
      <c r="BB31" s="62">
        <f>SUM(AT31+April!AM31)</f>
        <v>123</v>
      </c>
      <c r="BC31" s="62">
        <f>SUM(AU31+April!AN31)</f>
        <v>685</v>
      </c>
      <c r="BE31" s="62" t="str">
        <f t="shared" si="1"/>
        <v>ASEP JENAL M</v>
      </c>
      <c r="BF31" s="62">
        <f>SUM(AX31+April!AS31)</f>
        <v>117780515</v>
      </c>
      <c r="BG31" s="62">
        <f>SUM(AY31+April!AT31)</f>
        <v>18995264</v>
      </c>
      <c r="BH31" s="62">
        <f>SUM(AZ31+April!AU31)</f>
        <v>98785251</v>
      </c>
      <c r="BI31" s="62">
        <f>SUM(BA31+April!AV31)</f>
        <v>1130</v>
      </c>
      <c r="BJ31" s="62">
        <f>SUM(BB31+April!AW31)</f>
        <v>177</v>
      </c>
      <c r="BK31" s="62">
        <f>SUM(BC31+April!AX31)</f>
        <v>953</v>
      </c>
    </row>
    <row r="32" spans="2:63" ht="15" customHeight="1" x14ac:dyDescent="0.25">
      <c r="B32" s="54">
        <v>27</v>
      </c>
      <c r="C32" s="55">
        <v>42826</v>
      </c>
      <c r="D32" s="7" t="s">
        <v>102</v>
      </c>
      <c r="E32" s="8">
        <v>18319300</v>
      </c>
      <c r="F32" s="8">
        <v>2299900</v>
      </c>
      <c r="G32" s="8">
        <v>16019400</v>
      </c>
      <c r="H32" s="7">
        <v>152</v>
      </c>
      <c r="I32" s="7">
        <v>20</v>
      </c>
      <c r="J32" s="7">
        <v>132</v>
      </c>
      <c r="K32" s="13"/>
      <c r="L32" s="13"/>
      <c r="M32" s="13"/>
      <c r="N32" s="7" t="s">
        <v>102</v>
      </c>
      <c r="O32" s="8">
        <f>SUM(E32+'Ttl 2017-2018'!D33)</f>
        <v>50745100</v>
      </c>
      <c r="P32" s="8">
        <f>SUM(F32+'Ttl 2017-2018'!E33)</f>
        <v>7287900</v>
      </c>
      <c r="Q32" s="8">
        <f>SUM(G32+'Ttl 2017-2018'!F33)</f>
        <v>43457200</v>
      </c>
      <c r="R32" s="8">
        <f>SUM(H32+'Ttl 2017-2018'!G33)</f>
        <v>426</v>
      </c>
      <c r="S32" s="8">
        <f>SUM(I32+'Ttl 2017-2018'!H33)</f>
        <v>60</v>
      </c>
      <c r="T32" s="8">
        <f>SUM(J32+'Ttl 2017-2018'!I33)</f>
        <v>366</v>
      </c>
      <c r="V32" s="54">
        <v>27</v>
      </c>
      <c r="W32" s="55">
        <v>43191</v>
      </c>
      <c r="X32" s="52">
        <v>0</v>
      </c>
      <c r="Y32" s="52">
        <v>0</v>
      </c>
      <c r="Z32" s="52">
        <v>0</v>
      </c>
      <c r="AA32" s="52">
        <v>0</v>
      </c>
      <c r="AB32" s="52">
        <v>0</v>
      </c>
      <c r="AC32" s="52">
        <v>0</v>
      </c>
      <c r="AD32" s="52">
        <v>0</v>
      </c>
      <c r="AG32" s="7" t="s">
        <v>102</v>
      </c>
      <c r="AH32" s="60">
        <f>SUM('Ttl 2017-2018'!O33+Total!Y32)</f>
        <v>12645100</v>
      </c>
      <c r="AI32" s="60">
        <f>SUM('Ttl 2017-2018'!P33+Total!Z32)</f>
        <v>2836500</v>
      </c>
      <c r="AJ32" s="60">
        <f>SUM('Ttl 2017-2018'!Q33+Total!AA32)</f>
        <v>9808600</v>
      </c>
      <c r="AK32" s="60">
        <f>SUM('Ttl 2017-2018'!R33+Total!AB32)</f>
        <v>110</v>
      </c>
      <c r="AL32" s="60">
        <f>SUM('Ttl 2017-2018'!S33+Total!AC32)</f>
        <v>25</v>
      </c>
      <c r="AM32" s="60">
        <f>SUM('Ttl 2017-2018'!T33+Total!AD32)</f>
        <v>85</v>
      </c>
      <c r="AO32" s="7" t="s">
        <v>102</v>
      </c>
      <c r="AP32" s="62">
        <f>SUM(AH32+April!Y32)</f>
        <v>16699500</v>
      </c>
      <c r="AQ32" s="62">
        <f>SUM(AI32+April!Z32)</f>
        <v>3065200</v>
      </c>
      <c r="AR32" s="62">
        <f>SUM(AJ32+April!AA32)</f>
        <v>13634300</v>
      </c>
      <c r="AS32" s="62">
        <f>SUM(AK32+April!AB32)</f>
        <v>139</v>
      </c>
      <c r="AT32" s="62">
        <f>SUM(AL32+April!AC32)</f>
        <v>27</v>
      </c>
      <c r="AU32" s="62">
        <f>SUM(AM32+April!AD32)</f>
        <v>112</v>
      </c>
      <c r="AV32" s="64"/>
      <c r="AW32" s="52" t="str">
        <f t="shared" si="0"/>
        <v>LEDI PUTRA MANDIRI (LPM)</v>
      </c>
      <c r="AX32" s="62">
        <f>SUM(AP32+April!AI32)</f>
        <v>23227400</v>
      </c>
      <c r="AY32" s="62">
        <f>SUM(AQ32+April!AJ32)</f>
        <v>3822700</v>
      </c>
      <c r="AZ32" s="62">
        <f>SUM(AR32+April!AK32)</f>
        <v>19404700</v>
      </c>
      <c r="BA32" s="62">
        <f>SUM(AS32+April!AL32)</f>
        <v>189</v>
      </c>
      <c r="BB32" s="62">
        <f>SUM(AT32+April!AM32)</f>
        <v>34</v>
      </c>
      <c r="BC32" s="62">
        <f>SUM(AU32+April!AN32)</f>
        <v>155</v>
      </c>
      <c r="BE32" s="62" t="str">
        <f t="shared" si="1"/>
        <v>LEDI PUTRA MANDIRI (LPM)</v>
      </c>
      <c r="BF32" s="62">
        <f>SUM(AX32+April!AS32)</f>
        <v>29755300</v>
      </c>
      <c r="BG32" s="62">
        <f>SUM(AY32+April!AT32)</f>
        <v>4580200</v>
      </c>
      <c r="BH32" s="62">
        <f>SUM(AZ32+April!AU32)</f>
        <v>25175100</v>
      </c>
      <c r="BI32" s="62">
        <f>SUM(BA32+April!AV32)</f>
        <v>239</v>
      </c>
      <c r="BJ32" s="62">
        <f>SUM(BB32+April!AW32)</f>
        <v>41</v>
      </c>
      <c r="BK32" s="62">
        <f>SUM(BC32+April!AX32)</f>
        <v>198</v>
      </c>
    </row>
    <row r="33" spans="2:65" ht="15" customHeight="1" x14ac:dyDescent="0.25">
      <c r="B33" s="54">
        <v>28</v>
      </c>
      <c r="C33" s="55">
        <v>42826</v>
      </c>
      <c r="D33" s="7" t="s">
        <v>87</v>
      </c>
      <c r="E33" s="8">
        <v>37341850</v>
      </c>
      <c r="F33" s="8">
        <v>12127850</v>
      </c>
      <c r="G33" s="8">
        <v>25214000</v>
      </c>
      <c r="H33" s="7">
        <v>355</v>
      </c>
      <c r="I33" s="7">
        <v>107</v>
      </c>
      <c r="J33" s="7">
        <v>248</v>
      </c>
      <c r="K33" s="13"/>
      <c r="L33" s="13"/>
      <c r="M33" s="13"/>
      <c r="N33" s="7" t="s">
        <v>87</v>
      </c>
      <c r="O33" s="8">
        <f>SUM(E33+'Ttl 2017-2018'!D34)</f>
        <v>96323589</v>
      </c>
      <c r="P33" s="8">
        <f>SUM(F33+'Ttl 2017-2018'!E34)</f>
        <v>25072776</v>
      </c>
      <c r="Q33" s="8">
        <f>SUM(G33+'Ttl 2017-2018'!F34)</f>
        <v>71250813</v>
      </c>
      <c r="R33" s="8">
        <f>SUM(H33+'Ttl 2017-2018'!G34)</f>
        <v>906</v>
      </c>
      <c r="S33" s="8">
        <f>SUM(I33+'Ttl 2017-2018'!H34)</f>
        <v>226</v>
      </c>
      <c r="T33" s="8">
        <f>SUM(J33+'Ttl 2017-2018'!I34)</f>
        <v>680</v>
      </c>
      <c r="V33" s="54">
        <v>28</v>
      </c>
      <c r="W33" s="55">
        <v>43191</v>
      </c>
      <c r="X33" s="7" t="s">
        <v>87</v>
      </c>
      <c r="Y33" s="8">
        <v>4190900</v>
      </c>
      <c r="Z33" s="8">
        <v>678413</v>
      </c>
      <c r="AA33" s="8">
        <v>3512488</v>
      </c>
      <c r="AB33" s="7">
        <v>40</v>
      </c>
      <c r="AC33" s="7">
        <v>7</v>
      </c>
      <c r="AD33" s="7">
        <v>33</v>
      </c>
      <c r="AG33" s="7" t="s">
        <v>87</v>
      </c>
      <c r="AH33" s="60">
        <f>SUM('Ttl 2017-2018'!O34+Total!Y33)</f>
        <v>35203088</v>
      </c>
      <c r="AI33" s="60">
        <f>SUM('Ttl 2017-2018'!P34+Total!Z33)</f>
        <v>8911036</v>
      </c>
      <c r="AJ33" s="60">
        <f>SUM('Ttl 2017-2018'!Q34+Total!AA33)</f>
        <v>26292055</v>
      </c>
      <c r="AK33" s="60">
        <f>SUM('Ttl 2017-2018'!R34+Total!AB33)</f>
        <v>329</v>
      </c>
      <c r="AL33" s="60">
        <f>SUM('Ttl 2017-2018'!S34+Total!AC33)</f>
        <v>52</v>
      </c>
      <c r="AM33" s="60">
        <f>SUM('Ttl 2017-2018'!T34+Total!AD33)</f>
        <v>277</v>
      </c>
      <c r="AO33" s="7" t="s">
        <v>87</v>
      </c>
      <c r="AP33" s="62">
        <f>SUM(AH33+April!Y33)</f>
        <v>39670051</v>
      </c>
      <c r="AQ33" s="62">
        <f>SUM(AI33+April!Z33)</f>
        <v>9589449</v>
      </c>
      <c r="AR33" s="62">
        <f>SUM(AJ33+April!AA33)</f>
        <v>30080605</v>
      </c>
      <c r="AS33" s="62">
        <f>SUM(AK33+April!AB33)</f>
        <v>371</v>
      </c>
      <c r="AT33" s="62">
        <f>SUM(AL33+April!AC33)</f>
        <v>59</v>
      </c>
      <c r="AU33" s="62">
        <f>SUM(AM33+April!AD33)</f>
        <v>312</v>
      </c>
      <c r="AV33" s="64"/>
      <c r="AW33" s="52" t="str">
        <f t="shared" si="0"/>
        <v>BOJES KUNINGAN</v>
      </c>
      <c r="AX33" s="62">
        <f>SUM(AP33+April!AI33)</f>
        <v>49014876</v>
      </c>
      <c r="AY33" s="62">
        <f>SUM(AQ33+April!AJ33)</f>
        <v>10267862</v>
      </c>
      <c r="AZ33" s="62">
        <f>SUM(AR33+April!AK33)</f>
        <v>38747018</v>
      </c>
      <c r="BA33" s="62">
        <f>SUM(AS33+April!AL33)</f>
        <v>454</v>
      </c>
      <c r="BB33" s="62">
        <f>SUM(AT33+April!AM33)</f>
        <v>66</v>
      </c>
      <c r="BC33" s="62">
        <f>SUM(AU33+April!AN33)</f>
        <v>388</v>
      </c>
      <c r="BE33" s="62" t="str">
        <f t="shared" si="1"/>
        <v>BOJES KUNINGAN</v>
      </c>
      <c r="BF33" s="62">
        <f>SUM(AX33+April!AS33)</f>
        <v>62630489</v>
      </c>
      <c r="BG33" s="62">
        <f>SUM(AY33+April!AT33)</f>
        <v>13474587</v>
      </c>
      <c r="BH33" s="62">
        <f>SUM(AZ33+April!AU33)</f>
        <v>49155906</v>
      </c>
      <c r="BI33" s="62">
        <f>SUM(BA33+April!AV33)</f>
        <v>578</v>
      </c>
      <c r="BJ33" s="62">
        <f>SUM(BB33+April!AW33)</f>
        <v>95</v>
      </c>
      <c r="BK33" s="62">
        <f>SUM(BC33+April!AX33)</f>
        <v>483</v>
      </c>
    </row>
    <row r="34" spans="2:65" ht="15" customHeight="1" x14ac:dyDescent="0.25">
      <c r="B34" s="54">
        <v>29</v>
      </c>
      <c r="C34" s="55">
        <v>42826</v>
      </c>
      <c r="D34" s="7" t="s">
        <v>98</v>
      </c>
      <c r="E34" s="8">
        <v>25072338</v>
      </c>
      <c r="F34" s="8">
        <v>6089038</v>
      </c>
      <c r="G34" s="8">
        <v>18983300</v>
      </c>
      <c r="H34" s="7">
        <v>245</v>
      </c>
      <c r="I34" s="7">
        <v>59</v>
      </c>
      <c r="J34" s="7">
        <v>186</v>
      </c>
      <c r="K34" s="13"/>
      <c r="L34" s="13"/>
      <c r="M34" s="13"/>
      <c r="N34" s="7" t="s">
        <v>98</v>
      </c>
      <c r="O34" s="8">
        <f>SUM(E34+'Ttl 2017-2018'!D35)</f>
        <v>57483126</v>
      </c>
      <c r="P34" s="8">
        <f>SUM(F34+'Ttl 2017-2018'!E35)</f>
        <v>10791026</v>
      </c>
      <c r="Q34" s="8">
        <f>SUM(G34+'Ttl 2017-2018'!F35)</f>
        <v>46692101</v>
      </c>
      <c r="R34" s="8">
        <f>SUM(H34+'Ttl 2017-2018'!G35)</f>
        <v>561</v>
      </c>
      <c r="S34" s="8">
        <f>SUM(I34+'Ttl 2017-2018'!H35)</f>
        <v>104</v>
      </c>
      <c r="T34" s="8">
        <f>SUM(J34+'Ttl 2017-2018'!I35)</f>
        <v>457</v>
      </c>
      <c r="V34" s="54">
        <v>29</v>
      </c>
      <c r="W34" s="55">
        <v>43191</v>
      </c>
      <c r="X34" s="7" t="s">
        <v>98</v>
      </c>
      <c r="Y34" s="8">
        <v>5934338</v>
      </c>
      <c r="Z34" s="8">
        <v>1540000</v>
      </c>
      <c r="AA34" s="8">
        <v>4394338</v>
      </c>
      <c r="AB34" s="7">
        <v>58</v>
      </c>
      <c r="AC34" s="7">
        <v>14</v>
      </c>
      <c r="AD34" s="7">
        <v>44</v>
      </c>
      <c r="AG34" s="7" t="s">
        <v>98</v>
      </c>
      <c r="AH34" s="60">
        <f>SUM('Ttl 2017-2018'!O35+Total!Y34)</f>
        <v>29279864</v>
      </c>
      <c r="AI34" s="60">
        <f>SUM('Ttl 2017-2018'!P35+Total!Z34)</f>
        <v>6040001</v>
      </c>
      <c r="AJ34" s="60">
        <f>SUM('Ttl 2017-2018'!Q35+Total!AA34)</f>
        <v>23239864</v>
      </c>
      <c r="AK34" s="60">
        <f>SUM('Ttl 2017-2018'!R35+Total!AB34)</f>
        <v>276</v>
      </c>
      <c r="AL34" s="60">
        <f>SUM('Ttl 2017-2018'!S35+Total!AC34)</f>
        <v>54</v>
      </c>
      <c r="AM34" s="60">
        <f>SUM('Ttl 2017-2018'!T35+Total!AD34)</f>
        <v>222</v>
      </c>
      <c r="AO34" s="7" t="s">
        <v>98</v>
      </c>
      <c r="AP34" s="62">
        <f>SUM(AH34+April!Y34)</f>
        <v>35214202</v>
      </c>
      <c r="AQ34" s="62">
        <f>SUM(AI34+April!Z34)</f>
        <v>7580001</v>
      </c>
      <c r="AR34" s="62">
        <f>SUM(AJ34+April!AA34)</f>
        <v>27634202</v>
      </c>
      <c r="AS34" s="62">
        <f>SUM(AK34+April!AB34)</f>
        <v>334</v>
      </c>
      <c r="AT34" s="62">
        <f>SUM(AL34+April!AC34)</f>
        <v>68</v>
      </c>
      <c r="AU34" s="62">
        <f>SUM(AM34+April!AD34)</f>
        <v>266</v>
      </c>
      <c r="AV34" s="64"/>
      <c r="AW34" s="52" t="str">
        <f t="shared" si="0"/>
        <v>MULYANA - PAMULANG</v>
      </c>
      <c r="AX34" s="62">
        <f>SUM(AP34+April!AI34)</f>
        <v>46227390</v>
      </c>
      <c r="AY34" s="62">
        <f>SUM(AQ34+April!AJ34)</f>
        <v>11227614</v>
      </c>
      <c r="AZ34" s="62">
        <f>SUM(AR34+April!AK34)</f>
        <v>34999777</v>
      </c>
      <c r="BA34" s="62">
        <f>SUM(AS34+April!AL34)</f>
        <v>442</v>
      </c>
      <c r="BB34" s="62">
        <f>SUM(AT34+April!AM34)</f>
        <v>102</v>
      </c>
      <c r="BC34" s="62">
        <f>SUM(AU34+April!AN34)</f>
        <v>340</v>
      </c>
      <c r="BE34" s="62" t="str">
        <f t="shared" si="1"/>
        <v>MULYANA - PAMULANG</v>
      </c>
      <c r="BF34" s="62">
        <f>SUM(AX34+April!AS34)</f>
        <v>63013828</v>
      </c>
      <c r="BG34" s="62">
        <f>SUM(AY34+April!AT34)</f>
        <v>16945477</v>
      </c>
      <c r="BH34" s="62">
        <f>SUM(AZ34+April!AU34)</f>
        <v>46068352</v>
      </c>
      <c r="BI34" s="62">
        <f>SUM(BA34+April!AV34)</f>
        <v>607</v>
      </c>
      <c r="BJ34" s="62">
        <f>SUM(BB34+April!AW34)</f>
        <v>156</v>
      </c>
      <c r="BK34" s="62">
        <f>SUM(BC34+April!AX34)</f>
        <v>451</v>
      </c>
      <c r="BM34" s="6">
        <f>SUM(AX34+April!AS34)</f>
        <v>63013828</v>
      </c>
    </row>
    <row r="35" spans="2:65" ht="15" customHeight="1" x14ac:dyDescent="0.25">
      <c r="B35" s="54">
        <v>30</v>
      </c>
      <c r="C35" s="55">
        <v>42826</v>
      </c>
      <c r="D35" s="7" t="s">
        <v>78</v>
      </c>
      <c r="E35" s="8">
        <v>63356913</v>
      </c>
      <c r="F35" s="8">
        <v>9908763</v>
      </c>
      <c r="G35" s="8">
        <v>53448150</v>
      </c>
      <c r="H35" s="7">
        <v>612</v>
      </c>
      <c r="I35" s="7">
        <v>94</v>
      </c>
      <c r="J35" s="7">
        <v>518</v>
      </c>
      <c r="K35" s="13"/>
      <c r="L35" s="13"/>
      <c r="M35" s="13"/>
      <c r="N35" s="7" t="s">
        <v>78</v>
      </c>
      <c r="O35" s="8">
        <f>SUM(E35+'Ttl 2017-2018'!D36)</f>
        <v>63356913</v>
      </c>
      <c r="P35" s="8">
        <f>SUM(F35+'Ttl 2017-2018'!E36)</f>
        <v>9908763</v>
      </c>
      <c r="Q35" s="8">
        <f>SUM(G35+'Ttl 2017-2018'!F36)</f>
        <v>53448150</v>
      </c>
      <c r="R35" s="8">
        <f>SUM(H35+'Ttl 2017-2018'!G36)</f>
        <v>612</v>
      </c>
      <c r="S35" s="8">
        <f>SUM(I35+'Ttl 2017-2018'!H36)</f>
        <v>94</v>
      </c>
      <c r="T35" s="8">
        <f>SUM(J35+'Ttl 2017-2018'!I36)</f>
        <v>518</v>
      </c>
      <c r="V35" s="54">
        <v>30</v>
      </c>
      <c r="W35" s="55">
        <v>43191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G35" s="7" t="s">
        <v>78</v>
      </c>
      <c r="AH35" s="60">
        <f>SUM('Ttl 2017-2018'!O36+Total!Y35)</f>
        <v>0</v>
      </c>
      <c r="AI35" s="60">
        <f>SUM('Ttl 2017-2018'!P36+Total!Z35)</f>
        <v>0</v>
      </c>
      <c r="AJ35" s="60">
        <f>SUM('Ttl 2017-2018'!Q36+Total!AA35)</f>
        <v>0</v>
      </c>
      <c r="AK35" s="60">
        <f>SUM('Ttl 2017-2018'!R36+Total!AB35)</f>
        <v>0</v>
      </c>
      <c r="AL35" s="60">
        <f>SUM('Ttl 2017-2018'!S36+Total!AC35)</f>
        <v>0</v>
      </c>
      <c r="AM35" s="60">
        <f>SUM('Ttl 2017-2018'!T36+Total!AD35)</f>
        <v>0</v>
      </c>
      <c r="AO35" s="7" t="s">
        <v>78</v>
      </c>
      <c r="AP35" s="62">
        <f>SUM(AH35+April!Y35)</f>
        <v>0</v>
      </c>
      <c r="AQ35" s="62">
        <f>SUM(AI35+April!Z35)</f>
        <v>0</v>
      </c>
      <c r="AR35" s="62">
        <f>SUM(AJ35+April!AA35)</f>
        <v>0</v>
      </c>
      <c r="AS35" s="62">
        <f>SUM(AK35+April!AB35)</f>
        <v>0</v>
      </c>
      <c r="AT35" s="62">
        <f>SUM(AL35+April!AC35)</f>
        <v>0</v>
      </c>
      <c r="AU35" s="62">
        <f>SUM(AM35+April!AD35)</f>
        <v>0</v>
      </c>
      <c r="AV35" s="64"/>
      <c r="AW35" s="52" t="str">
        <f t="shared" si="0"/>
        <v>KURNIA | EKA JAYA (CIKARANG)</v>
      </c>
      <c r="AX35" s="62">
        <f>SUM(AP35+April!AI35)</f>
        <v>0</v>
      </c>
      <c r="AY35" s="62">
        <f>SUM(AQ35+April!AJ35)</f>
        <v>0</v>
      </c>
      <c r="AZ35" s="62">
        <f>SUM(AR35+April!AK35)</f>
        <v>0</v>
      </c>
      <c r="BA35" s="62">
        <f>SUM(AS35+April!AL35)</f>
        <v>0</v>
      </c>
      <c r="BB35" s="62">
        <f>SUM(AT35+April!AM35)</f>
        <v>0</v>
      </c>
      <c r="BC35" s="62">
        <f>SUM(AU35+April!AN35)</f>
        <v>0</v>
      </c>
      <c r="BE35" s="62" t="str">
        <f t="shared" si="1"/>
        <v>KURNIA | EKA JAYA (CIKARANG)</v>
      </c>
      <c r="BF35" s="62">
        <f>SUM(AX35+April!AS35)</f>
        <v>0</v>
      </c>
      <c r="BG35" s="62">
        <f>SUM(AY35+April!AT35)</f>
        <v>0</v>
      </c>
      <c r="BH35" s="62">
        <f>SUM(AZ35+April!AU35)</f>
        <v>0</v>
      </c>
      <c r="BI35" s="62">
        <f>SUM(BA35+April!AV35)</f>
        <v>0</v>
      </c>
      <c r="BJ35" s="62">
        <f>SUM(BB35+April!AW35)</f>
        <v>0</v>
      </c>
      <c r="BK35" s="62">
        <f>SUM(BC35+April!AX35)</f>
        <v>0</v>
      </c>
    </row>
    <row r="36" spans="2:65" ht="15" customHeight="1" x14ac:dyDescent="0.25">
      <c r="B36" s="54">
        <v>31</v>
      </c>
      <c r="C36" s="55">
        <v>42826</v>
      </c>
      <c r="D36" s="7" t="s">
        <v>82</v>
      </c>
      <c r="E36" s="8">
        <v>63665875</v>
      </c>
      <c r="F36" s="8">
        <v>19334850</v>
      </c>
      <c r="G36" s="8">
        <v>44331025</v>
      </c>
      <c r="H36" s="7">
        <v>610</v>
      </c>
      <c r="I36" s="7">
        <v>236</v>
      </c>
      <c r="J36" s="7">
        <v>374</v>
      </c>
      <c r="K36" s="13"/>
      <c r="L36" s="13"/>
      <c r="M36" s="13"/>
      <c r="N36" s="7" t="s">
        <v>82</v>
      </c>
      <c r="O36" s="8">
        <f>SUM(E36+'Ttl 2017-2018'!D37)</f>
        <v>63665875</v>
      </c>
      <c r="P36" s="8">
        <f>SUM(F36+'Ttl 2017-2018'!E37)</f>
        <v>19334850</v>
      </c>
      <c r="Q36" s="8">
        <f>SUM(G36+'Ttl 2017-2018'!F37)</f>
        <v>44331025</v>
      </c>
      <c r="R36" s="8">
        <f>SUM(H36+'Ttl 2017-2018'!G37)</f>
        <v>610</v>
      </c>
      <c r="S36" s="8">
        <f>SUM(I36+'Ttl 2017-2018'!H37)</f>
        <v>236</v>
      </c>
      <c r="T36" s="8">
        <f>SUM(J36+'Ttl 2017-2018'!I37)</f>
        <v>374</v>
      </c>
      <c r="V36" s="54">
        <v>31</v>
      </c>
      <c r="W36" s="55">
        <v>43191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G36" s="7" t="s">
        <v>82</v>
      </c>
      <c r="AH36" s="60">
        <f>SUM('Ttl 2017-2018'!O37+Total!Y36)</f>
        <v>0</v>
      </c>
      <c r="AI36" s="60">
        <f>SUM('Ttl 2017-2018'!P37+Total!Z36)</f>
        <v>0</v>
      </c>
      <c r="AJ36" s="60">
        <f>SUM('Ttl 2017-2018'!Q37+Total!AA36)</f>
        <v>0</v>
      </c>
      <c r="AK36" s="60">
        <f>SUM('Ttl 2017-2018'!R37+Total!AB36)</f>
        <v>0</v>
      </c>
      <c r="AL36" s="60">
        <f>SUM('Ttl 2017-2018'!S37+Total!AC36)</f>
        <v>0</v>
      </c>
      <c r="AM36" s="60">
        <f>SUM('Ttl 2017-2018'!T37+Total!AD36)</f>
        <v>0</v>
      </c>
      <c r="AO36" s="7" t="s">
        <v>82</v>
      </c>
      <c r="AP36" s="62">
        <f>SUM(AH36+April!Y36)</f>
        <v>0</v>
      </c>
      <c r="AQ36" s="62">
        <f>SUM(AI36+April!Z36)</f>
        <v>0</v>
      </c>
      <c r="AR36" s="62">
        <f>SUM(AJ36+April!AA36)</f>
        <v>0</v>
      </c>
      <c r="AS36" s="62">
        <f>SUM(AK36+April!AB36)</f>
        <v>0</v>
      </c>
      <c r="AT36" s="62">
        <f>SUM(AL36+April!AC36)</f>
        <v>0</v>
      </c>
      <c r="AU36" s="62">
        <f>SUM(AM36+April!AD36)</f>
        <v>0</v>
      </c>
      <c r="AV36" s="64"/>
      <c r="AW36" s="52" t="str">
        <f t="shared" si="0"/>
        <v>SAMSUL BAHRI (GHAISAN COLLECTION)</v>
      </c>
      <c r="AX36" s="62">
        <f>SUM(AP36+April!AI36)</f>
        <v>0</v>
      </c>
      <c r="AY36" s="62">
        <f>SUM(AQ36+April!AJ36)</f>
        <v>0</v>
      </c>
      <c r="AZ36" s="62">
        <f>SUM(AR36+April!AK36)</f>
        <v>0</v>
      </c>
      <c r="BA36" s="62">
        <f>SUM(AS36+April!AL36)</f>
        <v>0</v>
      </c>
      <c r="BB36" s="62">
        <f>SUM(AT36+April!AM36)</f>
        <v>0</v>
      </c>
      <c r="BC36" s="62">
        <f>SUM(AU36+April!AN36)</f>
        <v>0</v>
      </c>
      <c r="BE36" s="62" t="str">
        <f t="shared" si="1"/>
        <v>SAMSUL BAHRI (GHAISAN COLLECTION)</v>
      </c>
      <c r="BF36" s="62">
        <f>SUM(AX36+April!AS36)</f>
        <v>0</v>
      </c>
      <c r="BG36" s="62">
        <f>SUM(AY36+April!AT36)</f>
        <v>0</v>
      </c>
      <c r="BH36" s="62">
        <f>SUM(AZ36+April!AU36)</f>
        <v>0</v>
      </c>
      <c r="BI36" s="62">
        <f>SUM(BA36+April!AV36)</f>
        <v>0</v>
      </c>
      <c r="BJ36" s="62">
        <f>SUM(BB36+April!AW36)</f>
        <v>0</v>
      </c>
      <c r="BK36" s="62">
        <f>SUM(BC36+April!AX36)</f>
        <v>0</v>
      </c>
    </row>
    <row r="37" spans="2:65" ht="15" customHeight="1" x14ac:dyDescent="0.25">
      <c r="B37" s="54">
        <v>32</v>
      </c>
      <c r="C37" s="55">
        <v>42826</v>
      </c>
      <c r="D37" s="7" t="s">
        <v>86</v>
      </c>
      <c r="E37" s="8">
        <v>26628875</v>
      </c>
      <c r="F37" s="8">
        <v>228025</v>
      </c>
      <c r="G37" s="8">
        <v>26400850</v>
      </c>
      <c r="H37" s="7">
        <v>227</v>
      </c>
      <c r="I37" s="7">
        <v>2</v>
      </c>
      <c r="J37" s="7">
        <v>225</v>
      </c>
      <c r="K37" s="13"/>
      <c r="L37" s="13"/>
      <c r="M37" s="13"/>
      <c r="N37" s="7" t="s">
        <v>86</v>
      </c>
      <c r="O37" s="8">
        <f>SUM(E37+'Ttl 2017-2018'!D38)</f>
        <v>26628875</v>
      </c>
      <c r="P37" s="8">
        <f>SUM(F37+'Ttl 2017-2018'!E38)</f>
        <v>228025</v>
      </c>
      <c r="Q37" s="8">
        <f>SUM(G37+'Ttl 2017-2018'!F38)</f>
        <v>26400850</v>
      </c>
      <c r="R37" s="8">
        <f>SUM(H37+'Ttl 2017-2018'!G38)</f>
        <v>227</v>
      </c>
      <c r="S37" s="8">
        <f>SUM(I37+'Ttl 2017-2018'!H38)</f>
        <v>2</v>
      </c>
      <c r="T37" s="8">
        <f>SUM(J37+'Ttl 2017-2018'!I38)</f>
        <v>225</v>
      </c>
      <c r="V37" s="54">
        <v>32</v>
      </c>
      <c r="W37" s="55">
        <v>43191</v>
      </c>
      <c r="X37" s="7" t="s">
        <v>86</v>
      </c>
      <c r="Y37" s="8">
        <v>2070775</v>
      </c>
      <c r="Z37" s="7">
        <v>0</v>
      </c>
      <c r="AA37" s="8">
        <v>2070775</v>
      </c>
      <c r="AB37" s="7">
        <v>18</v>
      </c>
      <c r="AC37" s="7">
        <v>0</v>
      </c>
      <c r="AD37" s="7">
        <v>18</v>
      </c>
      <c r="AG37" s="7" t="s">
        <v>86</v>
      </c>
      <c r="AH37" s="60">
        <f>SUM('Ttl 2017-2018'!O38+Total!Y37)</f>
        <v>2070775</v>
      </c>
      <c r="AI37" s="60">
        <f>SUM('Ttl 2017-2018'!P38+Total!Z37)</f>
        <v>0</v>
      </c>
      <c r="AJ37" s="60">
        <f>SUM('Ttl 2017-2018'!Q38+Total!AA37)</f>
        <v>2070775</v>
      </c>
      <c r="AK37" s="60">
        <f>SUM('Ttl 2017-2018'!R38+Total!AB37)</f>
        <v>18</v>
      </c>
      <c r="AL37" s="60">
        <f>SUM('Ttl 2017-2018'!S38+Total!AC37)</f>
        <v>0</v>
      </c>
      <c r="AM37" s="60">
        <f>SUM('Ttl 2017-2018'!T38+Total!AD37)</f>
        <v>18</v>
      </c>
      <c r="AO37" s="7" t="s">
        <v>86</v>
      </c>
      <c r="AP37" s="62">
        <f>SUM(AH37+April!Y37)</f>
        <v>4908750</v>
      </c>
      <c r="AQ37" s="62">
        <f>SUM(AI37+April!Z37)</f>
        <v>0</v>
      </c>
      <c r="AR37" s="62">
        <f>SUM(AJ37+April!AA37)</f>
        <v>4908750</v>
      </c>
      <c r="AS37" s="62">
        <f>SUM(AK37+April!AB37)</f>
        <v>45</v>
      </c>
      <c r="AT37" s="62">
        <f>SUM(AL37+April!AC37)</f>
        <v>1</v>
      </c>
      <c r="AU37" s="62">
        <f>SUM(AM37+April!AD37)</f>
        <v>44</v>
      </c>
      <c r="AV37" s="64"/>
      <c r="AW37" s="52" t="str">
        <f t="shared" si="0"/>
        <v>NINA MUTMAINAH - SUKAWANGI</v>
      </c>
      <c r="AX37" s="62">
        <f>SUM(AP37+April!AI37)</f>
        <v>10373038</v>
      </c>
      <c r="AY37" s="62">
        <f>SUM(AQ37+April!AJ37)</f>
        <v>95025</v>
      </c>
      <c r="AZ37" s="62">
        <f>SUM(AR37+April!AK37)</f>
        <v>10278013</v>
      </c>
      <c r="BA37" s="62">
        <f>SUM(AS37+April!AL37)</f>
        <v>97</v>
      </c>
      <c r="BB37" s="62">
        <f>SUM(AT37+April!AM37)</f>
        <v>2</v>
      </c>
      <c r="BC37" s="62">
        <f>SUM(AU37+April!AN37)</f>
        <v>95</v>
      </c>
      <c r="BE37" s="62" t="str">
        <f t="shared" si="1"/>
        <v>NINA MUTMAINAH - SUKAWANGI</v>
      </c>
      <c r="BF37" s="62">
        <f>SUM(AX37+April!AS37)</f>
        <v>18104713</v>
      </c>
      <c r="BG37" s="62">
        <f>SUM(AY37+April!AT37)</f>
        <v>315088</v>
      </c>
      <c r="BH37" s="62">
        <f>SUM(AZ37+April!AU37)</f>
        <v>17789626</v>
      </c>
      <c r="BI37" s="62">
        <f>SUM(BA37+April!AV37)</f>
        <v>173</v>
      </c>
      <c r="BJ37" s="62">
        <f>SUM(BB37+April!AW37)</f>
        <v>4</v>
      </c>
      <c r="BK37" s="62">
        <f>SUM(BC37+April!AX37)</f>
        <v>169</v>
      </c>
    </row>
    <row r="38" spans="2:65" ht="15" customHeight="1" x14ac:dyDescent="0.25">
      <c r="B38" s="54">
        <v>33</v>
      </c>
      <c r="C38" s="55">
        <v>42826</v>
      </c>
      <c r="D38" s="7" t="s">
        <v>88</v>
      </c>
      <c r="E38" s="8">
        <v>28576450</v>
      </c>
      <c r="F38" s="8">
        <v>4388225</v>
      </c>
      <c r="G38" s="8">
        <v>24188225</v>
      </c>
      <c r="H38" s="7">
        <v>266</v>
      </c>
      <c r="I38" s="7">
        <v>43</v>
      </c>
      <c r="J38" s="7">
        <v>223</v>
      </c>
      <c r="K38" s="13"/>
      <c r="L38" s="13"/>
      <c r="M38" s="13"/>
      <c r="N38" s="7" t="s">
        <v>88</v>
      </c>
      <c r="O38" s="8">
        <f>SUM(E38+'Ttl 2017-2018'!D39)</f>
        <v>28576450</v>
      </c>
      <c r="P38" s="8">
        <f>SUM(F38+'Ttl 2017-2018'!E39)</f>
        <v>4388225</v>
      </c>
      <c r="Q38" s="8">
        <f>SUM(G38+'Ttl 2017-2018'!F39)</f>
        <v>24188225</v>
      </c>
      <c r="R38" s="8">
        <f>SUM(H38+'Ttl 2017-2018'!G39)</f>
        <v>266</v>
      </c>
      <c r="S38" s="8">
        <f>SUM(I38+'Ttl 2017-2018'!H39)</f>
        <v>43</v>
      </c>
      <c r="T38" s="8">
        <f>SUM(J38+'Ttl 2017-2018'!I39)</f>
        <v>223</v>
      </c>
      <c r="V38" s="54">
        <v>33</v>
      </c>
      <c r="W38" s="55">
        <v>43191</v>
      </c>
      <c r="X38" s="7" t="s">
        <v>88</v>
      </c>
      <c r="Y38" s="8">
        <v>1917825</v>
      </c>
      <c r="Z38" s="8">
        <v>221113</v>
      </c>
      <c r="AA38" s="8">
        <v>1696713</v>
      </c>
      <c r="AB38" s="7">
        <v>16</v>
      </c>
      <c r="AC38" s="7">
        <v>1</v>
      </c>
      <c r="AD38" s="7">
        <v>15</v>
      </c>
      <c r="AG38" s="7" t="s">
        <v>88</v>
      </c>
      <c r="AH38" s="60">
        <f>SUM('Ttl 2017-2018'!O39+Total!Y38)</f>
        <v>1917825</v>
      </c>
      <c r="AI38" s="60">
        <f>SUM('Ttl 2017-2018'!P39+Total!Z38)</f>
        <v>221113</v>
      </c>
      <c r="AJ38" s="60">
        <f>SUM('Ttl 2017-2018'!Q39+Total!AA38)</f>
        <v>1696713</v>
      </c>
      <c r="AK38" s="60">
        <f>SUM('Ttl 2017-2018'!R39+Total!AB38)</f>
        <v>16</v>
      </c>
      <c r="AL38" s="60">
        <f>SUM('Ttl 2017-2018'!S39+Total!AC38)</f>
        <v>1</v>
      </c>
      <c r="AM38" s="60">
        <f>SUM('Ttl 2017-2018'!T39+Total!AD38)</f>
        <v>15</v>
      </c>
      <c r="AO38" s="7" t="s">
        <v>88</v>
      </c>
      <c r="AP38" s="62">
        <f>SUM(AH38+April!Y38)</f>
        <v>4308763</v>
      </c>
      <c r="AQ38" s="62">
        <f>SUM(AI38+April!Z38)</f>
        <v>567263</v>
      </c>
      <c r="AR38" s="62">
        <f>SUM(AJ38+April!AA38)</f>
        <v>3741501</v>
      </c>
      <c r="AS38" s="62">
        <f>SUM(AK38+April!AB38)</f>
        <v>36</v>
      </c>
      <c r="AT38" s="62">
        <f>SUM(AL38+April!AC38)</f>
        <v>4</v>
      </c>
      <c r="AU38" s="62">
        <f>SUM(AM38+April!AD38)</f>
        <v>32</v>
      </c>
      <c r="AV38" s="64"/>
      <c r="AW38" s="52" t="str">
        <f t="shared" si="0"/>
        <v>ARIF RAHMAN HAKIM</v>
      </c>
      <c r="AX38" s="62">
        <f>SUM(AP38+April!AI38)</f>
        <v>7919713</v>
      </c>
      <c r="AY38" s="62">
        <f>SUM(AQ38+April!AJ38)</f>
        <v>913413</v>
      </c>
      <c r="AZ38" s="62">
        <f>SUM(AR38+April!AK38)</f>
        <v>7006301</v>
      </c>
      <c r="BA38" s="62">
        <f>SUM(AS38+April!AL38)</f>
        <v>68</v>
      </c>
      <c r="BB38" s="62">
        <f>SUM(AT38+April!AM38)</f>
        <v>10</v>
      </c>
      <c r="BC38" s="62">
        <f>SUM(AU38+April!AN38)</f>
        <v>58</v>
      </c>
      <c r="BE38" s="62" t="str">
        <f t="shared" si="1"/>
        <v>ARIF RAHMAN HAKIM</v>
      </c>
      <c r="BF38" s="62">
        <f>SUM(AX38+April!AS38)</f>
        <v>12037813</v>
      </c>
      <c r="BG38" s="62">
        <f>SUM(AY38+April!AT38)</f>
        <v>1662676</v>
      </c>
      <c r="BH38" s="62">
        <f>SUM(AZ38+April!AU38)</f>
        <v>10375139</v>
      </c>
      <c r="BI38" s="62">
        <f>SUM(BA38+April!AV38)</f>
        <v>105</v>
      </c>
      <c r="BJ38" s="62">
        <f>SUM(BB38+April!AW38)</f>
        <v>18</v>
      </c>
      <c r="BK38" s="62">
        <f>SUM(BC38+April!AX38)</f>
        <v>87</v>
      </c>
    </row>
    <row r="39" spans="2:65" ht="15" customHeight="1" x14ac:dyDescent="0.25">
      <c r="B39" s="54">
        <v>34</v>
      </c>
      <c r="C39" s="55">
        <v>42826</v>
      </c>
      <c r="D39" s="7" t="s">
        <v>90</v>
      </c>
      <c r="E39" s="8">
        <v>23753625</v>
      </c>
      <c r="F39" s="7">
        <v>0</v>
      </c>
      <c r="G39" s="8">
        <v>23753625</v>
      </c>
      <c r="H39" s="7">
        <v>336</v>
      </c>
      <c r="I39" s="7">
        <v>0</v>
      </c>
      <c r="J39" s="7">
        <v>336</v>
      </c>
      <c r="K39" s="13"/>
      <c r="L39" s="13"/>
      <c r="M39" s="13"/>
      <c r="N39" s="7" t="s">
        <v>90</v>
      </c>
      <c r="O39" s="8">
        <f>SUM(E39+'Ttl 2017-2018'!D40)</f>
        <v>23753625</v>
      </c>
      <c r="P39" s="8">
        <f>SUM(F39+'Ttl 2017-2018'!E40)</f>
        <v>0</v>
      </c>
      <c r="Q39" s="8">
        <f>SUM(G39+'Ttl 2017-2018'!F40)</f>
        <v>23753625</v>
      </c>
      <c r="R39" s="8">
        <f>SUM(H39+'Ttl 2017-2018'!G40)</f>
        <v>336</v>
      </c>
      <c r="S39" s="8">
        <f>SUM(I39+'Ttl 2017-2018'!H40)</f>
        <v>0</v>
      </c>
      <c r="T39" s="8">
        <f>SUM(J39+'Ttl 2017-2018'!I40)</f>
        <v>336</v>
      </c>
      <c r="V39" s="54">
        <v>34</v>
      </c>
      <c r="W39" s="55">
        <v>43191</v>
      </c>
      <c r="X39" s="7" t="s">
        <v>115</v>
      </c>
      <c r="Y39" s="8">
        <v>521238</v>
      </c>
      <c r="Z39" s="7">
        <v>0</v>
      </c>
      <c r="AA39" s="8">
        <v>521238</v>
      </c>
      <c r="AB39" s="7">
        <v>5</v>
      </c>
      <c r="AC39" s="7">
        <v>0</v>
      </c>
      <c r="AD39" s="7">
        <v>5</v>
      </c>
      <c r="AG39" s="7" t="s">
        <v>90</v>
      </c>
      <c r="AH39" s="60">
        <f>SUM('Ttl 2017-2018'!O40+Total!Y39)</f>
        <v>521238</v>
      </c>
      <c r="AI39" s="60">
        <f>SUM('Ttl 2017-2018'!P40+Total!Z39)</f>
        <v>0</v>
      </c>
      <c r="AJ39" s="60">
        <f>SUM('Ttl 2017-2018'!Q40+Total!AA39)</f>
        <v>521238</v>
      </c>
      <c r="AK39" s="60">
        <f>SUM('Ttl 2017-2018'!R40+Total!AB39)</f>
        <v>5</v>
      </c>
      <c r="AL39" s="60">
        <f>SUM('Ttl 2017-2018'!S40+Total!AC39)</f>
        <v>0</v>
      </c>
      <c r="AM39" s="60">
        <f>SUM('Ttl 2017-2018'!T40+Total!AD39)</f>
        <v>5</v>
      </c>
      <c r="AO39" s="7" t="s">
        <v>90</v>
      </c>
      <c r="AP39" s="62">
        <f>SUM(AH39+April!Y39)</f>
        <v>1517251</v>
      </c>
      <c r="AQ39" s="62">
        <f>SUM(AI39+April!Z39)</f>
        <v>0</v>
      </c>
      <c r="AR39" s="62">
        <f>SUM(AJ39+April!AA39)</f>
        <v>1517251</v>
      </c>
      <c r="AS39" s="62">
        <f>SUM(AK39+April!AB39)</f>
        <v>14</v>
      </c>
      <c r="AT39" s="62">
        <f>SUM(AL39+April!AC39)</f>
        <v>0</v>
      </c>
      <c r="AU39" s="62">
        <f>SUM(AM39+April!AD39)</f>
        <v>14</v>
      </c>
      <c r="AV39" s="64"/>
      <c r="AW39" s="52" t="str">
        <f t="shared" si="0"/>
        <v>ANIP  SANATA (ASSUNAH MART)</v>
      </c>
      <c r="AX39" s="62">
        <f>SUM(AP39+April!AI39)</f>
        <v>10844751</v>
      </c>
      <c r="AY39" s="62">
        <f>SUM(AQ39+April!AJ39)</f>
        <v>0</v>
      </c>
      <c r="AZ39" s="62">
        <f>SUM(AR39+April!AK39)</f>
        <v>10844751</v>
      </c>
      <c r="BA39" s="62">
        <f>SUM(AS39+April!AL39)</f>
        <v>214</v>
      </c>
      <c r="BB39" s="62">
        <f>SUM(AT39+April!AM39)</f>
        <v>0</v>
      </c>
      <c r="BC39" s="62">
        <f>SUM(AU39+April!AN39)</f>
        <v>214</v>
      </c>
      <c r="BE39" s="62" t="str">
        <f t="shared" si="1"/>
        <v>ANIP  SANATA (ASSUNAH MART)</v>
      </c>
      <c r="BF39" s="62">
        <f>SUM(AX39+April!AS39)</f>
        <v>20277339</v>
      </c>
      <c r="BG39" s="62">
        <f>SUM(AY39+April!AT39)</f>
        <v>0</v>
      </c>
      <c r="BH39" s="62">
        <f>SUM(AZ39+April!AU39)</f>
        <v>20277339</v>
      </c>
      <c r="BI39" s="62">
        <f>SUM(BA39+April!AV39)</f>
        <v>415</v>
      </c>
      <c r="BJ39" s="62">
        <f>SUM(BB39+April!AW39)</f>
        <v>0</v>
      </c>
      <c r="BK39" s="62">
        <f>SUM(BC39+April!AX39)</f>
        <v>415</v>
      </c>
    </row>
    <row r="40" spans="2:65" ht="15" customHeight="1" x14ac:dyDescent="0.25">
      <c r="B40" s="54">
        <v>35</v>
      </c>
      <c r="C40" s="55">
        <v>42826</v>
      </c>
      <c r="D40" s="7" t="s">
        <v>92</v>
      </c>
      <c r="E40" s="8">
        <v>29798738</v>
      </c>
      <c r="F40" s="8">
        <v>8093750</v>
      </c>
      <c r="G40" s="8">
        <v>21704988</v>
      </c>
      <c r="H40" s="7">
        <v>295</v>
      </c>
      <c r="I40" s="7">
        <v>73</v>
      </c>
      <c r="J40" s="7">
        <v>222</v>
      </c>
      <c r="K40" s="13"/>
      <c r="L40" s="13"/>
      <c r="M40" s="13"/>
      <c r="N40" s="7" t="s">
        <v>92</v>
      </c>
      <c r="O40" s="8">
        <f>SUM(E40+'Ttl 2017-2018'!D41)</f>
        <v>29798738</v>
      </c>
      <c r="P40" s="8">
        <f>SUM(F40+'Ttl 2017-2018'!E41)</f>
        <v>8093750</v>
      </c>
      <c r="Q40" s="8">
        <f>SUM(G40+'Ttl 2017-2018'!F41)</f>
        <v>21704988</v>
      </c>
      <c r="R40" s="8">
        <f>SUM(H40+'Ttl 2017-2018'!G41)</f>
        <v>295</v>
      </c>
      <c r="S40" s="8">
        <f>SUM(I40+'Ttl 2017-2018'!H41)</f>
        <v>73</v>
      </c>
      <c r="T40" s="8">
        <f>SUM(J40+'Ttl 2017-2018'!I41)</f>
        <v>222</v>
      </c>
      <c r="V40" s="54">
        <v>35</v>
      </c>
      <c r="W40" s="55">
        <v>43191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G40" s="7" t="s">
        <v>92</v>
      </c>
      <c r="AH40" s="60">
        <f>SUM('Ttl 2017-2018'!O41+Total!Y40)</f>
        <v>0</v>
      </c>
      <c r="AI40" s="60">
        <f>SUM('Ttl 2017-2018'!P41+Total!Z40)</f>
        <v>0</v>
      </c>
      <c r="AJ40" s="60">
        <f>SUM('Ttl 2017-2018'!Q41+Total!AA40)</f>
        <v>0</v>
      </c>
      <c r="AK40" s="60">
        <f>SUM('Ttl 2017-2018'!R41+Total!AB40)</f>
        <v>0</v>
      </c>
      <c r="AL40" s="60">
        <f>SUM('Ttl 2017-2018'!S41+Total!AC40)</f>
        <v>0</v>
      </c>
      <c r="AM40" s="60">
        <f>SUM('Ttl 2017-2018'!T41+Total!AD40)</f>
        <v>0</v>
      </c>
      <c r="AO40" s="7" t="s">
        <v>92</v>
      </c>
      <c r="AP40" s="62">
        <f>SUM(AH40+April!Y40)</f>
        <v>0</v>
      </c>
      <c r="AQ40" s="62">
        <f>SUM(AI40+April!Z40)</f>
        <v>0</v>
      </c>
      <c r="AR40" s="62">
        <f>SUM(AJ40+April!AA40)</f>
        <v>0</v>
      </c>
      <c r="AS40" s="62">
        <f>SUM(AK40+April!AB40)</f>
        <v>0</v>
      </c>
      <c r="AT40" s="62">
        <f>SUM(AL40+April!AC40)</f>
        <v>0</v>
      </c>
      <c r="AU40" s="62">
        <f>SUM(AM40+April!AD40)</f>
        <v>0</v>
      </c>
      <c r="AV40" s="64"/>
      <c r="AW40" s="52" t="str">
        <f t="shared" si="0"/>
        <v>LIGART JAYA  </v>
      </c>
      <c r="AX40" s="62">
        <f>SUM(AP40+April!AI40)</f>
        <v>0</v>
      </c>
      <c r="AY40" s="62">
        <f>SUM(AQ40+April!AJ40)</f>
        <v>0</v>
      </c>
      <c r="AZ40" s="62">
        <f>SUM(AR40+April!AK40)</f>
        <v>0</v>
      </c>
      <c r="BA40" s="62">
        <f>SUM(AS40+April!AL40)</f>
        <v>0</v>
      </c>
      <c r="BB40" s="62">
        <f>SUM(AT40+April!AM40)</f>
        <v>0</v>
      </c>
      <c r="BC40" s="62">
        <f>SUM(AU40+April!AN40)</f>
        <v>0</v>
      </c>
      <c r="BE40" s="62" t="str">
        <f t="shared" si="1"/>
        <v>LIGART JAYA  </v>
      </c>
      <c r="BF40" s="62">
        <f>SUM(AX40+April!AS40)</f>
        <v>0</v>
      </c>
      <c r="BG40" s="62">
        <f>SUM(AY40+April!AT40)</f>
        <v>0</v>
      </c>
      <c r="BH40" s="62">
        <f>SUM(AZ40+April!AU40)</f>
        <v>0</v>
      </c>
      <c r="BI40" s="62">
        <f>SUM(BA40+April!AV40)</f>
        <v>0</v>
      </c>
      <c r="BJ40" s="62">
        <f>SUM(BB40+April!AW40)</f>
        <v>0</v>
      </c>
      <c r="BK40" s="62">
        <f>SUM(BC40+April!AX40)</f>
        <v>0</v>
      </c>
    </row>
    <row r="41" spans="2:65" ht="15" customHeight="1" x14ac:dyDescent="0.25">
      <c r="B41" s="54">
        <v>37</v>
      </c>
      <c r="C41" s="55">
        <v>42826</v>
      </c>
      <c r="D41" s="7" t="s">
        <v>94</v>
      </c>
      <c r="E41" s="8">
        <v>21465763</v>
      </c>
      <c r="F41" s="8">
        <v>-58000</v>
      </c>
      <c r="G41" s="8">
        <v>21523763</v>
      </c>
      <c r="H41" s="7">
        <v>138</v>
      </c>
      <c r="I41" s="7">
        <v>0</v>
      </c>
      <c r="J41" s="7">
        <v>138</v>
      </c>
      <c r="K41" s="13"/>
      <c r="L41" s="13"/>
      <c r="M41" s="13"/>
      <c r="N41" s="7" t="s">
        <v>94</v>
      </c>
      <c r="O41" s="8">
        <f>SUM(E41+'Ttl 2017-2018'!D42)</f>
        <v>21465763</v>
      </c>
      <c r="P41" s="8">
        <f>SUM(F41+'Ttl 2017-2018'!E42)</f>
        <v>-58000</v>
      </c>
      <c r="Q41" s="8">
        <f>SUM(G41+'Ttl 2017-2018'!F42)</f>
        <v>21523763</v>
      </c>
      <c r="R41" s="8">
        <f>SUM(H41+'Ttl 2017-2018'!G42)</f>
        <v>138</v>
      </c>
      <c r="S41" s="8">
        <f>SUM(I41+'Ttl 2017-2018'!H42)</f>
        <v>0</v>
      </c>
      <c r="T41" s="8">
        <f>SUM(J41+'Ttl 2017-2018'!I42)</f>
        <v>138</v>
      </c>
      <c r="V41" s="54">
        <v>36</v>
      </c>
      <c r="W41" s="55">
        <v>43191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G41" s="7" t="s">
        <v>94</v>
      </c>
      <c r="AH41" s="60">
        <f>SUM('Ttl 2017-2018'!O42+Total!Y41)</f>
        <v>0</v>
      </c>
      <c r="AI41" s="60">
        <f>SUM('Ttl 2017-2018'!P42+Total!Z41)</f>
        <v>0</v>
      </c>
      <c r="AJ41" s="60">
        <f>SUM('Ttl 2017-2018'!Q42+Total!AA41)</f>
        <v>0</v>
      </c>
      <c r="AK41" s="60">
        <f>SUM('Ttl 2017-2018'!R42+Total!AB41)</f>
        <v>0</v>
      </c>
      <c r="AL41" s="60">
        <f>SUM('Ttl 2017-2018'!S42+Total!AC41)</f>
        <v>0</v>
      </c>
      <c r="AM41" s="60">
        <f>SUM('Ttl 2017-2018'!T42+Total!AD41)</f>
        <v>0</v>
      </c>
      <c r="AO41" s="7" t="s">
        <v>94</v>
      </c>
      <c r="AP41" s="62">
        <f>SUM(AH41+April!Y41)</f>
        <v>0</v>
      </c>
      <c r="AQ41" s="62">
        <f>SUM(AI41+April!Z41)</f>
        <v>0</v>
      </c>
      <c r="AR41" s="62">
        <f>SUM(AJ41+April!AA41)</f>
        <v>0</v>
      </c>
      <c r="AS41" s="62">
        <f>SUM(AK41+April!AB41)</f>
        <v>0</v>
      </c>
      <c r="AT41" s="62">
        <f>SUM(AL41+April!AC41)</f>
        <v>0</v>
      </c>
      <c r="AU41" s="62">
        <f>SUM(AM41+April!AD41)</f>
        <v>0</v>
      </c>
      <c r="AV41" s="64"/>
      <c r="AW41" s="52" t="str">
        <f t="shared" si="0"/>
        <v>FERI D WAHYUDI</v>
      </c>
      <c r="AX41" s="62">
        <f>SUM(AP41+April!AI41)</f>
        <v>0</v>
      </c>
      <c r="AY41" s="62">
        <f>SUM(AQ41+April!AJ41)</f>
        <v>0</v>
      </c>
      <c r="AZ41" s="62">
        <f>SUM(AR41+April!AK41)</f>
        <v>0</v>
      </c>
      <c r="BA41" s="62">
        <f>SUM(AS41+April!AL41)</f>
        <v>0</v>
      </c>
      <c r="BB41" s="62">
        <f>SUM(AT41+April!AM41)</f>
        <v>0</v>
      </c>
      <c r="BC41" s="62">
        <f>SUM(AU41+April!AN41)</f>
        <v>0</v>
      </c>
      <c r="BE41" s="62" t="str">
        <f t="shared" si="1"/>
        <v>FERI D WAHYUDI</v>
      </c>
      <c r="BF41" s="62">
        <f>SUM(AX41+April!AS41)</f>
        <v>0</v>
      </c>
      <c r="BG41" s="62">
        <f>SUM(AY41+April!AT41)</f>
        <v>0</v>
      </c>
      <c r="BH41" s="62">
        <f>SUM(AZ41+April!AU41)</f>
        <v>0</v>
      </c>
      <c r="BI41" s="62">
        <f>SUM(BA41+April!AV41)</f>
        <v>0</v>
      </c>
      <c r="BJ41" s="62">
        <f>SUM(BB41+April!AW41)</f>
        <v>0</v>
      </c>
      <c r="BK41" s="62">
        <f>SUM(BC41+April!AX41)</f>
        <v>0</v>
      </c>
    </row>
    <row r="42" spans="2:65" ht="15" customHeight="1" x14ac:dyDescent="0.25">
      <c r="B42" s="54">
        <v>38</v>
      </c>
      <c r="C42" s="55">
        <v>42826</v>
      </c>
      <c r="D42" s="7" t="s">
        <v>99</v>
      </c>
      <c r="E42" s="8">
        <v>27153875</v>
      </c>
      <c r="F42" s="8">
        <v>8750300</v>
      </c>
      <c r="G42" s="8">
        <v>18403575</v>
      </c>
      <c r="H42" s="7">
        <v>247</v>
      </c>
      <c r="I42" s="7">
        <v>95</v>
      </c>
      <c r="J42" s="7">
        <v>152</v>
      </c>
      <c r="K42" s="13"/>
      <c r="L42" s="13"/>
      <c r="M42" s="13"/>
      <c r="N42" s="7" t="s">
        <v>99</v>
      </c>
      <c r="O42" s="8">
        <f>SUM(E42+'Ttl 2017-2018'!D43)</f>
        <v>27153875</v>
      </c>
      <c r="P42" s="8">
        <f>SUM(F42+'Ttl 2017-2018'!E43)</f>
        <v>8750300</v>
      </c>
      <c r="Q42" s="8">
        <f>SUM(G42+'Ttl 2017-2018'!F43)</f>
        <v>18403575</v>
      </c>
      <c r="R42" s="8">
        <f>SUM(H42+'Ttl 2017-2018'!G43)</f>
        <v>247</v>
      </c>
      <c r="S42" s="8">
        <f>SUM(I42+'Ttl 2017-2018'!H43)</f>
        <v>95</v>
      </c>
      <c r="T42" s="8">
        <f>SUM(J42+'Ttl 2017-2018'!I43)</f>
        <v>152</v>
      </c>
      <c r="V42" s="54">
        <v>37</v>
      </c>
      <c r="W42" s="55">
        <v>43191</v>
      </c>
      <c r="X42" s="7" t="s">
        <v>99</v>
      </c>
      <c r="Y42" s="8">
        <v>2716438</v>
      </c>
      <c r="Z42" s="8">
        <v>240888</v>
      </c>
      <c r="AA42" s="8">
        <v>2475550</v>
      </c>
      <c r="AB42" s="7">
        <v>19</v>
      </c>
      <c r="AC42" s="7">
        <v>0</v>
      </c>
      <c r="AD42" s="7">
        <v>19</v>
      </c>
      <c r="AG42" s="7" t="s">
        <v>99</v>
      </c>
      <c r="AH42" s="60">
        <f>SUM('Ttl 2017-2018'!O43+Total!Y42)</f>
        <v>2716438</v>
      </c>
      <c r="AI42" s="60">
        <f>SUM('Ttl 2017-2018'!P43+Total!Z42)</f>
        <v>240888</v>
      </c>
      <c r="AJ42" s="60">
        <f>SUM('Ttl 2017-2018'!Q43+Total!AA42)</f>
        <v>2475550</v>
      </c>
      <c r="AK42" s="60">
        <f>SUM('Ttl 2017-2018'!R43+Total!AB42)</f>
        <v>19</v>
      </c>
      <c r="AL42" s="60">
        <f>SUM('Ttl 2017-2018'!S43+Total!AC42)</f>
        <v>0</v>
      </c>
      <c r="AM42" s="60">
        <f>SUM('Ttl 2017-2018'!T43+Total!AD42)</f>
        <v>19</v>
      </c>
      <c r="AO42" s="7" t="s">
        <v>99</v>
      </c>
      <c r="AP42" s="62">
        <f>SUM(AH42+April!Y42)</f>
        <v>5432876</v>
      </c>
      <c r="AQ42" s="62">
        <f>SUM(AI42+April!Z42)</f>
        <v>481776</v>
      </c>
      <c r="AR42" s="62">
        <f>SUM(AJ42+April!AA42)</f>
        <v>4951100</v>
      </c>
      <c r="AS42" s="62">
        <f>SUM(AK42+April!AB42)</f>
        <v>38</v>
      </c>
      <c r="AT42" s="62">
        <f>SUM(AL42+April!AC42)</f>
        <v>0</v>
      </c>
      <c r="AU42" s="62">
        <f>SUM(AM42+April!AD42)</f>
        <v>38</v>
      </c>
      <c r="AV42" s="64"/>
      <c r="AW42" s="52" t="str">
        <f t="shared" si="0"/>
        <v>YANYAN HERYANA</v>
      </c>
      <c r="AX42" s="62">
        <f>SUM(AP42+April!AI42)</f>
        <v>14163714</v>
      </c>
      <c r="AY42" s="62">
        <f>SUM(AQ42+April!AJ42)</f>
        <v>1932089</v>
      </c>
      <c r="AZ42" s="62">
        <f>SUM(AR42+April!AK42)</f>
        <v>12231625</v>
      </c>
      <c r="BA42" s="62">
        <f>SUM(AS42+April!AL42)</f>
        <v>106</v>
      </c>
      <c r="BB42" s="62">
        <f>SUM(AT42+April!AM42)</f>
        <v>9</v>
      </c>
      <c r="BC42" s="62">
        <f>SUM(AU42+April!AN42)</f>
        <v>97</v>
      </c>
      <c r="BE42" s="62" t="str">
        <f t="shared" si="1"/>
        <v>YANYAN HERYANA</v>
      </c>
      <c r="BF42" s="62">
        <f>SUM(AX42+April!AS42)</f>
        <v>25200614</v>
      </c>
      <c r="BG42" s="62">
        <f>SUM(AY42+April!AT42)</f>
        <v>3866452</v>
      </c>
      <c r="BH42" s="62">
        <f>SUM(AZ42+April!AU42)</f>
        <v>21334163</v>
      </c>
      <c r="BI42" s="62">
        <f>SUM(BA42+April!AV42)</f>
        <v>195</v>
      </c>
      <c r="BJ42" s="62">
        <f>SUM(BB42+April!AW42)</f>
        <v>24</v>
      </c>
      <c r="BK42" s="62">
        <f>SUM(BC42+April!AX42)</f>
        <v>171</v>
      </c>
    </row>
    <row r="43" spans="2:65" ht="15" customHeight="1" x14ac:dyDescent="0.25">
      <c r="B43" s="54">
        <v>39</v>
      </c>
      <c r="C43" s="55">
        <v>42826</v>
      </c>
      <c r="D43" s="7" t="s">
        <v>103</v>
      </c>
      <c r="E43" s="8">
        <v>16017050</v>
      </c>
      <c r="F43" s="8">
        <v>493763</v>
      </c>
      <c r="G43" s="8">
        <v>15523288</v>
      </c>
      <c r="H43" s="7">
        <v>154</v>
      </c>
      <c r="I43" s="7">
        <v>4</v>
      </c>
      <c r="J43" s="7">
        <v>150</v>
      </c>
      <c r="K43" s="13"/>
      <c r="L43" s="13"/>
      <c r="M43" s="13"/>
      <c r="N43" s="7" t="s">
        <v>103</v>
      </c>
      <c r="O43" s="8">
        <f>SUM(E43+'Ttl 2017-2018'!D44)</f>
        <v>16017050</v>
      </c>
      <c r="P43" s="8">
        <f>SUM(F43+'Ttl 2017-2018'!E44)</f>
        <v>493763</v>
      </c>
      <c r="Q43" s="8">
        <f>SUM(G43+'Ttl 2017-2018'!F44)</f>
        <v>15523288</v>
      </c>
      <c r="R43" s="8">
        <f>SUM(H43+'Ttl 2017-2018'!G44)</f>
        <v>154</v>
      </c>
      <c r="S43" s="8">
        <f>SUM(I43+'Ttl 2017-2018'!H44)</f>
        <v>4</v>
      </c>
      <c r="T43" s="8">
        <f>SUM(J43+'Ttl 2017-2018'!I44)</f>
        <v>150</v>
      </c>
      <c r="V43" s="54">
        <v>38</v>
      </c>
      <c r="W43" s="55">
        <v>43191</v>
      </c>
      <c r="X43" s="7" t="s">
        <v>103</v>
      </c>
      <c r="Y43" s="8">
        <v>3134163</v>
      </c>
      <c r="Z43" s="7">
        <v>0</v>
      </c>
      <c r="AA43" s="8">
        <v>3134163</v>
      </c>
      <c r="AB43" s="7">
        <v>32</v>
      </c>
      <c r="AC43" s="7">
        <v>0</v>
      </c>
      <c r="AD43" s="7">
        <v>32</v>
      </c>
      <c r="AG43" s="7" t="s">
        <v>103</v>
      </c>
      <c r="AH43" s="60">
        <f>SUM('Ttl 2017-2018'!O44+Total!Y43)</f>
        <v>3134163</v>
      </c>
      <c r="AI43" s="60">
        <f>SUM('Ttl 2017-2018'!P44+Total!Z43)</f>
        <v>0</v>
      </c>
      <c r="AJ43" s="60">
        <f>SUM('Ttl 2017-2018'!Q44+Total!AA43)</f>
        <v>3134163</v>
      </c>
      <c r="AK43" s="60">
        <f>SUM('Ttl 2017-2018'!R44+Total!AB43)</f>
        <v>32</v>
      </c>
      <c r="AL43" s="60">
        <f>SUM('Ttl 2017-2018'!S44+Total!AC43)</f>
        <v>0</v>
      </c>
      <c r="AM43" s="60">
        <f>SUM('Ttl 2017-2018'!T44+Total!AD43)</f>
        <v>32</v>
      </c>
      <c r="AO43" s="7" t="s">
        <v>103</v>
      </c>
      <c r="AP43" s="62">
        <f>SUM(AH43+April!Y43)</f>
        <v>8430626</v>
      </c>
      <c r="AQ43" s="62">
        <f>SUM(AI43+April!Z43)</f>
        <v>714700</v>
      </c>
      <c r="AR43" s="62">
        <f>SUM(AJ43+April!AA43)</f>
        <v>7715926</v>
      </c>
      <c r="AS43" s="62">
        <f>SUM(AK43+April!AB43)</f>
        <v>84</v>
      </c>
      <c r="AT43" s="62">
        <f>SUM(AL43+April!AC43)</f>
        <v>7</v>
      </c>
      <c r="AU43" s="62">
        <f>SUM(AM43+April!AD43)</f>
        <v>77</v>
      </c>
      <c r="AV43" s="64"/>
      <c r="AW43" s="52" t="str">
        <f t="shared" si="0"/>
        <v>PP - PRIMA PERKASA</v>
      </c>
      <c r="AX43" s="62">
        <f>SUM(AP43+April!AI43)</f>
        <v>14103601</v>
      </c>
      <c r="AY43" s="62">
        <f>SUM(AQ43+April!AJ43)</f>
        <v>1429400</v>
      </c>
      <c r="AZ43" s="62">
        <f>SUM(AR43+April!AK43)</f>
        <v>12674201</v>
      </c>
      <c r="BA43" s="62">
        <f>SUM(AS43+April!AL43)</f>
        <v>138</v>
      </c>
      <c r="BB43" s="62">
        <f>SUM(AT43+April!AM43)</f>
        <v>14</v>
      </c>
      <c r="BC43" s="62">
        <f>SUM(AU43+April!AN43)</f>
        <v>124</v>
      </c>
      <c r="BE43" s="62" t="str">
        <f t="shared" si="1"/>
        <v>PP - PRIMA PERKASA</v>
      </c>
      <c r="BF43" s="62">
        <f>SUM(AX43+April!AS43)</f>
        <v>22829101</v>
      </c>
      <c r="BG43" s="62">
        <f>SUM(AY43+April!AT43)</f>
        <v>2607150</v>
      </c>
      <c r="BH43" s="62">
        <f>SUM(AZ43+April!AU43)</f>
        <v>20221951</v>
      </c>
      <c r="BI43" s="62">
        <f>SUM(BA43+April!AV43)</f>
        <v>219</v>
      </c>
      <c r="BJ43" s="62">
        <f>SUM(BB43+April!AW43)</f>
        <v>26</v>
      </c>
      <c r="BK43" s="62">
        <f>SUM(BC43+April!AX43)</f>
        <v>193</v>
      </c>
    </row>
    <row r="44" spans="2:65" ht="15" customHeight="1" x14ac:dyDescent="0.25">
      <c r="B44" s="54">
        <v>40</v>
      </c>
      <c r="C44" s="55">
        <v>42826</v>
      </c>
      <c r="D44" s="7" t="s">
        <v>106</v>
      </c>
      <c r="E44" s="8">
        <v>14565075</v>
      </c>
      <c r="F44" s="8">
        <v>2545375</v>
      </c>
      <c r="G44" s="8">
        <v>12019700</v>
      </c>
      <c r="H44" s="7">
        <v>143</v>
      </c>
      <c r="I44" s="7">
        <v>25</v>
      </c>
      <c r="J44" s="7">
        <v>118</v>
      </c>
      <c r="K44" s="13"/>
      <c r="L44" s="13"/>
      <c r="M44" s="13"/>
      <c r="N44" s="7" t="s">
        <v>106</v>
      </c>
      <c r="O44" s="8">
        <f>SUM(E44+'Ttl 2017-2018'!D45)</f>
        <v>14565075</v>
      </c>
      <c r="P44" s="8">
        <f>SUM(F44+'Ttl 2017-2018'!E45)</f>
        <v>2545375</v>
      </c>
      <c r="Q44" s="8">
        <f>SUM(G44+'Ttl 2017-2018'!F45)</f>
        <v>12019700</v>
      </c>
      <c r="R44" s="8">
        <f>SUM(H44+'Ttl 2017-2018'!G45)</f>
        <v>143</v>
      </c>
      <c r="S44" s="8">
        <f>SUM(I44+'Ttl 2017-2018'!H45)</f>
        <v>25</v>
      </c>
      <c r="T44" s="8">
        <f>SUM(J44+'Ttl 2017-2018'!I45)</f>
        <v>118</v>
      </c>
      <c r="V44" s="54">
        <v>39</v>
      </c>
      <c r="W44" s="55">
        <v>43191</v>
      </c>
      <c r="X44" s="7" t="s">
        <v>106</v>
      </c>
      <c r="Y44" s="8">
        <v>1010625</v>
      </c>
      <c r="Z44" s="7">
        <v>0</v>
      </c>
      <c r="AA44" s="8">
        <v>1010625</v>
      </c>
      <c r="AB44" s="7">
        <v>10</v>
      </c>
      <c r="AC44" s="7">
        <v>0</v>
      </c>
      <c r="AD44" s="7">
        <v>10</v>
      </c>
      <c r="AG44" s="7" t="s">
        <v>106</v>
      </c>
      <c r="AH44" s="60">
        <f>SUM('Ttl 2017-2018'!O45+Total!Y44)</f>
        <v>1010625</v>
      </c>
      <c r="AI44" s="60">
        <f>SUM('Ttl 2017-2018'!P45+Total!Z44)</f>
        <v>0</v>
      </c>
      <c r="AJ44" s="60">
        <f>SUM('Ttl 2017-2018'!Q45+Total!AA44)</f>
        <v>1010625</v>
      </c>
      <c r="AK44" s="60">
        <f>SUM('Ttl 2017-2018'!R45+Total!AB44)</f>
        <v>10</v>
      </c>
      <c r="AL44" s="60">
        <f>SUM('Ttl 2017-2018'!S45+Total!AC44)</f>
        <v>0</v>
      </c>
      <c r="AM44" s="60">
        <f>SUM('Ttl 2017-2018'!T45+Total!AD44)</f>
        <v>10</v>
      </c>
      <c r="AO44" s="7" t="s">
        <v>106</v>
      </c>
      <c r="AP44" s="62">
        <f>SUM(AH44+April!Y44)</f>
        <v>2326275</v>
      </c>
      <c r="AQ44" s="62">
        <f>SUM(AI44+April!Z44)</f>
        <v>275975</v>
      </c>
      <c r="AR44" s="62">
        <f>SUM(AJ44+April!AA44)</f>
        <v>2050300</v>
      </c>
      <c r="AS44" s="62">
        <f>SUM(AK44+April!AB44)</f>
        <v>22</v>
      </c>
      <c r="AT44" s="62">
        <f>SUM(AL44+April!AC44)</f>
        <v>3</v>
      </c>
      <c r="AU44" s="62">
        <f>SUM(AM44+April!AD44)</f>
        <v>19</v>
      </c>
      <c r="AV44" s="64"/>
      <c r="AW44" s="52" t="str">
        <f t="shared" si="0"/>
        <v>DWI HARYANTO</v>
      </c>
      <c r="AX44" s="62">
        <f>SUM(AP44+April!AI44)</f>
        <v>4489275</v>
      </c>
      <c r="AY44" s="62">
        <f>SUM(AQ44+April!AJ44)</f>
        <v>1001963</v>
      </c>
      <c r="AZ44" s="62">
        <f>SUM(AR44+April!AK44)</f>
        <v>3487313</v>
      </c>
      <c r="BA44" s="62">
        <f>SUM(AS44+April!AL44)</f>
        <v>43</v>
      </c>
      <c r="BB44" s="62">
        <f>SUM(AT44+April!AM44)</f>
        <v>10</v>
      </c>
      <c r="BC44" s="62">
        <f>SUM(AU44+April!AN44)</f>
        <v>33</v>
      </c>
      <c r="BE44" s="62" t="str">
        <f t="shared" si="1"/>
        <v>DWI HARYANTO</v>
      </c>
      <c r="BF44" s="62">
        <f>SUM(AX44+April!AS44)</f>
        <v>4489275</v>
      </c>
      <c r="BG44" s="62">
        <f>SUM(AY44+April!AT44)</f>
        <v>1001963</v>
      </c>
      <c r="BH44" s="62">
        <f>SUM(AZ44+April!AU44)</f>
        <v>3487313</v>
      </c>
      <c r="BI44" s="62">
        <f>SUM(BA44+April!AV44)</f>
        <v>43</v>
      </c>
      <c r="BJ44" s="62">
        <f>SUM(BB44+April!AW44)</f>
        <v>10</v>
      </c>
      <c r="BK44" s="62">
        <f>SUM(BC44+April!AX44)</f>
        <v>33</v>
      </c>
    </row>
    <row r="45" spans="2:65" ht="15" customHeight="1" x14ac:dyDescent="0.25">
      <c r="B45" s="54">
        <v>41</v>
      </c>
      <c r="C45" s="55">
        <v>42826</v>
      </c>
      <c r="D45" s="7" t="s">
        <v>110</v>
      </c>
      <c r="E45" s="8">
        <v>7144200</v>
      </c>
      <c r="F45" s="7">
        <v>0</v>
      </c>
      <c r="G45" s="8">
        <v>7144200</v>
      </c>
      <c r="H45" s="7">
        <v>72</v>
      </c>
      <c r="I45" s="7">
        <v>0</v>
      </c>
      <c r="J45" s="7">
        <v>72</v>
      </c>
      <c r="K45" s="13"/>
      <c r="L45" s="13"/>
      <c r="M45" s="13"/>
      <c r="N45" s="7" t="s">
        <v>110</v>
      </c>
      <c r="O45" s="8">
        <f>SUM(E45+'Ttl 2017-2018'!D46)</f>
        <v>7144200</v>
      </c>
      <c r="P45" s="8">
        <f>SUM(F45+'Ttl 2017-2018'!E46)</f>
        <v>0</v>
      </c>
      <c r="Q45" s="8">
        <f>SUM(G45+'Ttl 2017-2018'!F46)</f>
        <v>7144200</v>
      </c>
      <c r="R45" s="8">
        <f>SUM(H45+'Ttl 2017-2018'!G46)</f>
        <v>72</v>
      </c>
      <c r="S45" s="8">
        <f>SUM(I45+'Ttl 2017-2018'!H46)</f>
        <v>0</v>
      </c>
      <c r="T45" s="8">
        <f>SUM(J45+'Ttl 2017-2018'!I46)</f>
        <v>72</v>
      </c>
      <c r="V45" s="54">
        <v>40</v>
      </c>
      <c r="W45" s="55">
        <v>43191</v>
      </c>
      <c r="X45" s="7" t="s">
        <v>110</v>
      </c>
      <c r="Y45" s="8">
        <v>2295300</v>
      </c>
      <c r="Z45" s="8">
        <v>458500</v>
      </c>
      <c r="AA45" s="8">
        <v>1836800</v>
      </c>
      <c r="AB45" s="7">
        <v>21</v>
      </c>
      <c r="AC45" s="7">
        <v>0</v>
      </c>
      <c r="AD45" s="7">
        <v>21</v>
      </c>
      <c r="AG45" s="7" t="s">
        <v>110</v>
      </c>
      <c r="AH45" s="60">
        <f>SUM('Ttl 2017-2018'!O46+Total!Y45)</f>
        <v>2295300</v>
      </c>
      <c r="AI45" s="60">
        <f>SUM('Ttl 2017-2018'!P46+Total!Z45)</f>
        <v>458500</v>
      </c>
      <c r="AJ45" s="60">
        <f>SUM('Ttl 2017-2018'!Q46+Total!AA45)</f>
        <v>1836800</v>
      </c>
      <c r="AK45" s="60">
        <f>SUM('Ttl 2017-2018'!R46+Total!AB45)</f>
        <v>21</v>
      </c>
      <c r="AL45" s="60">
        <f>SUM('Ttl 2017-2018'!S46+Total!AC45)</f>
        <v>0</v>
      </c>
      <c r="AM45" s="60">
        <f>SUM('Ttl 2017-2018'!T46+Total!AD45)</f>
        <v>21</v>
      </c>
      <c r="AO45" s="7" t="s">
        <v>110</v>
      </c>
      <c r="AP45" s="62">
        <f>SUM(AH45+April!Y45)</f>
        <v>7040600</v>
      </c>
      <c r="AQ45" s="62">
        <f>SUM(AI45+April!Z45)</f>
        <v>917000</v>
      </c>
      <c r="AR45" s="62">
        <f>SUM(AJ45+April!AA45)</f>
        <v>6123600</v>
      </c>
      <c r="AS45" s="62">
        <f>SUM(AK45+April!AB45)</f>
        <v>64</v>
      </c>
      <c r="AT45" s="62">
        <f>SUM(AL45+April!AC45)</f>
        <v>0</v>
      </c>
      <c r="AU45" s="62">
        <f>SUM(AM45+April!AD45)</f>
        <v>64</v>
      </c>
      <c r="AV45" s="64"/>
      <c r="AW45" s="52" t="str">
        <f t="shared" si="0"/>
        <v>HW FASHION BANDUNG</v>
      </c>
      <c r="AX45" s="62">
        <f>SUM(AP45+April!AI45)</f>
        <v>16473013</v>
      </c>
      <c r="AY45" s="62">
        <f>SUM(AQ45+April!AJ45)</f>
        <v>1375500</v>
      </c>
      <c r="AZ45" s="62">
        <f>SUM(AR45+April!AK45)</f>
        <v>15097513</v>
      </c>
      <c r="BA45" s="62">
        <f>SUM(AS45+April!AL45)</f>
        <v>148</v>
      </c>
      <c r="BB45" s="62">
        <f>SUM(AT45+April!AM45)</f>
        <v>0</v>
      </c>
      <c r="BC45" s="62">
        <f>SUM(AU45+April!AN45)</f>
        <v>148</v>
      </c>
      <c r="BE45" s="62" t="str">
        <f t="shared" si="1"/>
        <v>HW FASHION BANDUNG</v>
      </c>
      <c r="BF45" s="62">
        <f>SUM(AX45+April!AS45)</f>
        <v>30126426</v>
      </c>
      <c r="BG45" s="62">
        <f>SUM(AY45+April!AT45)</f>
        <v>1834000</v>
      </c>
      <c r="BH45" s="62">
        <f>SUM(AZ45+April!AU45)</f>
        <v>28292426</v>
      </c>
      <c r="BI45" s="62">
        <f>SUM(BA45+April!AV45)</f>
        <v>272</v>
      </c>
      <c r="BJ45" s="62">
        <f>SUM(BB45+April!AW45)</f>
        <v>0</v>
      </c>
      <c r="BK45" s="62">
        <f>SUM(BC45+April!AX45)</f>
        <v>272</v>
      </c>
    </row>
    <row r="46" spans="2:65" x14ac:dyDescent="0.25">
      <c r="V46" s="1"/>
      <c r="W46" s="2"/>
      <c r="X46" s="3"/>
      <c r="Y46" s="4"/>
      <c r="Z46" s="4"/>
      <c r="AA46" s="4"/>
      <c r="AB46" s="3"/>
      <c r="AC46" s="3"/>
      <c r="AD46" s="3"/>
      <c r="AP46" s="6"/>
      <c r="AQ46" s="6"/>
      <c r="AR46" s="6"/>
      <c r="AS46" s="6"/>
      <c r="AT46" s="6"/>
      <c r="AU46" s="6"/>
      <c r="AV46" s="6"/>
      <c r="BE46" s="7" t="s">
        <v>123</v>
      </c>
      <c r="BF46" s="8">
        <v>33040525</v>
      </c>
      <c r="BG46" s="8">
        <v>9140513</v>
      </c>
      <c r="BH46" s="8">
        <v>23900013</v>
      </c>
      <c r="BI46" s="7">
        <v>325</v>
      </c>
      <c r="BJ46" s="7">
        <v>112</v>
      </c>
      <c r="BK46" s="7">
        <v>213</v>
      </c>
    </row>
    <row r="47" spans="2:65" x14ac:dyDescent="0.25">
      <c r="V47" s="1"/>
      <c r="W47" s="2"/>
      <c r="X47" s="3"/>
      <c r="Y47" s="4"/>
      <c r="Z47" s="4"/>
      <c r="AA47" s="4"/>
      <c r="AB47" s="3"/>
      <c r="AC47" s="3"/>
      <c r="AD47" s="3"/>
      <c r="BE47" s="7" t="s">
        <v>124</v>
      </c>
      <c r="BF47" s="8">
        <v>21024150</v>
      </c>
      <c r="BG47" s="8">
        <v>4423224</v>
      </c>
      <c r="BH47" s="8">
        <v>16600927</v>
      </c>
      <c r="BI47" s="7">
        <v>203</v>
      </c>
      <c r="BJ47" s="7">
        <v>39</v>
      </c>
      <c r="BK47" s="7">
        <v>164</v>
      </c>
    </row>
    <row r="48" spans="2:65" x14ac:dyDescent="0.25">
      <c r="BE48" s="7" t="s">
        <v>125</v>
      </c>
      <c r="BF48" s="8">
        <v>18916188</v>
      </c>
      <c r="BG48" s="8">
        <v>2374663</v>
      </c>
      <c r="BH48" s="8">
        <v>16541525</v>
      </c>
      <c r="BI48" s="7">
        <v>174</v>
      </c>
      <c r="BJ48" s="7">
        <v>24</v>
      </c>
      <c r="BK48" s="7">
        <v>150</v>
      </c>
    </row>
    <row r="49" spans="57:63" x14ac:dyDescent="0.25">
      <c r="BE49" s="7" t="s">
        <v>126</v>
      </c>
      <c r="BF49" s="8">
        <v>18381738</v>
      </c>
      <c r="BG49" s="8">
        <v>3292538</v>
      </c>
      <c r="BH49" s="8">
        <v>15089200</v>
      </c>
      <c r="BI49" s="7">
        <v>180</v>
      </c>
      <c r="BJ49" s="7">
        <v>34</v>
      </c>
      <c r="BK49" s="7">
        <v>146</v>
      </c>
    </row>
    <row r="50" spans="57:63" x14ac:dyDescent="0.25">
      <c r="BE50" s="7" t="s">
        <v>127</v>
      </c>
      <c r="BF50" s="8">
        <v>17744125</v>
      </c>
      <c r="BG50" s="8">
        <v>3457825</v>
      </c>
      <c r="BH50" s="8">
        <v>14286300</v>
      </c>
      <c r="BI50" s="7">
        <v>166</v>
      </c>
      <c r="BJ50" s="7">
        <v>29</v>
      </c>
      <c r="BK50" s="7">
        <v>137</v>
      </c>
    </row>
    <row r="51" spans="57:63" x14ac:dyDescent="0.25">
      <c r="BE51" s="7" t="s">
        <v>128</v>
      </c>
      <c r="BF51" s="8">
        <v>15571063</v>
      </c>
      <c r="BG51" s="8">
        <v>2687825</v>
      </c>
      <c r="BH51" s="8">
        <v>12883238</v>
      </c>
      <c r="BI51" s="7">
        <v>152</v>
      </c>
      <c r="BJ51" s="7">
        <v>35</v>
      </c>
      <c r="BK51" s="7">
        <v>117</v>
      </c>
    </row>
    <row r="52" spans="57:63" x14ac:dyDescent="0.25">
      <c r="BE52" s="7" t="s">
        <v>129</v>
      </c>
      <c r="BF52" s="8">
        <v>15376375</v>
      </c>
      <c r="BG52" s="8">
        <v>2782850</v>
      </c>
      <c r="BH52" s="8">
        <v>12593525</v>
      </c>
      <c r="BI52" s="7">
        <v>142</v>
      </c>
      <c r="BJ52" s="7">
        <v>26</v>
      </c>
      <c r="BK52" s="7">
        <v>116</v>
      </c>
    </row>
    <row r="53" spans="57:63" x14ac:dyDescent="0.25">
      <c r="BE53" s="7" t="s">
        <v>130</v>
      </c>
      <c r="BF53" s="8">
        <v>17766088</v>
      </c>
      <c r="BG53" s="8">
        <v>5119188</v>
      </c>
      <c r="BH53" s="8">
        <v>12646900</v>
      </c>
      <c r="BI53" s="7">
        <v>163</v>
      </c>
      <c r="BJ53" s="7">
        <v>43</v>
      </c>
      <c r="BK53" s="7">
        <v>120</v>
      </c>
    </row>
    <row r="54" spans="57:63" x14ac:dyDescent="0.25">
      <c r="BE54" s="7" t="s">
        <v>131</v>
      </c>
      <c r="BF54" s="8">
        <v>15419600</v>
      </c>
      <c r="BG54" s="8">
        <v>2053888</v>
      </c>
      <c r="BH54" s="8">
        <v>13365713</v>
      </c>
      <c r="BI54" s="7">
        <v>144</v>
      </c>
      <c r="BJ54" s="7">
        <v>18</v>
      </c>
      <c r="BK54" s="7">
        <v>126</v>
      </c>
    </row>
    <row r="55" spans="57:63" x14ac:dyDescent="0.25">
      <c r="BE55" s="7" t="s">
        <v>129</v>
      </c>
      <c r="BF55" s="8">
        <v>15376375</v>
      </c>
      <c r="BG55" s="8">
        <v>2782850</v>
      </c>
      <c r="BH55" s="8">
        <v>12593525</v>
      </c>
      <c r="BI55" s="7">
        <v>142</v>
      </c>
      <c r="BJ55" s="7">
        <v>26</v>
      </c>
      <c r="BK55" s="7">
        <v>116</v>
      </c>
    </row>
    <row r="56" spans="57:63" x14ac:dyDescent="0.25">
      <c r="BE56" s="7" t="s">
        <v>132</v>
      </c>
      <c r="BF56" s="8">
        <v>13302888</v>
      </c>
      <c r="BG56" s="8">
        <v>1555138</v>
      </c>
      <c r="BH56" s="8">
        <v>11747750</v>
      </c>
      <c r="BI56" s="7">
        <v>125</v>
      </c>
      <c r="BJ56" s="7">
        <v>14</v>
      </c>
      <c r="BK56" s="7">
        <v>111</v>
      </c>
    </row>
    <row r="57" spans="57:63" x14ac:dyDescent="0.25">
      <c r="BE57" s="7" t="s">
        <v>133</v>
      </c>
      <c r="BF57" s="8">
        <v>10601413</v>
      </c>
      <c r="BG57" s="8">
        <v>985688</v>
      </c>
      <c r="BH57" s="8">
        <v>9615725</v>
      </c>
      <c r="BI57" s="7">
        <v>97</v>
      </c>
      <c r="BJ57" s="7">
        <v>10</v>
      </c>
      <c r="BK57" s="7">
        <v>87</v>
      </c>
    </row>
    <row r="58" spans="57:63" x14ac:dyDescent="0.25">
      <c r="BE58" s="7" t="s">
        <v>134</v>
      </c>
      <c r="BF58" s="8">
        <v>10341100</v>
      </c>
      <c r="BG58" s="8">
        <v>2087925</v>
      </c>
      <c r="BH58" s="8">
        <v>8253175</v>
      </c>
      <c r="BI58" s="7">
        <v>101</v>
      </c>
      <c r="BJ58" s="7">
        <v>22</v>
      </c>
      <c r="BK58" s="7">
        <v>79</v>
      </c>
    </row>
    <row r="59" spans="57:63" x14ac:dyDescent="0.25">
      <c r="BE59" s="7" t="s">
        <v>135</v>
      </c>
      <c r="BF59" s="8">
        <v>6779675</v>
      </c>
      <c r="BG59" s="8">
        <v>2612663</v>
      </c>
      <c r="BH59" s="8">
        <v>4167013</v>
      </c>
      <c r="BI59" s="7">
        <v>64</v>
      </c>
      <c r="BJ59" s="7">
        <v>24</v>
      </c>
      <c r="BK59" s="7">
        <v>40</v>
      </c>
    </row>
  </sheetData>
  <mergeCells count="7">
    <mergeCell ref="BE3:BK3"/>
    <mergeCell ref="AW3:BC3"/>
    <mergeCell ref="B3:J3"/>
    <mergeCell ref="V3:AD3"/>
    <mergeCell ref="N3:T3"/>
    <mergeCell ref="AG3:AM3"/>
    <mergeCell ref="AO3:AU3"/>
  </mergeCells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topLeftCell="AK34" workbookViewId="0">
      <selection activeCell="AS34" sqref="AS34"/>
    </sheetView>
  </sheetViews>
  <sheetFormatPr defaultRowHeight="15" x14ac:dyDescent="0.25"/>
  <cols>
    <col min="1" max="1" width="9.5703125" bestFit="1" customWidth="1"/>
    <col min="2" max="2" width="3.5703125" bestFit="1" customWidth="1"/>
    <col min="3" max="3" width="6.85546875" bestFit="1" customWidth="1"/>
    <col min="4" max="4" width="36.7109375" customWidth="1"/>
    <col min="5" max="5" width="11.140625" bestFit="1" customWidth="1"/>
    <col min="6" max="6" width="10.42578125" bestFit="1" customWidth="1"/>
    <col min="7" max="7" width="12.5703125" bestFit="1" customWidth="1"/>
    <col min="8" max="8" width="11.140625" bestFit="1" customWidth="1"/>
    <col min="9" max="9" width="12.5703125" bestFit="1" customWidth="1"/>
    <col min="14" max="14" width="31.140625" bestFit="1" customWidth="1"/>
    <col min="15" max="15" width="10.140625" bestFit="1" customWidth="1"/>
    <col min="16" max="16" width="10.42578125" bestFit="1" customWidth="1"/>
    <col min="17" max="17" width="12.5703125" bestFit="1" customWidth="1"/>
    <col min="18" max="18" width="11.140625" bestFit="1" customWidth="1"/>
    <col min="19" max="19" width="12.5703125" bestFit="1" customWidth="1"/>
    <col min="22" max="22" width="10.140625" bestFit="1" customWidth="1"/>
    <col min="24" max="24" width="36.140625" bestFit="1" customWidth="1"/>
    <col min="25" max="25" width="10.140625" bestFit="1" customWidth="1"/>
    <col min="26" max="26" width="10.42578125" bestFit="1" customWidth="1"/>
    <col min="27" max="27" width="12.5703125" bestFit="1" customWidth="1"/>
    <col min="28" max="28" width="11.140625" bestFit="1" customWidth="1"/>
    <col min="29" max="29" width="12.5703125" bestFit="1" customWidth="1"/>
    <col min="32" max="32" width="10.140625" bestFit="1" customWidth="1"/>
    <col min="34" max="34" width="36.140625" bestFit="1" customWidth="1"/>
    <col min="35" max="35" width="11.140625" bestFit="1" customWidth="1"/>
    <col min="36" max="36" width="10.42578125" bestFit="1" customWidth="1"/>
    <col min="37" max="37" width="12.5703125" bestFit="1" customWidth="1"/>
    <col min="38" max="38" width="11.140625" bestFit="1" customWidth="1"/>
    <col min="39" max="39" width="12.5703125" bestFit="1" customWidth="1"/>
    <col min="42" max="43" width="10.140625" bestFit="1" customWidth="1"/>
    <col min="44" max="44" width="27.42578125" bestFit="1" customWidth="1"/>
    <col min="45" max="45" width="11.140625" bestFit="1" customWidth="1"/>
    <col min="46" max="46" width="10.42578125" bestFit="1" customWidth="1"/>
    <col min="47" max="47" width="12.5703125" bestFit="1" customWidth="1"/>
    <col min="48" max="48" width="11.140625" bestFit="1" customWidth="1"/>
    <col min="49" max="49" width="12.5703125" bestFit="1" customWidth="1"/>
  </cols>
  <sheetData>
    <row r="1" spans="1:51" x14ac:dyDescent="0.25">
      <c r="A1" s="58" t="s">
        <v>116</v>
      </c>
      <c r="V1" s="58" t="s">
        <v>116</v>
      </c>
      <c r="AF1" s="58" t="s">
        <v>116</v>
      </c>
      <c r="AP1" s="58" t="s">
        <v>116</v>
      </c>
    </row>
    <row r="2" spans="1:51" x14ac:dyDescent="0.25">
      <c r="A2" s="59">
        <v>43197</v>
      </c>
      <c r="V2" s="59">
        <v>43204</v>
      </c>
      <c r="AF2" s="59">
        <v>43211</v>
      </c>
      <c r="AP2" s="59">
        <v>43218</v>
      </c>
    </row>
    <row r="3" spans="1:51" ht="15.75" x14ac:dyDescent="0.25">
      <c r="B3" s="71" t="s">
        <v>114</v>
      </c>
      <c r="C3" s="71"/>
      <c r="D3" s="71"/>
      <c r="E3" s="71"/>
      <c r="F3" s="71"/>
      <c r="G3" s="71"/>
      <c r="H3" s="71"/>
      <c r="I3" s="71"/>
      <c r="J3" s="71"/>
      <c r="L3" s="71" t="s">
        <v>121</v>
      </c>
      <c r="M3" s="71"/>
      <c r="N3" s="71"/>
      <c r="O3" s="71"/>
      <c r="P3" s="71"/>
      <c r="Q3" s="71"/>
      <c r="R3" s="71"/>
      <c r="S3" s="71"/>
      <c r="T3" s="71"/>
      <c r="V3" s="71" t="s">
        <v>120</v>
      </c>
      <c r="W3" s="71"/>
      <c r="X3" s="71"/>
      <c r="Y3" s="71"/>
      <c r="Z3" s="71"/>
      <c r="AA3" s="71"/>
      <c r="AB3" s="71"/>
      <c r="AC3" s="71"/>
      <c r="AD3" s="71"/>
      <c r="AF3" s="71" t="s">
        <v>122</v>
      </c>
      <c r="AG3" s="71"/>
      <c r="AH3" s="71"/>
      <c r="AI3" s="71"/>
      <c r="AJ3" s="71"/>
      <c r="AK3" s="71"/>
      <c r="AL3" s="71"/>
      <c r="AM3" s="71"/>
      <c r="AN3" s="71"/>
      <c r="AQ3" s="71" t="s">
        <v>136</v>
      </c>
      <c r="AR3" s="71"/>
      <c r="AS3" s="71"/>
      <c r="AT3" s="71"/>
      <c r="AU3" s="71"/>
      <c r="AV3" s="71"/>
      <c r="AW3" s="71"/>
      <c r="AX3" s="71"/>
      <c r="AY3" s="71"/>
    </row>
    <row r="5" spans="1:51" x14ac:dyDescent="0.25">
      <c r="B5" s="53" t="s">
        <v>70</v>
      </c>
      <c r="C5" s="53" t="s">
        <v>71</v>
      </c>
      <c r="D5" s="53" t="s">
        <v>3</v>
      </c>
      <c r="E5" s="53" t="s">
        <v>4</v>
      </c>
      <c r="F5" s="53" t="s">
        <v>5</v>
      </c>
      <c r="G5" s="53" t="s">
        <v>73</v>
      </c>
      <c r="H5" s="53" t="s">
        <v>7</v>
      </c>
      <c r="I5" s="53" t="s">
        <v>8</v>
      </c>
      <c r="J5" s="53" t="s">
        <v>11</v>
      </c>
      <c r="L5" s="53" t="s">
        <v>70</v>
      </c>
      <c r="M5" s="53" t="s">
        <v>71</v>
      </c>
      <c r="N5" s="53" t="s">
        <v>3</v>
      </c>
      <c r="O5" s="53" t="s">
        <v>4</v>
      </c>
      <c r="P5" s="53" t="s">
        <v>5</v>
      </c>
      <c r="Q5" s="53" t="s">
        <v>73</v>
      </c>
      <c r="R5" s="53" t="s">
        <v>7</v>
      </c>
      <c r="S5" s="53" t="s">
        <v>8</v>
      </c>
      <c r="T5" s="53" t="s">
        <v>11</v>
      </c>
      <c r="V5" s="53" t="s">
        <v>70</v>
      </c>
      <c r="W5" s="53" t="s">
        <v>71</v>
      </c>
      <c r="X5" s="53" t="s">
        <v>3</v>
      </c>
      <c r="Y5" s="53" t="s">
        <v>4</v>
      </c>
      <c r="Z5" s="53" t="s">
        <v>5</v>
      </c>
      <c r="AA5" s="53" t="s">
        <v>73</v>
      </c>
      <c r="AB5" s="53" t="s">
        <v>7</v>
      </c>
      <c r="AC5" s="53" t="s">
        <v>8</v>
      </c>
      <c r="AD5" s="53" t="s">
        <v>11</v>
      </c>
      <c r="AF5" s="53" t="s">
        <v>70</v>
      </c>
      <c r="AG5" s="53" t="s">
        <v>71</v>
      </c>
      <c r="AH5" s="53" t="s">
        <v>3</v>
      </c>
      <c r="AI5" s="53" t="s">
        <v>4</v>
      </c>
      <c r="AJ5" s="53" t="s">
        <v>5</v>
      </c>
      <c r="AK5" s="53" t="s">
        <v>73</v>
      </c>
      <c r="AL5" s="53" t="s">
        <v>7</v>
      </c>
      <c r="AM5" s="53" t="s">
        <v>8</v>
      </c>
      <c r="AN5" s="53" t="s">
        <v>11</v>
      </c>
      <c r="AP5" s="53" t="s">
        <v>70</v>
      </c>
      <c r="AQ5" s="53" t="s">
        <v>71</v>
      </c>
      <c r="AR5" s="53" t="s">
        <v>3</v>
      </c>
      <c r="AS5" s="53" t="s">
        <v>4</v>
      </c>
      <c r="AT5" s="53" t="s">
        <v>5</v>
      </c>
      <c r="AU5" s="53" t="s">
        <v>73</v>
      </c>
      <c r="AV5" s="53" t="s">
        <v>7</v>
      </c>
      <c r="AW5" s="53" t="s">
        <v>8</v>
      </c>
      <c r="AX5" s="53" t="s">
        <v>11</v>
      </c>
    </row>
    <row r="6" spans="1:51" ht="15" customHeight="1" x14ac:dyDescent="0.25">
      <c r="B6" s="54">
        <v>1</v>
      </c>
      <c r="C6" s="55">
        <v>42826</v>
      </c>
      <c r="D6" s="7" t="s">
        <v>75</v>
      </c>
      <c r="E6" s="8">
        <v>230614650</v>
      </c>
      <c r="F6" s="8">
        <v>60295200</v>
      </c>
      <c r="G6" s="8">
        <v>170319450</v>
      </c>
      <c r="H6" s="8">
        <v>2274</v>
      </c>
      <c r="I6" s="7">
        <v>544</v>
      </c>
      <c r="J6" s="8">
        <v>1730</v>
      </c>
      <c r="K6" s="4"/>
      <c r="L6" s="54">
        <v>1</v>
      </c>
      <c r="M6" s="55">
        <v>43191</v>
      </c>
      <c r="N6" s="7" t="s">
        <v>75</v>
      </c>
      <c r="O6" s="8">
        <v>20431950</v>
      </c>
      <c r="P6" s="8">
        <v>2876650</v>
      </c>
      <c r="Q6" s="8">
        <v>17555300</v>
      </c>
      <c r="R6" s="7">
        <v>228</v>
      </c>
      <c r="S6" s="7">
        <v>31</v>
      </c>
      <c r="T6" s="7">
        <v>197</v>
      </c>
      <c r="V6" s="54">
        <v>1</v>
      </c>
      <c r="W6" s="55">
        <v>43191</v>
      </c>
      <c r="X6" s="7" t="s">
        <v>75</v>
      </c>
      <c r="Y6" s="8">
        <v>41361775</v>
      </c>
      <c r="Z6" s="8">
        <v>8902163</v>
      </c>
      <c r="AA6" s="8">
        <v>32459613</v>
      </c>
      <c r="AB6" s="7">
        <v>445</v>
      </c>
      <c r="AC6" s="7">
        <v>87</v>
      </c>
      <c r="AD6" s="7">
        <v>358</v>
      </c>
      <c r="AF6" s="54">
        <v>1</v>
      </c>
      <c r="AG6" s="55">
        <v>43191</v>
      </c>
      <c r="AH6" s="7" t="s">
        <v>75</v>
      </c>
      <c r="AI6" s="8">
        <v>60478075</v>
      </c>
      <c r="AJ6" s="8">
        <v>13625588</v>
      </c>
      <c r="AK6" s="8">
        <v>46852488</v>
      </c>
      <c r="AL6" s="7">
        <v>639</v>
      </c>
      <c r="AM6" s="7">
        <v>144</v>
      </c>
      <c r="AN6" s="7">
        <v>495</v>
      </c>
      <c r="AO6" s="1"/>
      <c r="AP6" s="54">
        <v>1</v>
      </c>
      <c r="AQ6" s="55">
        <v>43191</v>
      </c>
      <c r="AR6" s="7" t="s">
        <v>75</v>
      </c>
      <c r="AS6" s="8">
        <v>68647513</v>
      </c>
      <c r="AT6" s="8">
        <v>17188938</v>
      </c>
      <c r="AU6" s="8">
        <v>51458575</v>
      </c>
      <c r="AV6" s="7">
        <v>719</v>
      </c>
      <c r="AW6" s="7">
        <v>189</v>
      </c>
      <c r="AX6" s="7">
        <v>530</v>
      </c>
    </row>
    <row r="7" spans="1:51" ht="15" customHeight="1" x14ac:dyDescent="0.25">
      <c r="B7" s="54">
        <v>2</v>
      </c>
      <c r="C7" s="55">
        <v>42826</v>
      </c>
      <c r="D7" s="7" t="s">
        <v>76</v>
      </c>
      <c r="E7" s="8">
        <v>173084013</v>
      </c>
      <c r="F7" s="8">
        <v>11519463</v>
      </c>
      <c r="G7" s="8">
        <v>161564550</v>
      </c>
      <c r="H7" s="8">
        <v>1646</v>
      </c>
      <c r="I7" s="7">
        <v>114</v>
      </c>
      <c r="J7" s="8">
        <v>1532</v>
      </c>
      <c r="L7" s="54">
        <v>2</v>
      </c>
      <c r="M7" s="55">
        <v>43191</v>
      </c>
      <c r="N7" s="7" t="s">
        <v>76</v>
      </c>
      <c r="O7" s="8">
        <v>45618913</v>
      </c>
      <c r="P7" s="8">
        <v>3391850</v>
      </c>
      <c r="Q7" s="8">
        <v>42227063</v>
      </c>
      <c r="R7" s="7">
        <v>406</v>
      </c>
      <c r="S7" s="7">
        <v>40</v>
      </c>
      <c r="T7" s="7">
        <v>366</v>
      </c>
      <c r="V7" s="54">
        <v>2</v>
      </c>
      <c r="W7" s="55">
        <v>43191</v>
      </c>
      <c r="X7" s="7" t="s">
        <v>76</v>
      </c>
      <c r="Y7" s="8">
        <v>91380888</v>
      </c>
      <c r="Z7" s="8">
        <v>8268400</v>
      </c>
      <c r="AA7" s="8">
        <v>83112488</v>
      </c>
      <c r="AB7" s="7">
        <v>833</v>
      </c>
      <c r="AC7" s="7">
        <v>86</v>
      </c>
      <c r="AD7" s="7">
        <v>747</v>
      </c>
      <c r="AF7" s="54">
        <v>2</v>
      </c>
      <c r="AG7" s="55">
        <v>43191</v>
      </c>
      <c r="AH7" s="7" t="s">
        <v>76</v>
      </c>
      <c r="AI7" s="8">
        <v>134629338</v>
      </c>
      <c r="AJ7" s="8">
        <v>11593838</v>
      </c>
      <c r="AK7" s="8">
        <v>123035500</v>
      </c>
      <c r="AL7" s="8">
        <v>1227</v>
      </c>
      <c r="AM7" s="7">
        <v>113</v>
      </c>
      <c r="AN7" s="8">
        <v>1114</v>
      </c>
      <c r="AO7" s="1"/>
      <c r="AP7" s="54">
        <v>2</v>
      </c>
      <c r="AQ7" s="55">
        <v>43191</v>
      </c>
      <c r="AR7" s="7" t="s">
        <v>76</v>
      </c>
      <c r="AS7" s="8">
        <v>158710738</v>
      </c>
      <c r="AT7" s="8">
        <v>14387800</v>
      </c>
      <c r="AU7" s="8">
        <v>144322938</v>
      </c>
      <c r="AV7" s="8">
        <v>1456</v>
      </c>
      <c r="AW7" s="7">
        <v>148</v>
      </c>
      <c r="AX7" s="8">
        <v>1308</v>
      </c>
      <c r="AY7" s="3"/>
    </row>
    <row r="8" spans="1:51" ht="15" customHeight="1" x14ac:dyDescent="0.25">
      <c r="B8" s="54">
        <v>3</v>
      </c>
      <c r="C8" s="55">
        <v>42826</v>
      </c>
      <c r="D8" s="7" t="s">
        <v>0</v>
      </c>
      <c r="E8" s="8">
        <v>102040663</v>
      </c>
      <c r="F8" s="8">
        <v>14012250</v>
      </c>
      <c r="G8" s="8">
        <v>88028413</v>
      </c>
      <c r="H8" s="7">
        <v>942</v>
      </c>
      <c r="I8" s="7">
        <v>138</v>
      </c>
      <c r="J8" s="7">
        <v>804</v>
      </c>
      <c r="L8" s="54">
        <v>3</v>
      </c>
      <c r="M8" s="55">
        <v>43191</v>
      </c>
      <c r="N8" s="7" t="s">
        <v>0</v>
      </c>
      <c r="O8" s="8">
        <v>13226150</v>
      </c>
      <c r="P8" s="8">
        <v>443800</v>
      </c>
      <c r="Q8" s="8">
        <v>12782350</v>
      </c>
      <c r="R8" s="7">
        <v>125</v>
      </c>
      <c r="S8" s="7">
        <v>10</v>
      </c>
      <c r="T8" s="7">
        <v>115</v>
      </c>
      <c r="V8" s="54">
        <v>3</v>
      </c>
      <c r="W8" s="55">
        <v>43191</v>
      </c>
      <c r="X8" s="7" t="s">
        <v>0</v>
      </c>
      <c r="Y8" s="8">
        <v>28417813</v>
      </c>
      <c r="Z8" s="8">
        <v>1508938</v>
      </c>
      <c r="AA8" s="8">
        <v>26908875</v>
      </c>
      <c r="AB8" s="7">
        <v>267</v>
      </c>
      <c r="AC8" s="7">
        <v>25</v>
      </c>
      <c r="AD8" s="7">
        <v>242</v>
      </c>
      <c r="AF8" s="54">
        <v>3</v>
      </c>
      <c r="AG8" s="55">
        <v>43191</v>
      </c>
      <c r="AH8" s="7" t="s">
        <v>0</v>
      </c>
      <c r="AI8" s="8">
        <v>38120075</v>
      </c>
      <c r="AJ8" s="8">
        <v>3181763</v>
      </c>
      <c r="AK8" s="8">
        <v>34938313</v>
      </c>
      <c r="AL8" s="7">
        <v>355</v>
      </c>
      <c r="AM8" s="7">
        <v>49</v>
      </c>
      <c r="AN8" s="7">
        <v>306</v>
      </c>
      <c r="AO8" s="1"/>
      <c r="AP8" s="54">
        <v>3</v>
      </c>
      <c r="AQ8" s="55">
        <v>43191</v>
      </c>
      <c r="AR8" s="7" t="s">
        <v>0</v>
      </c>
      <c r="AS8" s="8">
        <v>56534538</v>
      </c>
      <c r="AT8" s="8">
        <v>6149063</v>
      </c>
      <c r="AU8" s="8">
        <v>50385475</v>
      </c>
      <c r="AV8" s="7">
        <v>511</v>
      </c>
      <c r="AW8" s="7">
        <v>66</v>
      </c>
      <c r="AX8" s="7">
        <v>445</v>
      </c>
    </row>
    <row r="9" spans="1:51" ht="15" customHeight="1" x14ac:dyDescent="0.25">
      <c r="B9" s="54">
        <v>4</v>
      </c>
      <c r="C9" s="55">
        <v>42826</v>
      </c>
      <c r="D9" s="7" t="s">
        <v>100</v>
      </c>
      <c r="E9" s="8">
        <v>18096488</v>
      </c>
      <c r="F9" s="7">
        <v>0</v>
      </c>
      <c r="G9" s="8">
        <v>18096488</v>
      </c>
      <c r="H9" s="7">
        <v>178</v>
      </c>
      <c r="I9" s="7">
        <v>1</v>
      </c>
      <c r="J9" s="7">
        <v>177</v>
      </c>
      <c r="L9" s="54">
        <v>4</v>
      </c>
      <c r="M9" s="55">
        <v>43191</v>
      </c>
      <c r="N9" s="7" t="s">
        <v>100</v>
      </c>
      <c r="O9" s="8">
        <v>2193975</v>
      </c>
      <c r="P9" s="8">
        <v>21612</v>
      </c>
      <c r="Q9" s="8">
        <v>2172363</v>
      </c>
      <c r="R9" s="7">
        <v>20</v>
      </c>
      <c r="S9" s="7">
        <v>0</v>
      </c>
      <c r="T9" s="7">
        <v>20</v>
      </c>
      <c r="V9" s="54">
        <v>4</v>
      </c>
      <c r="W9" s="55">
        <v>43191</v>
      </c>
      <c r="X9" s="7" t="s">
        <v>100</v>
      </c>
      <c r="Y9" s="8">
        <v>3183600</v>
      </c>
      <c r="Z9" s="8">
        <v>21612</v>
      </c>
      <c r="AA9" s="8">
        <v>3161988</v>
      </c>
      <c r="AB9" s="7">
        <v>28</v>
      </c>
      <c r="AC9" s="7">
        <v>0</v>
      </c>
      <c r="AD9" s="7">
        <v>28</v>
      </c>
      <c r="AF9" s="54">
        <v>4</v>
      </c>
      <c r="AG9" s="55">
        <v>43191</v>
      </c>
      <c r="AH9" s="7" t="s">
        <v>100</v>
      </c>
      <c r="AI9" s="8">
        <v>5148238</v>
      </c>
      <c r="AJ9" s="8">
        <v>21612</v>
      </c>
      <c r="AK9" s="8">
        <v>5126626</v>
      </c>
      <c r="AL9" s="7">
        <v>47</v>
      </c>
      <c r="AM9" s="7">
        <v>0</v>
      </c>
      <c r="AN9" s="7">
        <v>47</v>
      </c>
      <c r="AO9" s="1"/>
      <c r="AP9" s="54">
        <v>4</v>
      </c>
      <c r="AQ9" s="55">
        <v>43191</v>
      </c>
      <c r="AR9" s="7" t="s">
        <v>100</v>
      </c>
      <c r="AS9" s="8">
        <v>6628125</v>
      </c>
      <c r="AT9" s="8">
        <v>21612</v>
      </c>
      <c r="AU9" s="8">
        <v>6606513</v>
      </c>
      <c r="AV9" s="7">
        <v>65</v>
      </c>
      <c r="AW9" s="7">
        <v>0</v>
      </c>
      <c r="AX9" s="7">
        <v>65</v>
      </c>
    </row>
    <row r="10" spans="1:51" ht="15" customHeight="1" x14ac:dyDescent="0.25">
      <c r="B10" s="54">
        <v>5</v>
      </c>
      <c r="C10" s="55">
        <v>42826</v>
      </c>
      <c r="D10" s="7" t="s">
        <v>96</v>
      </c>
      <c r="E10" s="8">
        <v>21095988</v>
      </c>
      <c r="F10" s="8">
        <v>1500551</v>
      </c>
      <c r="G10" s="8">
        <v>19595437</v>
      </c>
      <c r="H10" s="7">
        <v>181</v>
      </c>
      <c r="I10" s="7">
        <v>9</v>
      </c>
      <c r="J10" s="7">
        <v>172</v>
      </c>
      <c r="L10" s="54">
        <v>5</v>
      </c>
      <c r="M10" s="55">
        <v>43191</v>
      </c>
      <c r="N10" s="7" t="s">
        <v>96</v>
      </c>
      <c r="O10" s="8">
        <v>2406688</v>
      </c>
      <c r="P10" s="8">
        <v>269838</v>
      </c>
      <c r="Q10" s="8">
        <v>2136850</v>
      </c>
      <c r="R10" s="7">
        <v>24</v>
      </c>
      <c r="S10" s="7">
        <v>0</v>
      </c>
      <c r="T10" s="7">
        <v>24</v>
      </c>
      <c r="V10" s="54">
        <v>5</v>
      </c>
      <c r="W10" s="55">
        <v>43191</v>
      </c>
      <c r="X10" s="7" t="s">
        <v>96</v>
      </c>
      <c r="Y10" s="8">
        <v>3866363</v>
      </c>
      <c r="Z10" s="8">
        <v>269838</v>
      </c>
      <c r="AA10" s="8">
        <v>3596525</v>
      </c>
      <c r="AB10" s="7">
        <v>40</v>
      </c>
      <c r="AC10" s="7">
        <v>0</v>
      </c>
      <c r="AD10" s="7">
        <v>40</v>
      </c>
      <c r="AF10" s="54">
        <v>5</v>
      </c>
      <c r="AG10" s="55">
        <v>43191</v>
      </c>
      <c r="AH10" s="7" t="s">
        <v>96</v>
      </c>
      <c r="AI10" s="8">
        <v>5365850</v>
      </c>
      <c r="AJ10" s="8">
        <v>269838</v>
      </c>
      <c r="AK10" s="8">
        <v>5096013</v>
      </c>
      <c r="AL10" s="7">
        <v>55</v>
      </c>
      <c r="AM10" s="7">
        <v>0</v>
      </c>
      <c r="AN10" s="7">
        <v>55</v>
      </c>
      <c r="AO10" s="1"/>
      <c r="AP10" s="54">
        <v>5</v>
      </c>
      <c r="AQ10" s="55">
        <v>43191</v>
      </c>
      <c r="AR10" s="7" t="s">
        <v>96</v>
      </c>
      <c r="AS10" s="8">
        <v>8961838</v>
      </c>
      <c r="AT10" s="8">
        <v>674525</v>
      </c>
      <c r="AU10" s="8">
        <v>8287313</v>
      </c>
      <c r="AV10" s="7">
        <v>87</v>
      </c>
      <c r="AW10" s="7">
        <v>4</v>
      </c>
      <c r="AX10" s="7">
        <v>83</v>
      </c>
    </row>
    <row r="11" spans="1:51" ht="15" customHeight="1" x14ac:dyDescent="0.25">
      <c r="A11" s="67"/>
      <c r="B11" s="3">
        <v>2018</v>
      </c>
      <c r="C11" s="3" t="s">
        <v>77</v>
      </c>
      <c r="D11" s="3">
        <v>550</v>
      </c>
      <c r="E11" s="3">
        <v>550</v>
      </c>
      <c r="F11" s="4">
        <v>1100</v>
      </c>
      <c r="G11" s="3">
        <v>266</v>
      </c>
      <c r="H11" s="4">
        <v>32235675</v>
      </c>
      <c r="I11" s="3">
        <v>0.24</v>
      </c>
      <c r="J11" s="7">
        <v>471</v>
      </c>
      <c r="L11" s="54">
        <v>6</v>
      </c>
      <c r="M11" s="55">
        <v>43191</v>
      </c>
      <c r="N11" s="7" t="s">
        <v>77</v>
      </c>
      <c r="O11" s="8">
        <v>5763800</v>
      </c>
      <c r="P11" s="8">
        <v>1842000</v>
      </c>
      <c r="Q11" s="8">
        <v>3921800</v>
      </c>
      <c r="R11" s="7">
        <v>47</v>
      </c>
      <c r="S11" s="7">
        <v>16</v>
      </c>
      <c r="T11" s="7">
        <v>31</v>
      </c>
      <c r="V11" s="54">
        <v>6</v>
      </c>
      <c r="W11" s="55">
        <v>43191</v>
      </c>
      <c r="X11" s="7" t="s">
        <v>77</v>
      </c>
      <c r="Y11" s="8">
        <v>10179800</v>
      </c>
      <c r="Z11" s="8">
        <v>3433800</v>
      </c>
      <c r="AA11" s="8">
        <v>6746000</v>
      </c>
      <c r="AB11" s="7">
        <v>85</v>
      </c>
      <c r="AC11" s="7">
        <v>31</v>
      </c>
      <c r="AD11" s="7">
        <v>54</v>
      </c>
      <c r="AF11" s="54">
        <v>6</v>
      </c>
      <c r="AG11" s="55">
        <v>43191</v>
      </c>
      <c r="AH11" s="7" t="s">
        <v>77</v>
      </c>
      <c r="AI11" s="8">
        <v>10179800</v>
      </c>
      <c r="AJ11" s="8">
        <v>3433800</v>
      </c>
      <c r="AK11" s="8">
        <v>6746000</v>
      </c>
      <c r="AL11" s="7">
        <v>85</v>
      </c>
      <c r="AM11" s="7">
        <v>31</v>
      </c>
      <c r="AN11" s="7">
        <v>54</v>
      </c>
      <c r="AO11" s="1"/>
      <c r="AP11" s="54">
        <v>6</v>
      </c>
      <c r="AQ11" s="55">
        <v>43191</v>
      </c>
      <c r="AR11" s="7" t="s">
        <v>77</v>
      </c>
      <c r="AS11" s="8">
        <v>19188888</v>
      </c>
      <c r="AT11" s="8">
        <v>4376350</v>
      </c>
      <c r="AU11" s="8">
        <v>14812538</v>
      </c>
      <c r="AV11" s="7">
        <v>167</v>
      </c>
      <c r="AW11" s="7">
        <v>40</v>
      </c>
      <c r="AX11" s="7">
        <v>127</v>
      </c>
    </row>
    <row r="12" spans="1:51" ht="15" customHeight="1" x14ac:dyDescent="0.25">
      <c r="B12" s="54">
        <v>7</v>
      </c>
      <c r="C12" s="55">
        <v>42826</v>
      </c>
      <c r="D12" s="7" t="s">
        <v>80</v>
      </c>
      <c r="E12" s="8">
        <v>47793813</v>
      </c>
      <c r="F12" s="8">
        <v>1454775</v>
      </c>
      <c r="G12" s="8">
        <v>46339038</v>
      </c>
      <c r="H12" s="7">
        <v>410</v>
      </c>
      <c r="I12" s="7">
        <v>13</v>
      </c>
      <c r="J12" s="7">
        <v>397</v>
      </c>
      <c r="L12" s="54">
        <v>7</v>
      </c>
      <c r="M12" s="55">
        <v>43191</v>
      </c>
      <c r="N12" s="7" t="s">
        <v>80</v>
      </c>
      <c r="O12" s="8">
        <v>5176238</v>
      </c>
      <c r="P12" s="8">
        <v>275713</v>
      </c>
      <c r="Q12" s="8">
        <v>4900525</v>
      </c>
      <c r="R12" s="7">
        <v>49</v>
      </c>
      <c r="S12" s="7">
        <v>2</v>
      </c>
      <c r="T12" s="7">
        <v>47</v>
      </c>
      <c r="V12" s="54">
        <v>7</v>
      </c>
      <c r="W12" s="55">
        <v>43191</v>
      </c>
      <c r="X12" s="7" t="s">
        <v>80</v>
      </c>
      <c r="Y12" s="8">
        <v>9869738</v>
      </c>
      <c r="Z12" s="8">
        <v>373713</v>
      </c>
      <c r="AA12" s="8">
        <v>9496025</v>
      </c>
      <c r="AB12" s="7">
        <v>90</v>
      </c>
      <c r="AC12" s="7">
        <v>3</v>
      </c>
      <c r="AD12" s="7">
        <v>87</v>
      </c>
      <c r="AF12" s="54">
        <v>7</v>
      </c>
      <c r="AG12" s="55">
        <v>43191</v>
      </c>
      <c r="AH12" s="7" t="s">
        <v>80</v>
      </c>
      <c r="AI12" s="8">
        <v>18047750</v>
      </c>
      <c r="AJ12" s="8">
        <v>373713</v>
      </c>
      <c r="AK12" s="8">
        <v>17674038</v>
      </c>
      <c r="AL12" s="7">
        <v>162</v>
      </c>
      <c r="AM12" s="7">
        <v>3</v>
      </c>
      <c r="AN12" s="7">
        <v>159</v>
      </c>
      <c r="AO12" s="1"/>
      <c r="AP12" s="54">
        <v>7</v>
      </c>
      <c r="AQ12" s="55">
        <v>43191</v>
      </c>
      <c r="AR12" s="7" t="s">
        <v>80</v>
      </c>
      <c r="AS12" s="8">
        <v>21652313</v>
      </c>
      <c r="AT12" s="8">
        <v>477225</v>
      </c>
      <c r="AU12" s="8">
        <v>21175088</v>
      </c>
      <c r="AV12" s="7">
        <v>196</v>
      </c>
      <c r="AW12" s="7">
        <v>4</v>
      </c>
      <c r="AX12" s="7">
        <v>192</v>
      </c>
    </row>
    <row r="13" spans="1:51" ht="15" customHeight="1" x14ac:dyDescent="0.25">
      <c r="B13" s="54">
        <v>8</v>
      </c>
      <c r="C13" s="55">
        <v>42826</v>
      </c>
      <c r="D13" s="7" t="s">
        <v>97</v>
      </c>
      <c r="E13" s="8">
        <v>20384613</v>
      </c>
      <c r="F13" s="8">
        <v>793538</v>
      </c>
      <c r="G13" s="8">
        <v>19591075</v>
      </c>
      <c r="H13" s="7">
        <v>167</v>
      </c>
      <c r="I13" s="7">
        <v>6</v>
      </c>
      <c r="J13" s="7">
        <v>161</v>
      </c>
      <c r="L13" s="54">
        <v>8</v>
      </c>
      <c r="M13" s="55">
        <v>43191</v>
      </c>
      <c r="N13" s="7" t="s">
        <v>97</v>
      </c>
      <c r="O13" s="8">
        <v>4519113</v>
      </c>
      <c r="P13" s="7">
        <v>0</v>
      </c>
      <c r="Q13" s="8">
        <v>4519113</v>
      </c>
      <c r="R13" s="7">
        <v>42</v>
      </c>
      <c r="S13" s="7">
        <v>0</v>
      </c>
      <c r="T13" s="7">
        <v>42</v>
      </c>
      <c r="V13" s="54">
        <v>8</v>
      </c>
      <c r="W13" s="55">
        <v>43191</v>
      </c>
      <c r="X13" s="7" t="s">
        <v>97</v>
      </c>
      <c r="Y13" s="8">
        <v>8171363</v>
      </c>
      <c r="Z13" s="7">
        <v>0</v>
      </c>
      <c r="AA13" s="8">
        <v>8171363</v>
      </c>
      <c r="AB13" s="7">
        <v>73</v>
      </c>
      <c r="AC13" s="7">
        <v>0</v>
      </c>
      <c r="AD13" s="7">
        <v>73</v>
      </c>
      <c r="AF13" s="54">
        <v>8</v>
      </c>
      <c r="AG13" s="55">
        <v>43191</v>
      </c>
      <c r="AH13" s="7" t="s">
        <v>97</v>
      </c>
      <c r="AI13" s="8">
        <v>11862025</v>
      </c>
      <c r="AJ13" s="8">
        <v>306150</v>
      </c>
      <c r="AK13" s="8">
        <v>11555875</v>
      </c>
      <c r="AL13" s="7">
        <v>105</v>
      </c>
      <c r="AM13" s="7">
        <v>3</v>
      </c>
      <c r="AN13" s="7">
        <v>102</v>
      </c>
      <c r="AO13" s="1"/>
      <c r="AP13" s="54">
        <v>8</v>
      </c>
      <c r="AQ13" s="55">
        <v>43191</v>
      </c>
      <c r="AR13" s="7" t="s">
        <v>97</v>
      </c>
      <c r="AS13" s="8">
        <v>16781450</v>
      </c>
      <c r="AT13" s="8">
        <v>412375</v>
      </c>
      <c r="AU13" s="8">
        <v>16369075</v>
      </c>
      <c r="AV13" s="7">
        <v>142</v>
      </c>
      <c r="AW13" s="7">
        <v>4</v>
      </c>
      <c r="AX13" s="7">
        <v>138</v>
      </c>
    </row>
    <row r="14" spans="1:51" ht="15" customHeight="1" x14ac:dyDescent="0.25">
      <c r="B14" s="54">
        <v>9</v>
      </c>
      <c r="C14" s="55">
        <v>42826</v>
      </c>
      <c r="D14" s="7" t="s">
        <v>95</v>
      </c>
      <c r="E14" s="8">
        <v>24657938</v>
      </c>
      <c r="F14" s="8">
        <v>3148250</v>
      </c>
      <c r="G14" s="8">
        <v>21509688</v>
      </c>
      <c r="H14" s="7">
        <v>229</v>
      </c>
      <c r="I14" s="7">
        <v>26</v>
      </c>
      <c r="J14" s="7">
        <v>203</v>
      </c>
      <c r="L14" s="54">
        <v>9</v>
      </c>
      <c r="M14" s="55">
        <v>43191</v>
      </c>
      <c r="N14" s="7" t="s">
        <v>95</v>
      </c>
      <c r="O14" s="8">
        <v>3788050</v>
      </c>
      <c r="P14" s="8">
        <v>230038</v>
      </c>
      <c r="Q14" s="8">
        <v>3558013</v>
      </c>
      <c r="R14" s="7">
        <v>37</v>
      </c>
      <c r="S14" s="7">
        <v>2</v>
      </c>
      <c r="T14" s="7">
        <v>35</v>
      </c>
      <c r="V14" s="54">
        <v>9</v>
      </c>
      <c r="W14" s="55">
        <v>43191</v>
      </c>
      <c r="X14" s="7" t="s">
        <v>95</v>
      </c>
      <c r="Y14" s="8">
        <v>8081850</v>
      </c>
      <c r="Z14" s="8">
        <v>473113</v>
      </c>
      <c r="AA14" s="8">
        <v>7608738</v>
      </c>
      <c r="AB14" s="7">
        <v>75</v>
      </c>
      <c r="AC14" s="7">
        <v>4</v>
      </c>
      <c r="AD14" s="7">
        <v>71</v>
      </c>
      <c r="AF14" s="54">
        <v>9</v>
      </c>
      <c r="AG14" s="55">
        <v>43191</v>
      </c>
      <c r="AH14" s="7" t="s">
        <v>95</v>
      </c>
      <c r="AI14" s="8">
        <v>13483575</v>
      </c>
      <c r="AJ14" s="8">
        <v>1441213</v>
      </c>
      <c r="AK14" s="8">
        <v>12042363</v>
      </c>
      <c r="AL14" s="7">
        <v>121</v>
      </c>
      <c r="AM14" s="7">
        <v>12</v>
      </c>
      <c r="AN14" s="7">
        <v>109</v>
      </c>
      <c r="AO14" s="1"/>
      <c r="AP14" s="54">
        <v>9</v>
      </c>
      <c r="AQ14" s="55">
        <v>43191</v>
      </c>
      <c r="AR14" s="7" t="s">
        <v>95</v>
      </c>
      <c r="AS14" s="8">
        <v>16350688</v>
      </c>
      <c r="AT14" s="8">
        <v>2259775</v>
      </c>
      <c r="AU14" s="8">
        <v>14090913</v>
      </c>
      <c r="AV14" s="7">
        <v>147</v>
      </c>
      <c r="AW14" s="7">
        <v>17</v>
      </c>
      <c r="AX14" s="7">
        <v>130</v>
      </c>
    </row>
    <row r="15" spans="1:51" ht="15" customHeight="1" x14ac:dyDescent="0.25">
      <c r="B15" s="54">
        <v>10</v>
      </c>
      <c r="C15" s="55">
        <v>42826</v>
      </c>
      <c r="D15" s="7" t="s">
        <v>109</v>
      </c>
      <c r="E15" s="8">
        <v>9385688</v>
      </c>
      <c r="F15" s="8">
        <v>140525</v>
      </c>
      <c r="G15" s="8">
        <v>9245163</v>
      </c>
      <c r="H15" s="7">
        <v>93</v>
      </c>
      <c r="I15" s="7">
        <v>2</v>
      </c>
      <c r="J15" s="7">
        <v>91</v>
      </c>
      <c r="L15" s="54">
        <v>10</v>
      </c>
      <c r="M15" s="55">
        <v>43191</v>
      </c>
      <c r="N15" s="7" t="s">
        <v>109</v>
      </c>
      <c r="O15" s="8">
        <v>3111238</v>
      </c>
      <c r="P15" s="7">
        <v>0</v>
      </c>
      <c r="Q15" s="8">
        <v>3111238</v>
      </c>
      <c r="R15" s="7">
        <v>29</v>
      </c>
      <c r="S15" s="7">
        <v>0</v>
      </c>
      <c r="T15" s="7">
        <v>29</v>
      </c>
      <c r="V15" s="54">
        <v>10</v>
      </c>
      <c r="W15" s="55">
        <v>43191</v>
      </c>
      <c r="X15" s="7" t="s">
        <v>109</v>
      </c>
      <c r="Y15" s="8">
        <v>5022150</v>
      </c>
      <c r="Z15" s="8">
        <v>44000</v>
      </c>
      <c r="AA15" s="8">
        <v>4978150</v>
      </c>
      <c r="AB15" s="7">
        <v>45</v>
      </c>
      <c r="AC15" s="7">
        <v>0</v>
      </c>
      <c r="AD15" s="7">
        <v>45</v>
      </c>
      <c r="AF15" s="54">
        <v>10</v>
      </c>
      <c r="AG15" s="55">
        <v>43191</v>
      </c>
      <c r="AH15" s="7" t="s">
        <v>109</v>
      </c>
      <c r="AI15" s="8">
        <v>8473238</v>
      </c>
      <c r="AJ15" s="8">
        <v>256713</v>
      </c>
      <c r="AK15" s="8">
        <v>8216525</v>
      </c>
      <c r="AL15" s="7">
        <v>76</v>
      </c>
      <c r="AM15" s="7">
        <v>2</v>
      </c>
      <c r="AN15" s="7">
        <v>74</v>
      </c>
      <c r="AO15" s="1"/>
      <c r="AP15" s="54">
        <v>10</v>
      </c>
      <c r="AQ15" s="55">
        <v>43191</v>
      </c>
      <c r="AR15" s="7" t="s">
        <v>109</v>
      </c>
      <c r="AS15" s="8">
        <v>11813113</v>
      </c>
      <c r="AT15" s="8">
        <v>401000</v>
      </c>
      <c r="AU15" s="8">
        <v>11412113</v>
      </c>
      <c r="AV15" s="7">
        <v>104</v>
      </c>
      <c r="AW15" s="7">
        <v>3</v>
      </c>
      <c r="AX15" s="7">
        <v>101</v>
      </c>
    </row>
    <row r="16" spans="1:51" ht="15" customHeight="1" x14ac:dyDescent="0.25">
      <c r="B16" s="54">
        <v>11</v>
      </c>
      <c r="C16" s="55">
        <v>42826</v>
      </c>
      <c r="D16" s="7" t="s">
        <v>84</v>
      </c>
      <c r="E16" s="8">
        <v>45184650</v>
      </c>
      <c r="F16" s="8">
        <v>6381375</v>
      </c>
      <c r="G16" s="8">
        <v>38803275</v>
      </c>
      <c r="H16" s="7">
        <v>428</v>
      </c>
      <c r="I16" s="7">
        <v>65</v>
      </c>
      <c r="J16" s="7">
        <v>363</v>
      </c>
      <c r="L16" s="54">
        <v>11</v>
      </c>
      <c r="M16" s="55">
        <v>43191</v>
      </c>
      <c r="N16" s="7" t="s">
        <v>84</v>
      </c>
      <c r="O16" s="8">
        <v>4057900</v>
      </c>
      <c r="P16" s="8">
        <v>114363</v>
      </c>
      <c r="Q16" s="8">
        <v>3943538</v>
      </c>
      <c r="R16" s="7">
        <v>37</v>
      </c>
      <c r="S16" s="7">
        <v>3</v>
      </c>
      <c r="T16" s="7">
        <v>34</v>
      </c>
      <c r="V16" s="54">
        <v>11</v>
      </c>
      <c r="W16" s="55">
        <v>43191</v>
      </c>
      <c r="X16" s="7" t="s">
        <v>84</v>
      </c>
      <c r="Y16" s="8">
        <v>8691725</v>
      </c>
      <c r="Z16" s="8">
        <v>494375</v>
      </c>
      <c r="AA16" s="8">
        <v>8197350</v>
      </c>
      <c r="AB16" s="7">
        <v>79</v>
      </c>
      <c r="AC16" s="7">
        <v>5</v>
      </c>
      <c r="AD16" s="7">
        <v>74</v>
      </c>
      <c r="AF16" s="54">
        <v>11</v>
      </c>
      <c r="AG16" s="55">
        <v>43191</v>
      </c>
      <c r="AH16" s="7" t="s">
        <v>84</v>
      </c>
      <c r="AI16" s="8">
        <v>12656788</v>
      </c>
      <c r="AJ16" s="8">
        <v>761250</v>
      </c>
      <c r="AK16" s="8">
        <v>11895538</v>
      </c>
      <c r="AL16" s="7">
        <v>115</v>
      </c>
      <c r="AM16" s="7">
        <v>9</v>
      </c>
      <c r="AN16" s="7">
        <v>106</v>
      </c>
      <c r="AO16" s="1"/>
      <c r="AP16" s="54">
        <v>11</v>
      </c>
      <c r="AQ16" s="55">
        <v>43191</v>
      </c>
      <c r="AR16" s="7" t="s">
        <v>84</v>
      </c>
      <c r="AS16" s="8">
        <v>17112900</v>
      </c>
      <c r="AT16" s="8">
        <v>1344963</v>
      </c>
      <c r="AU16" s="8">
        <v>15767938</v>
      </c>
      <c r="AV16" s="7">
        <v>158</v>
      </c>
      <c r="AW16" s="7">
        <v>10</v>
      </c>
      <c r="AX16" s="7">
        <v>148</v>
      </c>
    </row>
    <row r="17" spans="2:50" ht="15" customHeight="1" x14ac:dyDescent="0.25">
      <c r="B17" s="54">
        <v>12</v>
      </c>
      <c r="C17" s="55">
        <v>42826</v>
      </c>
      <c r="D17" s="7" t="s">
        <v>104</v>
      </c>
      <c r="E17" s="8">
        <v>16197913</v>
      </c>
      <c r="F17" s="8">
        <v>2241475</v>
      </c>
      <c r="G17" s="8">
        <v>13956438</v>
      </c>
      <c r="H17" s="7">
        <v>142</v>
      </c>
      <c r="I17" s="7">
        <v>21</v>
      </c>
      <c r="J17" s="7">
        <v>121</v>
      </c>
      <c r="L17" s="54">
        <v>12</v>
      </c>
      <c r="M17" s="55">
        <v>43191</v>
      </c>
      <c r="N17" s="7" t="s">
        <v>104</v>
      </c>
      <c r="O17" s="8">
        <v>2159413</v>
      </c>
      <c r="P17" s="8">
        <v>591938</v>
      </c>
      <c r="Q17" s="8">
        <v>1567475</v>
      </c>
      <c r="R17" s="7">
        <v>22</v>
      </c>
      <c r="S17" s="7">
        <v>6</v>
      </c>
      <c r="T17" s="7">
        <v>16</v>
      </c>
      <c r="V17" s="54">
        <v>12</v>
      </c>
      <c r="W17" s="55">
        <v>43191</v>
      </c>
      <c r="X17" s="7" t="s">
        <v>104</v>
      </c>
      <c r="Y17" s="8">
        <v>3665550</v>
      </c>
      <c r="Z17" s="8">
        <v>591938</v>
      </c>
      <c r="AA17" s="8">
        <v>3073613</v>
      </c>
      <c r="AB17" s="7">
        <v>38</v>
      </c>
      <c r="AC17" s="7">
        <v>6</v>
      </c>
      <c r="AD17" s="7">
        <v>32</v>
      </c>
      <c r="AF17" s="54">
        <v>12</v>
      </c>
      <c r="AG17" s="55">
        <v>43191</v>
      </c>
      <c r="AH17" s="7" t="s">
        <v>104</v>
      </c>
      <c r="AI17" s="8">
        <v>5232325</v>
      </c>
      <c r="AJ17" s="8">
        <v>952700</v>
      </c>
      <c r="AK17" s="8">
        <v>4279625</v>
      </c>
      <c r="AL17" s="7">
        <v>53</v>
      </c>
      <c r="AM17" s="7">
        <v>9</v>
      </c>
      <c r="AN17" s="7">
        <v>44</v>
      </c>
      <c r="AO17" s="1"/>
      <c r="AP17" s="54">
        <v>12</v>
      </c>
      <c r="AQ17" s="55">
        <v>43191</v>
      </c>
      <c r="AR17" s="7" t="s">
        <v>104</v>
      </c>
      <c r="AS17" s="8">
        <v>8263325</v>
      </c>
      <c r="AT17" s="8">
        <v>952700</v>
      </c>
      <c r="AU17" s="8">
        <v>7310625</v>
      </c>
      <c r="AV17" s="7">
        <v>81</v>
      </c>
      <c r="AW17" s="7">
        <v>9</v>
      </c>
      <c r="AX17" s="7">
        <v>72</v>
      </c>
    </row>
    <row r="18" spans="2:50" ht="15" customHeight="1" x14ac:dyDescent="0.25">
      <c r="B18" s="54">
        <v>13</v>
      </c>
      <c r="C18" s="55">
        <v>42826</v>
      </c>
      <c r="D18" s="7" t="s">
        <v>113</v>
      </c>
      <c r="E18" s="8">
        <v>6231050</v>
      </c>
      <c r="F18" s="7">
        <v>0</v>
      </c>
      <c r="G18" s="8">
        <v>6231050</v>
      </c>
      <c r="H18" s="7">
        <v>54</v>
      </c>
      <c r="I18" s="7">
        <v>0</v>
      </c>
      <c r="J18" s="7">
        <v>54</v>
      </c>
      <c r="L18" s="54">
        <v>13</v>
      </c>
      <c r="M18" s="55">
        <v>43191</v>
      </c>
      <c r="N18" s="7" t="s">
        <v>113</v>
      </c>
      <c r="O18" s="8">
        <v>5681988</v>
      </c>
      <c r="P18" s="7">
        <v>0</v>
      </c>
      <c r="Q18" s="8">
        <v>5681988</v>
      </c>
      <c r="R18" s="7">
        <v>44</v>
      </c>
      <c r="S18" s="7">
        <v>0</v>
      </c>
      <c r="T18" s="7">
        <v>44</v>
      </c>
      <c r="V18" s="54">
        <v>13</v>
      </c>
      <c r="W18" s="55">
        <v>43191</v>
      </c>
      <c r="X18" s="7" t="s">
        <v>113</v>
      </c>
      <c r="Y18" s="8">
        <v>12234338</v>
      </c>
      <c r="Z18" s="7">
        <v>0</v>
      </c>
      <c r="AA18" s="8">
        <v>12234338</v>
      </c>
      <c r="AB18" s="7">
        <v>93</v>
      </c>
      <c r="AC18" s="7">
        <v>0</v>
      </c>
      <c r="AD18" s="7">
        <v>93</v>
      </c>
      <c r="AF18" s="54">
        <v>13</v>
      </c>
      <c r="AG18" s="55">
        <v>43191</v>
      </c>
      <c r="AH18" s="7" t="s">
        <v>113</v>
      </c>
      <c r="AI18" s="8">
        <v>14091088</v>
      </c>
      <c r="AJ18" s="7">
        <v>0</v>
      </c>
      <c r="AK18" s="8">
        <v>14091088</v>
      </c>
      <c r="AL18" s="7">
        <v>112</v>
      </c>
      <c r="AM18" s="7">
        <v>0</v>
      </c>
      <c r="AN18" s="7">
        <v>112</v>
      </c>
      <c r="AO18" s="1"/>
      <c r="AP18" s="54">
        <v>13</v>
      </c>
      <c r="AQ18" s="55">
        <v>43191</v>
      </c>
      <c r="AR18" s="7" t="s">
        <v>113</v>
      </c>
      <c r="AS18" s="8">
        <v>15659875</v>
      </c>
      <c r="AT18" s="7">
        <v>0</v>
      </c>
      <c r="AU18" s="8">
        <v>15659875</v>
      </c>
      <c r="AV18" s="7">
        <v>127</v>
      </c>
      <c r="AW18" s="7">
        <v>0</v>
      </c>
      <c r="AX18" s="7">
        <v>127</v>
      </c>
    </row>
    <row r="19" spans="2:50" ht="15" customHeight="1" x14ac:dyDescent="0.25">
      <c r="B19" s="54">
        <v>14</v>
      </c>
      <c r="C19" s="55">
        <v>42826</v>
      </c>
      <c r="D19" s="7" t="s">
        <v>93</v>
      </c>
      <c r="E19" s="8">
        <v>27066550</v>
      </c>
      <c r="F19" s="8">
        <v>5417913</v>
      </c>
      <c r="G19" s="8">
        <v>21648638</v>
      </c>
      <c r="H19" s="7">
        <v>253</v>
      </c>
      <c r="I19" s="7">
        <v>52</v>
      </c>
      <c r="J19" s="7">
        <v>201</v>
      </c>
      <c r="L19" s="54">
        <v>14</v>
      </c>
      <c r="M19" s="55">
        <v>43191</v>
      </c>
      <c r="N19" s="7" t="s">
        <v>93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V19" s="54">
        <v>14</v>
      </c>
      <c r="W19" s="55">
        <v>43191</v>
      </c>
      <c r="X19" s="7" t="s">
        <v>93</v>
      </c>
      <c r="Y19" s="8">
        <v>2970500</v>
      </c>
      <c r="Z19" s="8">
        <v>393500</v>
      </c>
      <c r="AA19" s="8">
        <v>2577000</v>
      </c>
      <c r="AB19" s="7">
        <v>26</v>
      </c>
      <c r="AC19" s="7">
        <v>3</v>
      </c>
      <c r="AD19" s="7">
        <v>23</v>
      </c>
      <c r="AF19" s="54">
        <v>14</v>
      </c>
      <c r="AG19" s="55">
        <v>43191</v>
      </c>
      <c r="AH19" s="7" t="s">
        <v>93</v>
      </c>
      <c r="AI19" s="8">
        <v>5587100</v>
      </c>
      <c r="AJ19" s="8">
        <v>1188400</v>
      </c>
      <c r="AK19" s="8">
        <v>4398700</v>
      </c>
      <c r="AL19" s="7">
        <v>49</v>
      </c>
      <c r="AM19" s="7">
        <v>9</v>
      </c>
      <c r="AN19" s="7">
        <v>40</v>
      </c>
      <c r="AO19" s="1"/>
      <c r="AP19" s="54">
        <v>14</v>
      </c>
      <c r="AQ19" s="55">
        <v>43191</v>
      </c>
      <c r="AR19" s="7" t="s">
        <v>93</v>
      </c>
      <c r="AS19" s="8">
        <v>5587100</v>
      </c>
      <c r="AT19" s="8">
        <v>1188400</v>
      </c>
      <c r="AU19" s="8">
        <v>4398700</v>
      </c>
      <c r="AV19" s="7">
        <v>49</v>
      </c>
      <c r="AW19" s="7">
        <v>9</v>
      </c>
      <c r="AX19" s="7">
        <v>40</v>
      </c>
    </row>
    <row r="20" spans="2:50" ht="15" customHeight="1" x14ac:dyDescent="0.25">
      <c r="B20" s="54">
        <v>15</v>
      </c>
      <c r="C20" s="55">
        <v>42826</v>
      </c>
      <c r="D20" s="7" t="s">
        <v>108</v>
      </c>
      <c r="E20" s="8">
        <v>9806213</v>
      </c>
      <c r="F20" s="8">
        <v>324600</v>
      </c>
      <c r="G20" s="8">
        <v>9481613</v>
      </c>
      <c r="H20" s="7">
        <v>98</v>
      </c>
      <c r="I20" s="7">
        <v>6</v>
      </c>
      <c r="J20" s="7">
        <v>92</v>
      </c>
      <c r="L20" s="54">
        <v>15</v>
      </c>
      <c r="M20" s="55">
        <v>43191</v>
      </c>
      <c r="N20" s="7" t="s">
        <v>108</v>
      </c>
      <c r="O20" s="8">
        <v>1020600</v>
      </c>
      <c r="P20" s="8">
        <v>110075</v>
      </c>
      <c r="Q20" s="8">
        <v>910525</v>
      </c>
      <c r="R20" s="7">
        <v>11</v>
      </c>
      <c r="S20" s="7">
        <v>1</v>
      </c>
      <c r="T20" s="7">
        <v>10</v>
      </c>
      <c r="V20" s="54">
        <v>15</v>
      </c>
      <c r="W20" s="55">
        <v>43191</v>
      </c>
      <c r="X20" s="7" t="s">
        <v>108</v>
      </c>
      <c r="Y20" s="8">
        <v>2577313</v>
      </c>
      <c r="Z20" s="8">
        <v>110075</v>
      </c>
      <c r="AA20" s="8">
        <v>2467238</v>
      </c>
      <c r="AB20" s="7">
        <v>28</v>
      </c>
      <c r="AC20" s="7">
        <v>1</v>
      </c>
      <c r="AD20" s="7">
        <v>27</v>
      </c>
      <c r="AF20" s="54">
        <v>15</v>
      </c>
      <c r="AG20" s="55">
        <v>43191</v>
      </c>
      <c r="AH20" s="7" t="s">
        <v>108</v>
      </c>
      <c r="AI20" s="8">
        <v>3563263</v>
      </c>
      <c r="AJ20" s="8">
        <v>217337</v>
      </c>
      <c r="AK20" s="8">
        <v>3345926</v>
      </c>
      <c r="AL20" s="7">
        <v>40</v>
      </c>
      <c r="AM20" s="7">
        <v>1</v>
      </c>
      <c r="AN20" s="7">
        <v>39</v>
      </c>
      <c r="AO20" s="1"/>
      <c r="AP20" s="54">
        <v>15</v>
      </c>
      <c r="AQ20" s="55">
        <v>43191</v>
      </c>
      <c r="AR20" s="7" t="s">
        <v>108</v>
      </c>
      <c r="AS20" s="8">
        <v>4484900</v>
      </c>
      <c r="AT20" s="8">
        <v>177337</v>
      </c>
      <c r="AU20" s="8">
        <v>4307564</v>
      </c>
      <c r="AV20" s="7">
        <v>49</v>
      </c>
      <c r="AW20" s="7">
        <v>1</v>
      </c>
      <c r="AX20" s="7">
        <v>48</v>
      </c>
    </row>
    <row r="21" spans="2:50" ht="15" customHeight="1" x14ac:dyDescent="0.25">
      <c r="B21" s="54">
        <v>16</v>
      </c>
      <c r="C21" s="55">
        <v>42826</v>
      </c>
      <c r="D21" s="7" t="s">
        <v>89</v>
      </c>
      <c r="E21" s="8">
        <v>31496763</v>
      </c>
      <c r="F21" s="8">
        <v>7566563</v>
      </c>
      <c r="G21" s="8">
        <v>23930200</v>
      </c>
      <c r="H21" s="7">
        <v>290</v>
      </c>
      <c r="I21" s="7">
        <v>64</v>
      </c>
      <c r="J21" s="7">
        <v>226</v>
      </c>
      <c r="L21" s="54">
        <v>16</v>
      </c>
      <c r="M21" s="55">
        <v>43191</v>
      </c>
      <c r="N21" s="7" t="s">
        <v>89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V21" s="54">
        <v>16</v>
      </c>
      <c r="W21" s="55">
        <v>43191</v>
      </c>
      <c r="X21" s="7" t="s">
        <v>89</v>
      </c>
      <c r="Y21" s="8">
        <v>4743113</v>
      </c>
      <c r="Z21" s="8">
        <v>1447513</v>
      </c>
      <c r="AA21" s="8">
        <v>3295600</v>
      </c>
      <c r="AB21" s="7">
        <v>44</v>
      </c>
      <c r="AC21" s="7">
        <v>11</v>
      </c>
      <c r="AD21" s="7">
        <v>33</v>
      </c>
      <c r="AF21" s="54">
        <v>16</v>
      </c>
      <c r="AG21" s="55">
        <v>43191</v>
      </c>
      <c r="AH21" s="7" t="s">
        <v>89</v>
      </c>
      <c r="AI21" s="8">
        <v>10156125</v>
      </c>
      <c r="AJ21" s="8">
        <v>2856350</v>
      </c>
      <c r="AK21" s="8">
        <v>7299775</v>
      </c>
      <c r="AL21" s="7">
        <v>95</v>
      </c>
      <c r="AM21" s="7">
        <v>24</v>
      </c>
      <c r="AN21" s="7">
        <v>71</v>
      </c>
      <c r="AO21" s="1"/>
      <c r="AP21" s="54">
        <v>16</v>
      </c>
      <c r="AQ21" s="55">
        <v>43191</v>
      </c>
      <c r="AR21" s="7" t="s">
        <v>89</v>
      </c>
      <c r="AS21" s="8">
        <v>10156125</v>
      </c>
      <c r="AT21" s="8">
        <v>2856350</v>
      </c>
      <c r="AU21" s="8">
        <v>7299775</v>
      </c>
      <c r="AV21" s="7">
        <v>95</v>
      </c>
      <c r="AW21" s="7">
        <v>24</v>
      </c>
      <c r="AX21" s="7">
        <v>71</v>
      </c>
    </row>
    <row r="22" spans="2:50" ht="15" customHeight="1" x14ac:dyDescent="0.25">
      <c r="B22" s="54">
        <v>17</v>
      </c>
      <c r="C22" s="55">
        <v>42826</v>
      </c>
      <c r="D22" s="7" t="s">
        <v>91</v>
      </c>
      <c r="E22" s="8">
        <v>26273975</v>
      </c>
      <c r="F22" s="8">
        <v>4559625</v>
      </c>
      <c r="G22" s="8">
        <v>21714350</v>
      </c>
      <c r="H22" s="7">
        <v>337</v>
      </c>
      <c r="I22" s="7">
        <v>50</v>
      </c>
      <c r="J22" s="7">
        <v>287</v>
      </c>
      <c r="L22" s="54">
        <v>17</v>
      </c>
      <c r="M22" s="55">
        <v>43191</v>
      </c>
      <c r="N22" s="7" t="s">
        <v>91</v>
      </c>
      <c r="O22" s="8">
        <v>12709200</v>
      </c>
      <c r="P22" s="7">
        <v>0</v>
      </c>
      <c r="Q22" s="8">
        <v>12709200</v>
      </c>
      <c r="R22" s="7">
        <v>108</v>
      </c>
      <c r="S22" s="7">
        <v>0</v>
      </c>
      <c r="T22" s="7">
        <v>108</v>
      </c>
      <c r="V22" s="54">
        <v>17</v>
      </c>
      <c r="W22" s="55">
        <v>43191</v>
      </c>
      <c r="X22" s="7" t="s">
        <v>91</v>
      </c>
      <c r="Y22" s="8">
        <v>13643000</v>
      </c>
      <c r="Z22" s="7">
        <v>0</v>
      </c>
      <c r="AA22" s="8">
        <v>13643000</v>
      </c>
      <c r="AB22" s="7">
        <v>117</v>
      </c>
      <c r="AC22" s="7">
        <v>0</v>
      </c>
      <c r="AD22" s="7">
        <v>117</v>
      </c>
      <c r="AF22" s="54">
        <v>17</v>
      </c>
      <c r="AG22" s="55">
        <v>43191</v>
      </c>
      <c r="AH22" s="7" t="s">
        <v>91</v>
      </c>
      <c r="AI22" s="8">
        <v>15799175</v>
      </c>
      <c r="AJ22" s="7">
        <v>0</v>
      </c>
      <c r="AK22" s="8">
        <v>15799175</v>
      </c>
      <c r="AL22" s="7">
        <v>137</v>
      </c>
      <c r="AM22" s="7">
        <v>0</v>
      </c>
      <c r="AN22" s="7">
        <v>137</v>
      </c>
      <c r="AO22" s="1"/>
      <c r="AP22" s="54">
        <v>17</v>
      </c>
      <c r="AQ22" s="55">
        <v>43191</v>
      </c>
      <c r="AR22" s="7" t="s">
        <v>91</v>
      </c>
      <c r="AS22" s="8">
        <v>18502925</v>
      </c>
      <c r="AT22" s="8">
        <v>1072050</v>
      </c>
      <c r="AU22" s="8">
        <v>17430875</v>
      </c>
      <c r="AV22" s="7">
        <v>162</v>
      </c>
      <c r="AW22" s="7">
        <v>9</v>
      </c>
      <c r="AX22" s="7">
        <v>153</v>
      </c>
    </row>
    <row r="23" spans="2:50" ht="15" customHeight="1" x14ac:dyDescent="0.25">
      <c r="B23" s="54">
        <v>18</v>
      </c>
      <c r="C23" s="55">
        <v>42826</v>
      </c>
      <c r="D23" s="7" t="s">
        <v>101</v>
      </c>
      <c r="E23" s="8">
        <v>21419300</v>
      </c>
      <c r="F23" s="8">
        <v>5141763</v>
      </c>
      <c r="G23" s="8">
        <v>16277538</v>
      </c>
      <c r="H23" s="7">
        <v>199</v>
      </c>
      <c r="I23" s="7">
        <v>48</v>
      </c>
      <c r="J23" s="7">
        <v>151</v>
      </c>
      <c r="L23" s="54">
        <v>18</v>
      </c>
      <c r="M23" s="55">
        <v>43191</v>
      </c>
      <c r="N23" s="7" t="s">
        <v>101</v>
      </c>
      <c r="O23" s="8">
        <v>3352213</v>
      </c>
      <c r="P23" s="8">
        <v>378963</v>
      </c>
      <c r="Q23" s="8">
        <v>2973250</v>
      </c>
      <c r="R23" s="7">
        <v>29</v>
      </c>
      <c r="S23" s="7">
        <v>4</v>
      </c>
      <c r="T23" s="7">
        <v>25</v>
      </c>
      <c r="V23" s="54">
        <v>18</v>
      </c>
      <c r="W23" s="55">
        <v>43191</v>
      </c>
      <c r="X23" s="7" t="s">
        <v>101</v>
      </c>
      <c r="Y23" s="8">
        <v>3352213</v>
      </c>
      <c r="Z23" s="8">
        <v>378963</v>
      </c>
      <c r="AA23" s="8">
        <v>2973250</v>
      </c>
      <c r="AB23" s="7">
        <v>29</v>
      </c>
      <c r="AC23" s="7">
        <v>4</v>
      </c>
      <c r="AD23" s="7">
        <v>25</v>
      </c>
      <c r="AF23" s="54">
        <v>18</v>
      </c>
      <c r="AG23" s="55">
        <v>43191</v>
      </c>
      <c r="AH23" s="7" t="s">
        <v>101</v>
      </c>
      <c r="AI23" s="8">
        <v>6276638</v>
      </c>
      <c r="AJ23" s="8">
        <v>1040550</v>
      </c>
      <c r="AK23" s="8">
        <v>5236088</v>
      </c>
      <c r="AL23" s="7">
        <v>55</v>
      </c>
      <c r="AM23" s="7">
        <v>11</v>
      </c>
      <c r="AN23" s="7">
        <v>44</v>
      </c>
      <c r="AO23" s="1"/>
      <c r="AP23" s="54">
        <v>18</v>
      </c>
      <c r="AQ23" s="55">
        <v>43191</v>
      </c>
      <c r="AR23" s="7" t="s">
        <v>101</v>
      </c>
      <c r="AS23" s="8">
        <v>8549975</v>
      </c>
      <c r="AT23" s="8">
        <v>2065613</v>
      </c>
      <c r="AU23" s="8">
        <v>6484363</v>
      </c>
      <c r="AV23" s="7">
        <v>80</v>
      </c>
      <c r="AW23" s="7">
        <v>20</v>
      </c>
      <c r="AX23" s="7">
        <v>60</v>
      </c>
    </row>
    <row r="24" spans="2:50" ht="15" customHeight="1" x14ac:dyDescent="0.25">
      <c r="B24" s="54">
        <v>19</v>
      </c>
      <c r="C24" s="55">
        <v>42826</v>
      </c>
      <c r="D24" s="7" t="s">
        <v>112</v>
      </c>
      <c r="E24" s="8">
        <v>7068163</v>
      </c>
      <c r="F24" s="8">
        <v>610400</v>
      </c>
      <c r="G24" s="8">
        <v>6457763</v>
      </c>
      <c r="H24" s="7">
        <v>68</v>
      </c>
      <c r="I24" s="7">
        <v>6</v>
      </c>
      <c r="J24" s="7">
        <v>62</v>
      </c>
      <c r="L24" s="54">
        <v>19</v>
      </c>
      <c r="M24" s="55">
        <v>43191</v>
      </c>
      <c r="N24" s="7" t="s">
        <v>112</v>
      </c>
      <c r="O24" s="8">
        <v>1344000</v>
      </c>
      <c r="P24" s="7">
        <v>0</v>
      </c>
      <c r="Q24" s="8">
        <v>1344000</v>
      </c>
      <c r="R24" s="7">
        <v>14</v>
      </c>
      <c r="S24" s="7">
        <v>0</v>
      </c>
      <c r="T24" s="7">
        <v>14</v>
      </c>
      <c r="V24" s="54">
        <v>19</v>
      </c>
      <c r="W24" s="55">
        <v>43191</v>
      </c>
      <c r="X24" s="7" t="s">
        <v>112</v>
      </c>
      <c r="Y24" s="8">
        <v>4079338</v>
      </c>
      <c r="Z24" s="8">
        <v>103075</v>
      </c>
      <c r="AA24" s="8">
        <v>3976263</v>
      </c>
      <c r="AB24" s="7">
        <v>39</v>
      </c>
      <c r="AC24" s="7">
        <v>1</v>
      </c>
      <c r="AD24" s="7">
        <v>38</v>
      </c>
      <c r="AF24" s="54">
        <v>19</v>
      </c>
      <c r="AG24" s="55">
        <v>43191</v>
      </c>
      <c r="AH24" s="7" t="s">
        <v>112</v>
      </c>
      <c r="AI24" s="8">
        <v>8459588</v>
      </c>
      <c r="AJ24" s="8">
        <v>103075</v>
      </c>
      <c r="AK24" s="8">
        <v>8356513</v>
      </c>
      <c r="AL24" s="7">
        <v>81</v>
      </c>
      <c r="AM24" s="7">
        <v>1</v>
      </c>
      <c r="AN24" s="7">
        <v>80</v>
      </c>
      <c r="AO24" s="1"/>
      <c r="AP24" s="54">
        <v>19</v>
      </c>
      <c r="AQ24" s="55">
        <v>43191</v>
      </c>
      <c r="AR24" s="7" t="s">
        <v>112</v>
      </c>
      <c r="AS24" s="8">
        <v>11770938</v>
      </c>
      <c r="AT24" s="8">
        <v>145950</v>
      </c>
      <c r="AU24" s="8">
        <v>11624988</v>
      </c>
      <c r="AV24" s="7">
        <v>113</v>
      </c>
      <c r="AW24" s="7">
        <v>2</v>
      </c>
      <c r="AX24" s="7">
        <v>111</v>
      </c>
    </row>
    <row r="25" spans="2:50" ht="15" customHeight="1" x14ac:dyDescent="0.25">
      <c r="B25" s="54">
        <v>20</v>
      </c>
      <c r="C25" s="55">
        <v>42826</v>
      </c>
      <c r="D25" s="7" t="s">
        <v>79</v>
      </c>
      <c r="E25" s="8">
        <v>64900763</v>
      </c>
      <c r="F25" s="8">
        <v>15135263</v>
      </c>
      <c r="G25" s="8">
        <v>49765500</v>
      </c>
      <c r="H25" s="7">
        <v>602</v>
      </c>
      <c r="I25" s="7">
        <v>139</v>
      </c>
      <c r="J25" s="7">
        <v>463</v>
      </c>
      <c r="L25" s="54">
        <v>20</v>
      </c>
      <c r="M25" s="55">
        <v>43191</v>
      </c>
      <c r="N25" s="7" t="s">
        <v>79</v>
      </c>
      <c r="O25" s="8">
        <v>11810225</v>
      </c>
      <c r="P25" s="8">
        <v>4847413</v>
      </c>
      <c r="Q25" s="8">
        <v>6962813</v>
      </c>
      <c r="R25" s="7">
        <v>110</v>
      </c>
      <c r="S25" s="7">
        <v>42</v>
      </c>
      <c r="T25" s="7">
        <v>68</v>
      </c>
      <c r="V25" s="54">
        <v>20</v>
      </c>
      <c r="W25" s="55">
        <v>43191</v>
      </c>
      <c r="X25" s="7" t="s">
        <v>79</v>
      </c>
      <c r="Y25" s="8">
        <v>29345925</v>
      </c>
      <c r="Z25" s="8">
        <v>8250200</v>
      </c>
      <c r="AA25" s="8">
        <v>21095725</v>
      </c>
      <c r="AB25" s="7">
        <v>279</v>
      </c>
      <c r="AC25" s="7">
        <v>71</v>
      </c>
      <c r="AD25" s="7">
        <v>208</v>
      </c>
      <c r="AF25" s="54">
        <v>20</v>
      </c>
      <c r="AG25" s="55">
        <v>43191</v>
      </c>
      <c r="AH25" s="7" t="s">
        <v>79</v>
      </c>
      <c r="AI25" s="8">
        <v>59539988</v>
      </c>
      <c r="AJ25" s="8">
        <v>14047250</v>
      </c>
      <c r="AK25" s="8">
        <v>45492738</v>
      </c>
      <c r="AL25" s="7">
        <v>561</v>
      </c>
      <c r="AM25" s="7">
        <v>128</v>
      </c>
      <c r="AN25" s="7">
        <v>433</v>
      </c>
      <c r="AO25" s="1"/>
      <c r="AP25" s="54">
        <v>20</v>
      </c>
      <c r="AQ25" s="55">
        <v>43191</v>
      </c>
      <c r="AR25" s="7" t="s">
        <v>79</v>
      </c>
      <c r="AS25" s="8">
        <v>71829188</v>
      </c>
      <c r="AT25" s="8">
        <v>18994938</v>
      </c>
      <c r="AU25" s="8">
        <v>52834250</v>
      </c>
      <c r="AV25" s="7">
        <v>678</v>
      </c>
      <c r="AW25" s="7">
        <v>175</v>
      </c>
      <c r="AX25" s="7">
        <v>503</v>
      </c>
    </row>
    <row r="26" spans="2:50" ht="15" customHeight="1" x14ac:dyDescent="0.25">
      <c r="B26" s="54">
        <v>21</v>
      </c>
      <c r="C26" s="55">
        <v>42826</v>
      </c>
      <c r="D26" s="7" t="s">
        <v>83</v>
      </c>
      <c r="E26" s="8">
        <v>52444700</v>
      </c>
      <c r="F26" s="8">
        <v>10289475</v>
      </c>
      <c r="G26" s="8">
        <v>42155225</v>
      </c>
      <c r="H26" s="7">
        <v>506</v>
      </c>
      <c r="I26" s="7">
        <v>91</v>
      </c>
      <c r="J26" s="7">
        <v>415</v>
      </c>
      <c r="L26" s="54">
        <v>21</v>
      </c>
      <c r="M26" s="55">
        <v>43191</v>
      </c>
      <c r="N26" s="7" t="s">
        <v>83</v>
      </c>
      <c r="O26" s="8">
        <v>4288550</v>
      </c>
      <c r="P26" s="8">
        <v>639275</v>
      </c>
      <c r="Q26" s="8">
        <v>3649275</v>
      </c>
      <c r="R26" s="7">
        <v>41</v>
      </c>
      <c r="S26" s="7">
        <v>9</v>
      </c>
      <c r="T26" s="7">
        <v>32</v>
      </c>
      <c r="V26" s="54">
        <v>21</v>
      </c>
      <c r="W26" s="55">
        <v>43191</v>
      </c>
      <c r="X26" s="7" t="s">
        <v>83</v>
      </c>
      <c r="Y26" s="8">
        <v>10941613</v>
      </c>
      <c r="Z26" s="8">
        <v>1720075</v>
      </c>
      <c r="AA26" s="8">
        <v>9221538</v>
      </c>
      <c r="AB26" s="7">
        <v>105</v>
      </c>
      <c r="AC26" s="7">
        <v>9</v>
      </c>
      <c r="AD26" s="7">
        <v>96</v>
      </c>
      <c r="AF26" s="54">
        <v>21</v>
      </c>
      <c r="AG26" s="55">
        <v>43191</v>
      </c>
      <c r="AH26" s="7" t="s">
        <v>83</v>
      </c>
      <c r="AI26" s="8">
        <v>10941613</v>
      </c>
      <c r="AJ26" s="8">
        <v>1720075</v>
      </c>
      <c r="AK26" s="8">
        <v>9221538</v>
      </c>
      <c r="AL26" s="7">
        <v>105</v>
      </c>
      <c r="AM26" s="7">
        <v>22</v>
      </c>
      <c r="AN26" s="7">
        <v>83</v>
      </c>
      <c r="AO26" s="1"/>
      <c r="AP26" s="54">
        <v>21</v>
      </c>
      <c r="AQ26" s="55">
        <v>43191</v>
      </c>
      <c r="AR26" s="7" t="s">
        <v>83</v>
      </c>
      <c r="AS26" s="8">
        <v>16474325</v>
      </c>
      <c r="AT26" s="8">
        <v>3188850</v>
      </c>
      <c r="AU26" s="8">
        <v>13285475</v>
      </c>
      <c r="AV26" s="7">
        <v>156</v>
      </c>
      <c r="AW26" s="7">
        <v>39</v>
      </c>
      <c r="AX26" s="7">
        <v>117</v>
      </c>
    </row>
    <row r="27" spans="2:50" ht="15" customHeight="1" x14ac:dyDescent="0.25">
      <c r="B27" s="54">
        <v>22</v>
      </c>
      <c r="C27" s="55">
        <v>42826</v>
      </c>
      <c r="D27" s="7" t="s">
        <v>107</v>
      </c>
      <c r="E27" s="8">
        <v>12640425</v>
      </c>
      <c r="F27" s="8">
        <v>646013</v>
      </c>
      <c r="G27" s="8">
        <v>11994413</v>
      </c>
      <c r="H27" s="7">
        <v>128</v>
      </c>
      <c r="I27" s="7">
        <v>6</v>
      </c>
      <c r="J27" s="7">
        <v>122</v>
      </c>
      <c r="L27" s="54">
        <v>22</v>
      </c>
      <c r="M27" s="55">
        <v>43191</v>
      </c>
      <c r="N27" s="7" t="s">
        <v>107</v>
      </c>
      <c r="O27" s="8">
        <v>1628200</v>
      </c>
      <c r="P27" s="7">
        <v>0</v>
      </c>
      <c r="Q27" s="8">
        <v>1628200</v>
      </c>
      <c r="R27" s="7">
        <v>16</v>
      </c>
      <c r="S27" s="7">
        <v>0</v>
      </c>
      <c r="T27" s="7">
        <v>16</v>
      </c>
      <c r="V27" s="54">
        <v>22</v>
      </c>
      <c r="W27" s="55">
        <v>43191</v>
      </c>
      <c r="X27" s="7" t="s">
        <v>107</v>
      </c>
      <c r="Y27" s="8">
        <v>3918863</v>
      </c>
      <c r="Z27" s="8">
        <v>40075</v>
      </c>
      <c r="AA27" s="8">
        <v>3878788</v>
      </c>
      <c r="AB27" s="7">
        <v>37</v>
      </c>
      <c r="AC27" s="7">
        <v>1</v>
      </c>
      <c r="AD27" s="7">
        <v>36</v>
      </c>
      <c r="AF27" s="54">
        <v>22</v>
      </c>
      <c r="AG27" s="55">
        <v>43191</v>
      </c>
      <c r="AH27" s="7" t="s">
        <v>107</v>
      </c>
      <c r="AI27" s="8">
        <v>4888975</v>
      </c>
      <c r="AJ27" s="8">
        <v>40075</v>
      </c>
      <c r="AK27" s="8">
        <v>4848900</v>
      </c>
      <c r="AL27" s="7">
        <v>46</v>
      </c>
      <c r="AM27" s="7">
        <v>2</v>
      </c>
      <c r="AN27" s="7">
        <v>44</v>
      </c>
      <c r="AO27" s="1"/>
      <c r="AP27" s="54">
        <v>22</v>
      </c>
      <c r="AQ27" s="55">
        <v>43191</v>
      </c>
      <c r="AR27" s="7" t="s">
        <v>107</v>
      </c>
      <c r="AS27" s="8">
        <v>6107238</v>
      </c>
      <c r="AT27" s="8">
        <v>117688</v>
      </c>
      <c r="AU27" s="8">
        <v>5989550</v>
      </c>
      <c r="AV27" s="7">
        <v>57</v>
      </c>
      <c r="AW27" s="7">
        <v>2</v>
      </c>
      <c r="AX27" s="7">
        <v>55</v>
      </c>
    </row>
    <row r="28" spans="2:50" ht="15" customHeight="1" x14ac:dyDescent="0.25">
      <c r="B28" s="54">
        <v>23</v>
      </c>
      <c r="C28" s="55">
        <v>42826</v>
      </c>
      <c r="D28" s="7" t="s">
        <v>111</v>
      </c>
      <c r="E28" s="8">
        <v>7194163</v>
      </c>
      <c r="F28" s="8">
        <v>305538</v>
      </c>
      <c r="G28" s="8">
        <v>6888625</v>
      </c>
      <c r="H28" s="7">
        <v>74</v>
      </c>
      <c r="I28" s="7">
        <v>2</v>
      </c>
      <c r="J28" s="7">
        <v>72</v>
      </c>
      <c r="L28" s="54">
        <v>23</v>
      </c>
      <c r="M28" s="55">
        <v>43191</v>
      </c>
      <c r="N28" s="7" t="s">
        <v>111</v>
      </c>
      <c r="O28" s="8">
        <v>1991938</v>
      </c>
      <c r="P28" s="7">
        <v>0</v>
      </c>
      <c r="Q28" s="8">
        <v>1991938</v>
      </c>
      <c r="R28" s="7">
        <v>16</v>
      </c>
      <c r="S28" s="7">
        <v>0</v>
      </c>
      <c r="T28" s="7">
        <v>16</v>
      </c>
      <c r="V28" s="54">
        <v>23</v>
      </c>
      <c r="W28" s="55">
        <v>43191</v>
      </c>
      <c r="X28" s="7" t="s">
        <v>111</v>
      </c>
      <c r="Y28" s="8">
        <v>4368350</v>
      </c>
      <c r="Z28" s="8">
        <v>-10500</v>
      </c>
      <c r="AA28" s="8">
        <v>4378850</v>
      </c>
      <c r="AB28" s="7">
        <v>39</v>
      </c>
      <c r="AC28" s="7">
        <v>0</v>
      </c>
      <c r="AD28" s="7">
        <v>39</v>
      </c>
      <c r="AF28" s="54">
        <v>23</v>
      </c>
      <c r="AG28" s="55">
        <v>43191</v>
      </c>
      <c r="AH28" s="7" t="s">
        <v>111</v>
      </c>
      <c r="AI28" s="8">
        <v>6398350</v>
      </c>
      <c r="AJ28" s="8">
        <v>-10500</v>
      </c>
      <c r="AK28" s="8">
        <v>6408850</v>
      </c>
      <c r="AL28" s="7">
        <v>55</v>
      </c>
      <c r="AM28" s="7">
        <v>0</v>
      </c>
      <c r="AN28" s="7">
        <v>55</v>
      </c>
      <c r="AO28" s="1"/>
      <c r="AP28" s="54">
        <v>23</v>
      </c>
      <c r="AQ28" s="55">
        <v>43191</v>
      </c>
      <c r="AR28" s="7" t="s">
        <v>111</v>
      </c>
      <c r="AS28" s="8">
        <v>8024100</v>
      </c>
      <c r="AT28" s="8">
        <v>-10500</v>
      </c>
      <c r="AU28" s="8">
        <v>8034600</v>
      </c>
      <c r="AV28" s="7">
        <v>69</v>
      </c>
      <c r="AW28" s="7">
        <v>0</v>
      </c>
      <c r="AX28" s="7">
        <v>69</v>
      </c>
    </row>
    <row r="29" spans="2:50" ht="15" customHeight="1" x14ac:dyDescent="0.25">
      <c r="B29" s="54">
        <v>24</v>
      </c>
      <c r="C29" s="55">
        <v>42826</v>
      </c>
      <c r="D29" s="7" t="s">
        <v>105</v>
      </c>
      <c r="E29" s="8">
        <v>13801200</v>
      </c>
      <c r="F29" s="8">
        <v>909913</v>
      </c>
      <c r="G29" s="8">
        <v>12891288</v>
      </c>
      <c r="H29" s="7">
        <v>121</v>
      </c>
      <c r="I29" s="7">
        <v>8</v>
      </c>
      <c r="J29" s="7">
        <v>113</v>
      </c>
      <c r="L29" s="54">
        <v>24</v>
      </c>
      <c r="M29" s="55">
        <v>43191</v>
      </c>
      <c r="N29" s="7" t="s">
        <v>105</v>
      </c>
      <c r="O29" s="8">
        <v>2511775</v>
      </c>
      <c r="P29" s="8">
        <v>432513</v>
      </c>
      <c r="Q29" s="8">
        <v>2079263</v>
      </c>
      <c r="R29" s="7">
        <v>19</v>
      </c>
      <c r="S29" s="7">
        <v>4</v>
      </c>
      <c r="T29" s="7">
        <v>15</v>
      </c>
      <c r="V29" s="54">
        <v>24</v>
      </c>
      <c r="W29" s="55">
        <v>43191</v>
      </c>
      <c r="X29" s="7" t="s">
        <v>105</v>
      </c>
      <c r="Y29" s="8">
        <v>4673200</v>
      </c>
      <c r="Z29" s="8">
        <v>432513</v>
      </c>
      <c r="AA29" s="8">
        <v>4240688</v>
      </c>
      <c r="AB29" s="7">
        <v>36</v>
      </c>
      <c r="AC29" s="7">
        <v>4</v>
      </c>
      <c r="AD29" s="7">
        <v>32</v>
      </c>
      <c r="AF29" s="54">
        <v>24</v>
      </c>
      <c r="AG29" s="55">
        <v>43191</v>
      </c>
      <c r="AH29" s="7" t="s">
        <v>105</v>
      </c>
      <c r="AI29" s="8">
        <v>11860538</v>
      </c>
      <c r="AJ29" s="8">
        <v>792663</v>
      </c>
      <c r="AK29" s="8">
        <v>11067875</v>
      </c>
      <c r="AL29" s="7">
        <v>95</v>
      </c>
      <c r="AM29" s="7">
        <v>7</v>
      </c>
      <c r="AN29" s="7">
        <v>88</v>
      </c>
      <c r="AO29" s="1"/>
      <c r="AP29" s="54">
        <v>24</v>
      </c>
      <c r="AQ29" s="55">
        <v>43191</v>
      </c>
      <c r="AR29" s="7" t="s">
        <v>105</v>
      </c>
      <c r="AS29" s="8">
        <v>16628063</v>
      </c>
      <c r="AT29" s="8">
        <v>792663</v>
      </c>
      <c r="AU29" s="8">
        <v>15835400</v>
      </c>
      <c r="AV29" s="7">
        <v>143</v>
      </c>
      <c r="AW29" s="7">
        <v>7</v>
      </c>
      <c r="AX29" s="7">
        <v>136</v>
      </c>
    </row>
    <row r="30" spans="2:50" ht="15" customHeight="1" x14ac:dyDescent="0.25">
      <c r="B30" s="54">
        <v>25</v>
      </c>
      <c r="C30" s="55">
        <v>42826</v>
      </c>
      <c r="D30" s="7" t="s">
        <v>85</v>
      </c>
      <c r="E30" s="8">
        <v>48367200</v>
      </c>
      <c r="F30" s="8">
        <v>11925725</v>
      </c>
      <c r="G30" s="8">
        <v>36441475</v>
      </c>
      <c r="H30" s="7">
        <v>457</v>
      </c>
      <c r="I30" s="7">
        <v>115</v>
      </c>
      <c r="J30" s="7">
        <v>342</v>
      </c>
      <c r="L30" s="54">
        <v>25</v>
      </c>
      <c r="M30" s="55">
        <v>43191</v>
      </c>
      <c r="N30" s="7" t="s">
        <v>85</v>
      </c>
      <c r="O30" s="8">
        <v>835100</v>
      </c>
      <c r="P30" s="8">
        <v>277375</v>
      </c>
      <c r="Q30" s="8">
        <v>557725</v>
      </c>
      <c r="R30" s="7">
        <v>10</v>
      </c>
      <c r="S30" s="7">
        <v>1</v>
      </c>
      <c r="T30" s="7">
        <v>9</v>
      </c>
      <c r="V30" s="54">
        <v>25</v>
      </c>
      <c r="W30" s="55">
        <v>43191</v>
      </c>
      <c r="X30" s="7" t="s">
        <v>85</v>
      </c>
      <c r="Y30" s="8">
        <v>1343650</v>
      </c>
      <c r="Z30" s="8">
        <v>277375</v>
      </c>
      <c r="AA30" s="8">
        <v>1066275</v>
      </c>
      <c r="AB30" s="7">
        <v>16</v>
      </c>
      <c r="AC30" s="7">
        <v>1</v>
      </c>
      <c r="AD30" s="7">
        <v>15</v>
      </c>
      <c r="AF30" s="54">
        <v>25</v>
      </c>
      <c r="AG30" s="55">
        <v>43191</v>
      </c>
      <c r="AH30" s="7" t="s">
        <v>85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1"/>
      <c r="AP30" s="54">
        <v>25</v>
      </c>
      <c r="AQ30" s="55">
        <v>43191</v>
      </c>
      <c r="AR30" s="7" t="s">
        <v>85</v>
      </c>
      <c r="AS30" s="8">
        <v>2753275</v>
      </c>
      <c r="AT30" s="8">
        <v>705338</v>
      </c>
      <c r="AU30" s="8">
        <v>2047938</v>
      </c>
      <c r="AV30" s="7">
        <v>30</v>
      </c>
      <c r="AW30" s="7">
        <v>6</v>
      </c>
      <c r="AX30" s="7">
        <v>24</v>
      </c>
    </row>
    <row r="31" spans="2:50" ht="15" customHeight="1" x14ac:dyDescent="0.25">
      <c r="B31" s="54">
        <v>26</v>
      </c>
      <c r="C31" s="55">
        <v>42826</v>
      </c>
      <c r="D31" s="7" t="s">
        <v>81</v>
      </c>
      <c r="E31" s="8">
        <v>53711788</v>
      </c>
      <c r="F31" s="8">
        <v>8234063</v>
      </c>
      <c r="G31" s="8">
        <v>45477725</v>
      </c>
      <c r="H31" s="7">
        <v>496</v>
      </c>
      <c r="I31" s="7">
        <v>70</v>
      </c>
      <c r="J31" s="7">
        <v>426</v>
      </c>
      <c r="L31" s="54">
        <v>26</v>
      </c>
      <c r="M31" s="55">
        <v>43191</v>
      </c>
      <c r="N31" s="7" t="s">
        <v>81</v>
      </c>
      <c r="O31" s="8">
        <v>9811288</v>
      </c>
      <c r="P31" s="8">
        <v>1285813</v>
      </c>
      <c r="Q31" s="8">
        <v>8525475</v>
      </c>
      <c r="R31" s="7">
        <v>94</v>
      </c>
      <c r="S31" s="7">
        <v>13</v>
      </c>
      <c r="T31" s="7">
        <v>81</v>
      </c>
      <c r="V31" s="54">
        <v>26</v>
      </c>
      <c r="W31" s="55">
        <v>43191</v>
      </c>
      <c r="X31" s="7" t="s">
        <v>81</v>
      </c>
      <c r="Y31" s="8">
        <v>9811288</v>
      </c>
      <c r="Z31" s="8">
        <v>1285813</v>
      </c>
      <c r="AA31" s="8">
        <v>8525475</v>
      </c>
      <c r="AB31" s="7">
        <v>94</v>
      </c>
      <c r="AC31" s="7">
        <v>13</v>
      </c>
      <c r="AD31" s="7">
        <v>81</v>
      </c>
      <c r="AF31" s="54">
        <v>26</v>
      </c>
      <c r="AG31" s="55">
        <v>43191</v>
      </c>
      <c r="AH31" s="7" t="s">
        <v>81</v>
      </c>
      <c r="AI31" s="8">
        <v>22762425</v>
      </c>
      <c r="AJ31" s="8">
        <v>3732400</v>
      </c>
      <c r="AK31" s="8">
        <v>19030025</v>
      </c>
      <c r="AL31" s="7">
        <v>220</v>
      </c>
      <c r="AM31" s="7">
        <v>34</v>
      </c>
      <c r="AN31" s="7">
        <v>186</v>
      </c>
      <c r="AO31" s="1"/>
      <c r="AP31" s="54">
        <v>26</v>
      </c>
      <c r="AQ31" s="55">
        <v>43191</v>
      </c>
      <c r="AR31" s="7" t="s">
        <v>81</v>
      </c>
      <c r="AS31" s="8">
        <v>33401813</v>
      </c>
      <c r="AT31" s="8">
        <v>6011950</v>
      </c>
      <c r="AU31" s="8">
        <v>27389863</v>
      </c>
      <c r="AV31" s="7">
        <v>322</v>
      </c>
      <c r="AW31" s="7">
        <v>54</v>
      </c>
      <c r="AX31" s="7">
        <v>268</v>
      </c>
    </row>
    <row r="32" spans="2:50" ht="15" customHeight="1" x14ac:dyDescent="0.25">
      <c r="B32" s="54">
        <v>27</v>
      </c>
      <c r="C32" s="55">
        <v>42826</v>
      </c>
      <c r="D32" s="7" t="s">
        <v>102</v>
      </c>
      <c r="E32" s="8">
        <v>18319300</v>
      </c>
      <c r="F32" s="8">
        <v>2299900</v>
      </c>
      <c r="G32" s="8">
        <v>16019400</v>
      </c>
      <c r="H32" s="7">
        <v>152</v>
      </c>
      <c r="I32" s="7">
        <v>20</v>
      </c>
      <c r="J32" s="7">
        <v>132</v>
      </c>
      <c r="L32" s="54">
        <v>27</v>
      </c>
      <c r="M32" s="55">
        <v>43191</v>
      </c>
      <c r="N32" s="7" t="s">
        <v>102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V32" s="54">
        <v>27</v>
      </c>
      <c r="W32" s="55">
        <v>43191</v>
      </c>
      <c r="X32" s="7" t="s">
        <v>102</v>
      </c>
      <c r="Y32" s="8">
        <v>4054400</v>
      </c>
      <c r="Z32" s="8">
        <v>228700</v>
      </c>
      <c r="AA32" s="8">
        <v>3825700</v>
      </c>
      <c r="AB32" s="7">
        <v>29</v>
      </c>
      <c r="AC32" s="7">
        <v>2</v>
      </c>
      <c r="AD32" s="7">
        <v>27</v>
      </c>
      <c r="AF32" s="54">
        <v>27</v>
      </c>
      <c r="AG32" s="55">
        <v>43191</v>
      </c>
      <c r="AH32" s="7" t="s">
        <v>102</v>
      </c>
      <c r="AI32" s="8">
        <v>6527900</v>
      </c>
      <c r="AJ32" s="8">
        <v>757500</v>
      </c>
      <c r="AK32" s="8">
        <v>5770400</v>
      </c>
      <c r="AL32" s="7">
        <v>50</v>
      </c>
      <c r="AM32" s="7">
        <v>7</v>
      </c>
      <c r="AN32" s="7">
        <v>43</v>
      </c>
      <c r="AO32" s="1"/>
      <c r="AP32" s="54">
        <v>27</v>
      </c>
      <c r="AQ32" s="55">
        <v>43191</v>
      </c>
      <c r="AR32" s="7" t="s">
        <v>102</v>
      </c>
      <c r="AS32" s="8">
        <v>6527900</v>
      </c>
      <c r="AT32" s="8">
        <v>757500</v>
      </c>
      <c r="AU32" s="8">
        <v>5770400</v>
      </c>
      <c r="AV32" s="7">
        <v>50</v>
      </c>
      <c r="AW32" s="7">
        <v>7</v>
      </c>
      <c r="AX32" s="7">
        <v>43</v>
      </c>
    </row>
    <row r="33" spans="2:50" ht="15" customHeight="1" x14ac:dyDescent="0.25">
      <c r="B33" s="54">
        <v>28</v>
      </c>
      <c r="C33" s="55">
        <v>42826</v>
      </c>
      <c r="D33" s="7" t="s">
        <v>87</v>
      </c>
      <c r="E33" s="8">
        <v>37341850</v>
      </c>
      <c r="F33" s="8">
        <v>12127850</v>
      </c>
      <c r="G33" s="8">
        <v>25214000</v>
      </c>
      <c r="H33" s="7">
        <v>355</v>
      </c>
      <c r="I33" s="7">
        <v>107</v>
      </c>
      <c r="J33" s="7">
        <v>248</v>
      </c>
      <c r="L33" s="54">
        <v>28</v>
      </c>
      <c r="M33" s="55">
        <v>43191</v>
      </c>
      <c r="N33" s="7" t="s">
        <v>87</v>
      </c>
      <c r="O33" s="8">
        <v>4190900</v>
      </c>
      <c r="P33" s="8">
        <v>678413</v>
      </c>
      <c r="Q33" s="8">
        <v>3512488</v>
      </c>
      <c r="R33" s="7">
        <v>40</v>
      </c>
      <c r="S33" s="7">
        <v>7</v>
      </c>
      <c r="T33" s="7">
        <v>33</v>
      </c>
      <c r="V33" s="54">
        <v>28</v>
      </c>
      <c r="W33" s="55">
        <v>43191</v>
      </c>
      <c r="X33" s="7" t="s">
        <v>87</v>
      </c>
      <c r="Y33" s="8">
        <v>4466963</v>
      </c>
      <c r="Z33" s="8">
        <v>678413</v>
      </c>
      <c r="AA33" s="8">
        <v>3788550</v>
      </c>
      <c r="AB33" s="7">
        <v>42</v>
      </c>
      <c r="AC33" s="7">
        <v>7</v>
      </c>
      <c r="AD33" s="7">
        <v>35</v>
      </c>
      <c r="AF33" s="54">
        <v>28</v>
      </c>
      <c r="AG33" s="55">
        <v>43191</v>
      </c>
      <c r="AH33" s="7" t="s">
        <v>87</v>
      </c>
      <c r="AI33" s="8">
        <v>9344825</v>
      </c>
      <c r="AJ33" s="8">
        <v>678413</v>
      </c>
      <c r="AK33" s="8">
        <v>8666413</v>
      </c>
      <c r="AL33" s="7">
        <v>83</v>
      </c>
      <c r="AM33" s="7">
        <v>7</v>
      </c>
      <c r="AN33" s="7">
        <v>76</v>
      </c>
      <c r="AO33" s="1"/>
      <c r="AP33" s="54">
        <v>28</v>
      </c>
      <c r="AQ33" s="55">
        <v>43191</v>
      </c>
      <c r="AR33" s="7" t="s">
        <v>87</v>
      </c>
      <c r="AS33" s="8">
        <v>13615613</v>
      </c>
      <c r="AT33" s="8">
        <v>3206725</v>
      </c>
      <c r="AU33" s="8">
        <v>10408888</v>
      </c>
      <c r="AV33" s="7">
        <v>124</v>
      </c>
      <c r="AW33" s="7">
        <v>29</v>
      </c>
      <c r="AX33" s="7">
        <v>95</v>
      </c>
    </row>
    <row r="34" spans="2:50" ht="15" customHeight="1" x14ac:dyDescent="0.25">
      <c r="B34" s="54">
        <v>29</v>
      </c>
      <c r="C34" s="55">
        <v>42826</v>
      </c>
      <c r="D34" s="7" t="s">
        <v>98</v>
      </c>
      <c r="E34" s="8">
        <v>25072338</v>
      </c>
      <c r="F34" s="8">
        <v>6089038</v>
      </c>
      <c r="G34" s="8">
        <v>18983300</v>
      </c>
      <c r="H34" s="7">
        <v>245</v>
      </c>
      <c r="I34" s="7">
        <v>59</v>
      </c>
      <c r="J34" s="7">
        <v>186</v>
      </c>
      <c r="L34" s="54">
        <v>29</v>
      </c>
      <c r="M34" s="55">
        <v>43191</v>
      </c>
      <c r="N34" s="7" t="s">
        <v>98</v>
      </c>
      <c r="O34" s="8">
        <v>5934338</v>
      </c>
      <c r="P34" s="8">
        <v>1540000</v>
      </c>
      <c r="Q34" s="8">
        <v>4394338</v>
      </c>
      <c r="R34" s="7">
        <v>58</v>
      </c>
      <c r="S34" s="7">
        <v>14</v>
      </c>
      <c r="T34" s="7">
        <v>44</v>
      </c>
      <c r="V34" s="54">
        <v>29</v>
      </c>
      <c r="W34" s="55">
        <v>43191</v>
      </c>
      <c r="X34" s="7" t="s">
        <v>98</v>
      </c>
      <c r="Y34" s="8">
        <v>5934338</v>
      </c>
      <c r="Z34" s="8">
        <v>1540000</v>
      </c>
      <c r="AA34" s="8">
        <v>4394338</v>
      </c>
      <c r="AB34" s="7">
        <v>58</v>
      </c>
      <c r="AC34" s="7">
        <v>14</v>
      </c>
      <c r="AD34" s="7">
        <v>44</v>
      </c>
      <c r="AF34" s="54">
        <v>29</v>
      </c>
      <c r="AG34" s="55">
        <v>43191</v>
      </c>
      <c r="AH34" s="7" t="s">
        <v>98</v>
      </c>
      <c r="AI34" s="8">
        <v>11013188</v>
      </c>
      <c r="AJ34" s="8">
        <v>3647613</v>
      </c>
      <c r="AK34" s="8">
        <v>7365575</v>
      </c>
      <c r="AL34" s="7">
        <v>108</v>
      </c>
      <c r="AM34" s="7">
        <v>34</v>
      </c>
      <c r="AN34" s="7">
        <v>74</v>
      </c>
      <c r="AO34" s="1"/>
      <c r="AP34" s="54">
        <v>29</v>
      </c>
      <c r="AQ34" s="55">
        <v>43191</v>
      </c>
      <c r="AR34" s="7" t="s">
        <v>98</v>
      </c>
      <c r="AS34" s="8">
        <v>16786438</v>
      </c>
      <c r="AT34" s="8">
        <v>5717863</v>
      </c>
      <c r="AU34" s="8">
        <v>11068575</v>
      </c>
      <c r="AV34" s="7">
        <v>165</v>
      </c>
      <c r="AW34" s="7">
        <v>54</v>
      </c>
      <c r="AX34" s="7">
        <v>111</v>
      </c>
    </row>
    <row r="35" spans="2:50" ht="15" customHeight="1" x14ac:dyDescent="0.25">
      <c r="B35" s="54">
        <v>30</v>
      </c>
      <c r="C35" s="55">
        <v>42826</v>
      </c>
      <c r="D35" s="7" t="s">
        <v>78</v>
      </c>
      <c r="E35" s="8">
        <v>63356913</v>
      </c>
      <c r="F35" s="8">
        <v>9908763</v>
      </c>
      <c r="G35" s="8">
        <v>53448150</v>
      </c>
      <c r="H35" s="7">
        <v>612</v>
      </c>
      <c r="I35" s="7">
        <v>94</v>
      </c>
      <c r="J35" s="7">
        <v>518</v>
      </c>
      <c r="L35" s="54">
        <v>30</v>
      </c>
      <c r="M35" s="55">
        <v>43191</v>
      </c>
      <c r="N35" s="7" t="s">
        <v>78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V35" s="54">
        <v>30</v>
      </c>
      <c r="W35" s="55">
        <v>43191</v>
      </c>
      <c r="X35" s="7" t="s">
        <v>78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F35" s="54">
        <v>30</v>
      </c>
      <c r="AG35" s="55">
        <v>43191</v>
      </c>
      <c r="AH35" s="7" t="s">
        <v>78</v>
      </c>
      <c r="AI35" s="52">
        <v>0</v>
      </c>
      <c r="AJ35" s="52">
        <v>0</v>
      </c>
      <c r="AK35" s="52">
        <v>0</v>
      </c>
      <c r="AL35" s="52">
        <v>0</v>
      </c>
      <c r="AM35" s="52">
        <v>0</v>
      </c>
      <c r="AN35" s="52">
        <v>0</v>
      </c>
      <c r="AP35" s="54">
        <v>30</v>
      </c>
      <c r="AQ35" s="55">
        <v>43191</v>
      </c>
      <c r="AR35" s="7" t="s">
        <v>78</v>
      </c>
      <c r="AS35" s="52">
        <v>0</v>
      </c>
      <c r="AT35" s="52">
        <v>0</v>
      </c>
      <c r="AU35" s="52">
        <v>0</v>
      </c>
      <c r="AV35" s="52">
        <v>0</v>
      </c>
      <c r="AW35" s="52">
        <v>0</v>
      </c>
      <c r="AX35" s="52">
        <v>0</v>
      </c>
    </row>
    <row r="36" spans="2:50" ht="15" customHeight="1" x14ac:dyDescent="0.25">
      <c r="B36" s="54">
        <v>31</v>
      </c>
      <c r="C36" s="55">
        <v>42826</v>
      </c>
      <c r="D36" s="7" t="s">
        <v>82</v>
      </c>
      <c r="E36" s="8">
        <v>63665875</v>
      </c>
      <c r="F36" s="8">
        <v>19334850</v>
      </c>
      <c r="G36" s="8">
        <v>44331025</v>
      </c>
      <c r="H36" s="7">
        <v>610</v>
      </c>
      <c r="I36" s="7">
        <v>236</v>
      </c>
      <c r="J36" s="7">
        <v>374</v>
      </c>
      <c r="L36" s="54">
        <v>31</v>
      </c>
      <c r="M36" s="55">
        <v>43191</v>
      </c>
      <c r="N36" s="7" t="s">
        <v>82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V36" s="54">
        <v>31</v>
      </c>
      <c r="W36" s="55">
        <v>43191</v>
      </c>
      <c r="X36" s="7" t="s">
        <v>82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F36" s="54">
        <v>31</v>
      </c>
      <c r="AG36" s="55">
        <v>43191</v>
      </c>
      <c r="AH36" s="7" t="s">
        <v>82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P36" s="54">
        <v>31</v>
      </c>
      <c r="AQ36" s="55">
        <v>43191</v>
      </c>
      <c r="AR36" s="7" t="s">
        <v>82</v>
      </c>
      <c r="AS36" s="52">
        <v>0</v>
      </c>
      <c r="AT36" s="52">
        <v>0</v>
      </c>
      <c r="AU36" s="52">
        <v>0</v>
      </c>
      <c r="AV36" s="52">
        <v>0</v>
      </c>
      <c r="AW36" s="52">
        <v>0</v>
      </c>
      <c r="AX36" s="52">
        <v>0</v>
      </c>
    </row>
    <row r="37" spans="2:50" ht="15" customHeight="1" x14ac:dyDescent="0.25">
      <c r="B37" s="54">
        <v>32</v>
      </c>
      <c r="C37" s="55">
        <v>42826</v>
      </c>
      <c r="D37" s="7" t="s">
        <v>86</v>
      </c>
      <c r="E37" s="8">
        <v>26628875</v>
      </c>
      <c r="F37" s="8">
        <v>228025</v>
      </c>
      <c r="G37" s="8">
        <v>26400850</v>
      </c>
      <c r="H37" s="7">
        <v>227</v>
      </c>
      <c r="I37" s="7">
        <v>2</v>
      </c>
      <c r="J37" s="7">
        <v>225</v>
      </c>
      <c r="L37" s="54">
        <v>32</v>
      </c>
      <c r="M37" s="55">
        <v>43191</v>
      </c>
      <c r="N37" s="7" t="s">
        <v>86</v>
      </c>
      <c r="O37" s="8">
        <v>2070775</v>
      </c>
      <c r="P37" s="7">
        <v>0</v>
      </c>
      <c r="Q37" s="8">
        <v>2070775</v>
      </c>
      <c r="R37" s="7">
        <v>18</v>
      </c>
      <c r="S37" s="7">
        <v>0</v>
      </c>
      <c r="T37" s="7">
        <v>18</v>
      </c>
      <c r="V37" s="54">
        <v>32</v>
      </c>
      <c r="W37" s="55">
        <v>43191</v>
      </c>
      <c r="X37" s="7" t="s">
        <v>86</v>
      </c>
      <c r="Y37" s="8">
        <v>2837975</v>
      </c>
      <c r="Z37" s="7">
        <v>0</v>
      </c>
      <c r="AA37" s="8">
        <v>2837975</v>
      </c>
      <c r="AB37" s="7">
        <v>27</v>
      </c>
      <c r="AC37" s="7">
        <v>1</v>
      </c>
      <c r="AD37" s="7">
        <v>26</v>
      </c>
      <c r="AF37" s="54">
        <v>32</v>
      </c>
      <c r="AG37" s="55">
        <v>43191</v>
      </c>
      <c r="AH37" s="7" t="s">
        <v>86</v>
      </c>
      <c r="AI37" s="8">
        <v>5464288</v>
      </c>
      <c r="AJ37" s="8">
        <v>95025</v>
      </c>
      <c r="AK37" s="8">
        <v>5369263</v>
      </c>
      <c r="AL37" s="7">
        <v>52</v>
      </c>
      <c r="AM37" s="7">
        <v>1</v>
      </c>
      <c r="AN37" s="7">
        <v>51</v>
      </c>
      <c r="AO37" s="1"/>
      <c r="AP37" s="54">
        <v>32</v>
      </c>
      <c r="AQ37" s="55">
        <v>43191</v>
      </c>
      <c r="AR37" s="7" t="s">
        <v>86</v>
      </c>
      <c r="AS37" s="8">
        <v>7731675</v>
      </c>
      <c r="AT37" s="8">
        <v>220063</v>
      </c>
      <c r="AU37" s="8">
        <v>7511613</v>
      </c>
      <c r="AV37" s="7">
        <v>76</v>
      </c>
      <c r="AW37" s="7">
        <v>2</v>
      </c>
      <c r="AX37" s="7">
        <v>74</v>
      </c>
    </row>
    <row r="38" spans="2:50" ht="15" customHeight="1" x14ac:dyDescent="0.25">
      <c r="B38" s="54">
        <v>33</v>
      </c>
      <c r="C38" s="55">
        <v>42826</v>
      </c>
      <c r="D38" s="7" t="s">
        <v>88</v>
      </c>
      <c r="E38" s="8">
        <v>28576450</v>
      </c>
      <c r="F38" s="8">
        <v>4388225</v>
      </c>
      <c r="G38" s="8">
        <v>24188225</v>
      </c>
      <c r="H38" s="7">
        <v>266</v>
      </c>
      <c r="I38" s="7">
        <v>43</v>
      </c>
      <c r="J38" s="7">
        <v>223</v>
      </c>
      <c r="L38" s="54">
        <v>33</v>
      </c>
      <c r="M38" s="55">
        <v>43191</v>
      </c>
      <c r="N38" s="7" t="s">
        <v>88</v>
      </c>
      <c r="O38" s="8">
        <v>1917825</v>
      </c>
      <c r="P38" s="8">
        <v>221113</v>
      </c>
      <c r="Q38" s="8">
        <v>1696713</v>
      </c>
      <c r="R38" s="7">
        <v>16</v>
      </c>
      <c r="S38" s="7">
        <v>1</v>
      </c>
      <c r="T38" s="7">
        <v>15</v>
      </c>
      <c r="V38" s="54">
        <v>33</v>
      </c>
      <c r="W38" s="55">
        <v>43191</v>
      </c>
      <c r="X38" s="7" t="s">
        <v>88</v>
      </c>
      <c r="Y38" s="8">
        <v>2390938</v>
      </c>
      <c r="Z38" s="8">
        <v>346150</v>
      </c>
      <c r="AA38" s="8">
        <v>2044788</v>
      </c>
      <c r="AB38" s="7">
        <v>20</v>
      </c>
      <c r="AC38" s="7">
        <v>3</v>
      </c>
      <c r="AD38" s="7">
        <v>17</v>
      </c>
      <c r="AF38" s="54">
        <v>33</v>
      </c>
      <c r="AG38" s="55">
        <v>43191</v>
      </c>
      <c r="AH38" s="7" t="s">
        <v>88</v>
      </c>
      <c r="AI38" s="8">
        <v>3610950</v>
      </c>
      <c r="AJ38" s="8">
        <v>346150</v>
      </c>
      <c r="AK38" s="8">
        <v>3264800</v>
      </c>
      <c r="AL38" s="7">
        <v>32</v>
      </c>
      <c r="AM38" s="7">
        <v>6</v>
      </c>
      <c r="AN38" s="7">
        <v>26</v>
      </c>
      <c r="AO38" s="1"/>
      <c r="AP38" s="54">
        <v>33</v>
      </c>
      <c r="AQ38" s="55">
        <v>43191</v>
      </c>
      <c r="AR38" s="7" t="s">
        <v>88</v>
      </c>
      <c r="AS38" s="8">
        <v>4118100</v>
      </c>
      <c r="AT38" s="8">
        <v>749263</v>
      </c>
      <c r="AU38" s="8">
        <v>3368838</v>
      </c>
      <c r="AV38" s="7">
        <v>37</v>
      </c>
      <c r="AW38" s="7">
        <v>8</v>
      </c>
      <c r="AX38" s="7">
        <v>29</v>
      </c>
    </row>
    <row r="39" spans="2:50" ht="15" customHeight="1" x14ac:dyDescent="0.25">
      <c r="B39" s="54">
        <v>34</v>
      </c>
      <c r="C39" s="55">
        <v>42826</v>
      </c>
      <c r="D39" s="7" t="s">
        <v>90</v>
      </c>
      <c r="E39" s="8">
        <v>23753625</v>
      </c>
      <c r="F39" s="7">
        <v>0</v>
      </c>
      <c r="G39" s="8">
        <v>23753625</v>
      </c>
      <c r="H39" s="7">
        <v>336</v>
      </c>
      <c r="I39" s="7">
        <v>0</v>
      </c>
      <c r="J39" s="7">
        <v>336</v>
      </c>
      <c r="L39" s="54">
        <v>34</v>
      </c>
      <c r="M39" s="55">
        <v>43191</v>
      </c>
      <c r="N39" s="7" t="s">
        <v>90</v>
      </c>
      <c r="O39" s="8">
        <v>521238</v>
      </c>
      <c r="P39" s="7">
        <v>0</v>
      </c>
      <c r="Q39" s="8">
        <v>521238</v>
      </c>
      <c r="R39" s="7">
        <v>5</v>
      </c>
      <c r="S39" s="7">
        <v>0</v>
      </c>
      <c r="T39" s="7">
        <v>5</v>
      </c>
      <c r="V39" s="54">
        <v>34</v>
      </c>
      <c r="W39" s="55">
        <v>43191</v>
      </c>
      <c r="X39" s="7" t="s">
        <v>115</v>
      </c>
      <c r="Y39" s="8">
        <v>996013</v>
      </c>
      <c r="Z39" s="7">
        <v>0</v>
      </c>
      <c r="AA39" s="8">
        <v>996013</v>
      </c>
      <c r="AB39" s="7">
        <v>9</v>
      </c>
      <c r="AC39" s="7">
        <v>0</v>
      </c>
      <c r="AD39" s="7">
        <v>9</v>
      </c>
      <c r="AF39" s="54">
        <v>34</v>
      </c>
      <c r="AG39" s="55">
        <v>43191</v>
      </c>
      <c r="AH39" s="7" t="s">
        <v>90</v>
      </c>
      <c r="AI39" s="8">
        <v>9327500</v>
      </c>
      <c r="AJ39" s="7">
        <v>0</v>
      </c>
      <c r="AK39" s="8">
        <v>9327500</v>
      </c>
      <c r="AL39" s="7">
        <v>200</v>
      </c>
      <c r="AM39" s="7">
        <v>0</v>
      </c>
      <c r="AN39" s="7">
        <v>200</v>
      </c>
      <c r="AO39" s="1"/>
      <c r="AP39" s="54">
        <v>34</v>
      </c>
      <c r="AQ39" s="55">
        <v>43191</v>
      </c>
      <c r="AR39" s="7" t="s">
        <v>90</v>
      </c>
      <c r="AS39" s="8">
        <v>9432588</v>
      </c>
      <c r="AT39" s="7">
        <v>0</v>
      </c>
      <c r="AU39" s="8">
        <v>9432588</v>
      </c>
      <c r="AV39" s="7">
        <v>201</v>
      </c>
      <c r="AW39" s="7">
        <v>0</v>
      </c>
      <c r="AX39" s="7">
        <v>201</v>
      </c>
    </row>
    <row r="40" spans="2:50" ht="15" customHeight="1" x14ac:dyDescent="0.25">
      <c r="B40" s="54">
        <v>35</v>
      </c>
      <c r="C40" s="55">
        <v>42826</v>
      </c>
      <c r="D40" s="7" t="s">
        <v>92</v>
      </c>
      <c r="E40" s="8">
        <v>29798738</v>
      </c>
      <c r="F40" s="8">
        <v>8093750</v>
      </c>
      <c r="G40" s="8">
        <v>21704988</v>
      </c>
      <c r="H40" s="7">
        <v>295</v>
      </c>
      <c r="I40" s="7">
        <v>73</v>
      </c>
      <c r="J40" s="7">
        <v>222</v>
      </c>
      <c r="L40" s="54">
        <v>35</v>
      </c>
      <c r="M40" s="55">
        <v>43191</v>
      </c>
      <c r="N40" s="7" t="s">
        <v>92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V40" s="54">
        <v>35</v>
      </c>
      <c r="W40" s="55">
        <v>43191</v>
      </c>
      <c r="X40" s="7" t="s">
        <v>92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F40" s="54">
        <v>35</v>
      </c>
      <c r="AG40" s="55">
        <v>43191</v>
      </c>
      <c r="AH40" s="7" t="s">
        <v>92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13"/>
      <c r="AP40" s="54">
        <v>35</v>
      </c>
      <c r="AQ40" s="55">
        <v>43191</v>
      </c>
      <c r="AR40" s="7" t="s">
        <v>92</v>
      </c>
      <c r="AS40" s="52">
        <v>0</v>
      </c>
      <c r="AT40" s="52">
        <v>0</v>
      </c>
      <c r="AU40" s="52">
        <v>0</v>
      </c>
      <c r="AV40" s="52">
        <v>0</v>
      </c>
      <c r="AW40" s="52">
        <v>0</v>
      </c>
      <c r="AX40" s="52">
        <v>0</v>
      </c>
    </row>
    <row r="41" spans="2:50" ht="15" customHeight="1" x14ac:dyDescent="0.25">
      <c r="B41" s="54">
        <v>37</v>
      </c>
      <c r="C41" s="55">
        <v>42826</v>
      </c>
      <c r="D41" s="7" t="s">
        <v>94</v>
      </c>
      <c r="E41" s="8">
        <v>21465763</v>
      </c>
      <c r="F41" s="8">
        <v>-58000</v>
      </c>
      <c r="G41" s="8">
        <v>21523763</v>
      </c>
      <c r="H41" s="7">
        <v>138</v>
      </c>
      <c r="I41" s="7">
        <v>0</v>
      </c>
      <c r="J41" s="7">
        <v>138</v>
      </c>
      <c r="L41" s="54">
        <v>36</v>
      </c>
      <c r="M41" s="55">
        <v>43191</v>
      </c>
      <c r="N41" s="7" t="s">
        <v>94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V41" s="54">
        <v>36</v>
      </c>
      <c r="W41" s="55">
        <v>43191</v>
      </c>
      <c r="X41" s="7" t="s">
        <v>94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F41" s="54">
        <v>36</v>
      </c>
      <c r="AG41" s="55">
        <v>43191</v>
      </c>
      <c r="AH41" s="7" t="s">
        <v>94</v>
      </c>
      <c r="AI41" s="52">
        <v>0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13"/>
      <c r="AP41" s="54">
        <v>36</v>
      </c>
      <c r="AQ41" s="55">
        <v>43191</v>
      </c>
      <c r="AR41" s="7" t="s">
        <v>94</v>
      </c>
      <c r="AS41" s="52">
        <v>0</v>
      </c>
      <c r="AT41" s="52">
        <v>0</v>
      </c>
      <c r="AU41" s="52">
        <v>0</v>
      </c>
      <c r="AV41" s="52">
        <v>0</v>
      </c>
      <c r="AW41" s="52">
        <v>0</v>
      </c>
      <c r="AX41" s="52">
        <v>0</v>
      </c>
    </row>
    <row r="42" spans="2:50" ht="15" customHeight="1" x14ac:dyDescent="0.25">
      <c r="B42" s="54">
        <v>38</v>
      </c>
      <c r="C42" s="55">
        <v>42826</v>
      </c>
      <c r="D42" s="7" t="s">
        <v>99</v>
      </c>
      <c r="E42" s="8">
        <v>27153875</v>
      </c>
      <c r="F42" s="8">
        <v>8750300</v>
      </c>
      <c r="G42" s="8">
        <v>18403575</v>
      </c>
      <c r="H42" s="7">
        <v>247</v>
      </c>
      <c r="I42" s="7">
        <v>95</v>
      </c>
      <c r="J42" s="7">
        <v>152</v>
      </c>
      <c r="L42" s="54">
        <v>37</v>
      </c>
      <c r="M42" s="55">
        <v>43191</v>
      </c>
      <c r="N42" s="7" t="s">
        <v>99</v>
      </c>
      <c r="O42" s="8">
        <v>2716438</v>
      </c>
      <c r="P42" s="8">
        <v>240888</v>
      </c>
      <c r="Q42" s="8">
        <v>2475550</v>
      </c>
      <c r="R42" s="7">
        <v>19</v>
      </c>
      <c r="S42" s="7">
        <v>0</v>
      </c>
      <c r="T42" s="7">
        <v>19</v>
      </c>
      <c r="V42" s="54">
        <v>37</v>
      </c>
      <c r="W42" s="55">
        <v>43191</v>
      </c>
      <c r="X42" s="7" t="s">
        <v>99</v>
      </c>
      <c r="Y42" s="8">
        <v>2716438</v>
      </c>
      <c r="Z42" s="8">
        <v>240888</v>
      </c>
      <c r="AA42" s="8">
        <v>2475550</v>
      </c>
      <c r="AB42" s="7">
        <v>19</v>
      </c>
      <c r="AC42" s="7">
        <v>0</v>
      </c>
      <c r="AD42" s="7">
        <v>19</v>
      </c>
      <c r="AF42" s="54">
        <v>37</v>
      </c>
      <c r="AG42" s="55">
        <v>43191</v>
      </c>
      <c r="AH42" s="7" t="s">
        <v>99</v>
      </c>
      <c r="AI42" s="8">
        <v>8730838</v>
      </c>
      <c r="AJ42" s="8">
        <v>1450313</v>
      </c>
      <c r="AK42" s="8">
        <v>7280525</v>
      </c>
      <c r="AL42" s="7">
        <v>68</v>
      </c>
      <c r="AM42" s="7">
        <v>9</v>
      </c>
      <c r="AN42" s="7">
        <v>59</v>
      </c>
      <c r="AO42" s="1"/>
      <c r="AP42" s="54">
        <v>37</v>
      </c>
      <c r="AQ42" s="55">
        <v>43191</v>
      </c>
      <c r="AR42" s="7" t="s">
        <v>99</v>
      </c>
      <c r="AS42" s="8">
        <v>11036900</v>
      </c>
      <c r="AT42" s="8">
        <v>1934363</v>
      </c>
      <c r="AU42" s="8">
        <v>9102538</v>
      </c>
      <c r="AV42" s="7">
        <v>89</v>
      </c>
      <c r="AW42" s="7">
        <v>15</v>
      </c>
      <c r="AX42" s="7">
        <v>74</v>
      </c>
    </row>
    <row r="43" spans="2:50" ht="15" customHeight="1" x14ac:dyDescent="0.25">
      <c r="B43" s="54">
        <v>39</v>
      </c>
      <c r="C43" s="55">
        <v>42826</v>
      </c>
      <c r="D43" s="7" t="s">
        <v>103</v>
      </c>
      <c r="E43" s="8">
        <v>16017050</v>
      </c>
      <c r="F43" s="8">
        <v>493763</v>
      </c>
      <c r="G43" s="8">
        <v>15523288</v>
      </c>
      <c r="H43" s="7">
        <v>154</v>
      </c>
      <c r="I43" s="7">
        <v>4</v>
      </c>
      <c r="J43" s="7">
        <v>150</v>
      </c>
      <c r="L43" s="54">
        <v>38</v>
      </c>
      <c r="M43" s="55">
        <v>43191</v>
      </c>
      <c r="N43" s="7" t="s">
        <v>103</v>
      </c>
      <c r="O43" s="8">
        <v>3134163</v>
      </c>
      <c r="P43" s="7">
        <v>0</v>
      </c>
      <c r="Q43" s="8">
        <v>3134163</v>
      </c>
      <c r="R43" s="7">
        <v>32</v>
      </c>
      <c r="S43" s="7">
        <v>0</v>
      </c>
      <c r="T43" s="7">
        <v>32</v>
      </c>
      <c r="V43" s="54">
        <v>38</v>
      </c>
      <c r="W43" s="55">
        <v>43191</v>
      </c>
      <c r="X43" s="7" t="s">
        <v>103</v>
      </c>
      <c r="Y43" s="8">
        <v>5296463</v>
      </c>
      <c r="Z43" s="8">
        <v>714700</v>
      </c>
      <c r="AA43" s="8">
        <v>4581763</v>
      </c>
      <c r="AB43" s="7">
        <v>52</v>
      </c>
      <c r="AC43" s="7">
        <v>7</v>
      </c>
      <c r="AD43" s="7">
        <v>45</v>
      </c>
      <c r="AF43" s="54">
        <v>38</v>
      </c>
      <c r="AG43" s="55">
        <v>43191</v>
      </c>
      <c r="AH43" s="7" t="s">
        <v>103</v>
      </c>
      <c r="AI43" s="8">
        <v>5672975</v>
      </c>
      <c r="AJ43" s="8">
        <v>714700</v>
      </c>
      <c r="AK43" s="8">
        <v>4958275</v>
      </c>
      <c r="AL43" s="7">
        <v>54</v>
      </c>
      <c r="AM43" s="7">
        <v>7</v>
      </c>
      <c r="AN43" s="7">
        <v>47</v>
      </c>
      <c r="AO43" s="1"/>
      <c r="AP43" s="54">
        <v>38</v>
      </c>
      <c r="AQ43" s="55">
        <v>43191</v>
      </c>
      <c r="AR43" s="7" t="s">
        <v>103</v>
      </c>
      <c r="AS43" s="8">
        <v>8725500</v>
      </c>
      <c r="AT43" s="8">
        <v>1177750</v>
      </c>
      <c r="AU43" s="8">
        <v>7547750</v>
      </c>
      <c r="AV43" s="7">
        <v>81</v>
      </c>
      <c r="AW43" s="7">
        <v>12</v>
      </c>
      <c r="AX43" s="7">
        <v>69</v>
      </c>
    </row>
    <row r="44" spans="2:50" ht="15" customHeight="1" x14ac:dyDescent="0.25">
      <c r="B44" s="54">
        <v>40</v>
      </c>
      <c r="C44" s="55">
        <v>42826</v>
      </c>
      <c r="D44" s="7" t="s">
        <v>106</v>
      </c>
      <c r="E44" s="8">
        <v>14565075</v>
      </c>
      <c r="F44" s="8">
        <v>2545375</v>
      </c>
      <c r="G44" s="8">
        <v>12019700</v>
      </c>
      <c r="H44" s="7">
        <v>143</v>
      </c>
      <c r="I44" s="7">
        <v>25</v>
      </c>
      <c r="J44" s="7">
        <v>118</v>
      </c>
      <c r="L44" s="54">
        <v>39</v>
      </c>
      <c r="M44" s="55">
        <v>43191</v>
      </c>
      <c r="N44" s="7" t="s">
        <v>106</v>
      </c>
      <c r="O44" s="8">
        <v>1010625</v>
      </c>
      <c r="P44" s="7">
        <v>0</v>
      </c>
      <c r="Q44" s="8">
        <v>1010625</v>
      </c>
      <c r="R44" s="7">
        <v>10</v>
      </c>
      <c r="S44" s="7">
        <v>0</v>
      </c>
      <c r="T44" s="7">
        <v>10</v>
      </c>
      <c r="V44" s="54">
        <v>120</v>
      </c>
      <c r="W44" s="55">
        <v>43191</v>
      </c>
      <c r="X44" s="7" t="s">
        <v>106</v>
      </c>
      <c r="Y44" s="8">
        <v>1315650</v>
      </c>
      <c r="Z44" s="8">
        <v>275975</v>
      </c>
      <c r="AA44" s="8">
        <v>1039675</v>
      </c>
      <c r="AB44" s="7">
        <v>12</v>
      </c>
      <c r="AC44" s="7">
        <v>3</v>
      </c>
      <c r="AD44" s="7">
        <v>9</v>
      </c>
      <c r="AF44" s="54">
        <v>120</v>
      </c>
      <c r="AG44" s="55">
        <v>43191</v>
      </c>
      <c r="AH44" s="7" t="s">
        <v>106</v>
      </c>
      <c r="AI44" s="8">
        <v>2163000</v>
      </c>
      <c r="AJ44" s="8">
        <v>725988</v>
      </c>
      <c r="AK44" s="8">
        <v>1437013</v>
      </c>
      <c r="AL44" s="7">
        <v>21</v>
      </c>
      <c r="AM44" s="7">
        <v>7</v>
      </c>
      <c r="AN44" s="7">
        <v>14</v>
      </c>
      <c r="AP44" s="54">
        <v>39</v>
      </c>
      <c r="AQ44" s="55">
        <v>43191</v>
      </c>
      <c r="AR44" s="52"/>
      <c r="AS44" s="52"/>
      <c r="AT44" s="52"/>
      <c r="AU44" s="52"/>
      <c r="AV44" s="52"/>
      <c r="AW44" s="52"/>
      <c r="AX44" s="52"/>
    </row>
    <row r="45" spans="2:50" ht="15" customHeight="1" x14ac:dyDescent="0.25">
      <c r="B45" s="54">
        <v>41</v>
      </c>
      <c r="C45" s="55">
        <v>42826</v>
      </c>
      <c r="D45" s="7" t="s">
        <v>110</v>
      </c>
      <c r="E45" s="8">
        <v>7144200</v>
      </c>
      <c r="F45" s="7">
        <v>0</v>
      </c>
      <c r="G45" s="8">
        <v>7144200</v>
      </c>
      <c r="H45" s="7">
        <v>72</v>
      </c>
      <c r="I45" s="7">
        <v>0</v>
      </c>
      <c r="J45" s="7">
        <v>72</v>
      </c>
      <c r="L45" s="54">
        <v>40</v>
      </c>
      <c r="M45" s="55">
        <v>43191</v>
      </c>
      <c r="N45" s="7" t="s">
        <v>110</v>
      </c>
      <c r="O45" s="8">
        <v>2295300</v>
      </c>
      <c r="P45" s="8">
        <v>458500</v>
      </c>
      <c r="Q45" s="8">
        <v>1836800</v>
      </c>
      <c r="R45" s="7">
        <v>21</v>
      </c>
      <c r="S45" s="7">
        <v>0</v>
      </c>
      <c r="T45" s="7">
        <v>21</v>
      </c>
      <c r="V45" s="54">
        <v>40</v>
      </c>
      <c r="W45" s="55">
        <v>43191</v>
      </c>
      <c r="X45" s="7" t="s">
        <v>110</v>
      </c>
      <c r="Y45" s="8">
        <v>4745300</v>
      </c>
      <c r="Z45" s="8">
        <v>458500</v>
      </c>
      <c r="AA45" s="8">
        <v>4286800</v>
      </c>
      <c r="AB45" s="7">
        <v>43</v>
      </c>
      <c r="AC45" s="7">
        <v>0</v>
      </c>
      <c r="AD45" s="7">
        <v>43</v>
      </c>
      <c r="AF45" s="54">
        <v>40</v>
      </c>
      <c r="AG45" s="55">
        <v>43191</v>
      </c>
      <c r="AH45" s="7" t="s">
        <v>110</v>
      </c>
      <c r="AI45" s="8">
        <v>9432413</v>
      </c>
      <c r="AJ45" s="8">
        <v>458500</v>
      </c>
      <c r="AK45" s="8">
        <v>8973913</v>
      </c>
      <c r="AL45" s="7">
        <v>84</v>
      </c>
      <c r="AM45" s="7">
        <v>0</v>
      </c>
      <c r="AN45" s="7">
        <v>84</v>
      </c>
      <c r="AO45" s="1"/>
      <c r="AP45" s="54">
        <v>40</v>
      </c>
      <c r="AQ45" s="55">
        <v>43191</v>
      </c>
      <c r="AR45" s="7" t="s">
        <v>110</v>
      </c>
      <c r="AS45" s="8">
        <v>13653413</v>
      </c>
      <c r="AT45" s="8">
        <v>458500</v>
      </c>
      <c r="AU45" s="8">
        <v>13194913</v>
      </c>
      <c r="AV45" s="7">
        <v>124</v>
      </c>
      <c r="AW45" s="7">
        <v>0</v>
      </c>
      <c r="AX45" s="7">
        <v>124</v>
      </c>
    </row>
    <row r="46" spans="2:50" ht="15" customHeight="1" x14ac:dyDescent="0.25">
      <c r="L46" s="1"/>
      <c r="M46" s="2"/>
      <c r="N46" s="3"/>
      <c r="O46" s="4"/>
      <c r="P46" s="4"/>
      <c r="Q46" s="4"/>
      <c r="R46" s="3"/>
      <c r="S46" s="3"/>
      <c r="T46" s="3"/>
      <c r="V46" s="54">
        <v>41</v>
      </c>
      <c r="W46" s="55">
        <v>43191</v>
      </c>
      <c r="X46" s="7" t="s">
        <v>119</v>
      </c>
      <c r="Y46" s="8">
        <v>12460000</v>
      </c>
      <c r="Z46" s="8">
        <v>1336738</v>
      </c>
      <c r="AA46" s="8">
        <v>11123263</v>
      </c>
      <c r="AB46" s="7">
        <v>98</v>
      </c>
      <c r="AC46" s="7">
        <v>12</v>
      </c>
      <c r="AD46" s="7">
        <v>86</v>
      </c>
      <c r="AF46" s="54">
        <v>41</v>
      </c>
      <c r="AG46" s="55">
        <v>43191</v>
      </c>
      <c r="AH46" s="7" t="s">
        <v>119</v>
      </c>
      <c r="AI46" s="8">
        <v>21745300</v>
      </c>
      <c r="AJ46" s="8">
        <v>3469538</v>
      </c>
      <c r="AK46" s="8">
        <v>18275763</v>
      </c>
      <c r="AL46" s="7">
        <v>176</v>
      </c>
      <c r="AM46" s="7">
        <v>28</v>
      </c>
      <c r="AN46" s="7">
        <v>148</v>
      </c>
      <c r="AO46" s="1"/>
      <c r="AP46" s="54">
        <v>41</v>
      </c>
      <c r="AQ46" s="55">
        <v>43191</v>
      </c>
      <c r="AR46" s="7" t="s">
        <v>119</v>
      </c>
      <c r="AS46" s="8">
        <v>21745300</v>
      </c>
      <c r="AT46" s="8">
        <v>3469538</v>
      </c>
      <c r="AU46" s="8">
        <v>18275763</v>
      </c>
      <c r="AV46" s="7">
        <v>176</v>
      </c>
      <c r="AW46" s="7">
        <v>28</v>
      </c>
      <c r="AX46" s="7">
        <v>148</v>
      </c>
    </row>
    <row r="47" spans="2:50" x14ac:dyDescent="0.25">
      <c r="AO47" s="1"/>
      <c r="AP47" s="54">
        <v>42</v>
      </c>
      <c r="AQ47" s="55">
        <v>43191</v>
      </c>
      <c r="AR47" s="7" t="s">
        <v>123</v>
      </c>
      <c r="AS47" s="8">
        <v>33040525</v>
      </c>
      <c r="AT47" s="8">
        <v>9140513</v>
      </c>
      <c r="AU47" s="8">
        <v>23900013</v>
      </c>
      <c r="AV47" s="7">
        <v>325</v>
      </c>
      <c r="AW47" s="7">
        <v>112</v>
      </c>
      <c r="AX47" s="7">
        <v>213</v>
      </c>
    </row>
    <row r="48" spans="2:50" x14ac:dyDescent="0.25">
      <c r="AO48" s="1"/>
      <c r="AP48" s="54">
        <v>43</v>
      </c>
      <c r="AQ48" s="55">
        <v>43191</v>
      </c>
      <c r="AR48" s="7" t="s">
        <v>124</v>
      </c>
      <c r="AS48" s="8">
        <v>21024150</v>
      </c>
      <c r="AT48" s="8">
        <v>4423224</v>
      </c>
      <c r="AU48" s="8">
        <v>16600927</v>
      </c>
      <c r="AV48" s="7">
        <v>203</v>
      </c>
      <c r="AW48" s="7">
        <v>39</v>
      </c>
      <c r="AX48" s="7">
        <v>164</v>
      </c>
    </row>
    <row r="49" spans="41:50" x14ac:dyDescent="0.25">
      <c r="AO49" s="1"/>
      <c r="AP49" s="54">
        <v>44</v>
      </c>
      <c r="AQ49" s="55">
        <v>43191</v>
      </c>
      <c r="AR49" s="7" t="s">
        <v>125</v>
      </c>
      <c r="AS49" s="8">
        <v>18916188</v>
      </c>
      <c r="AT49" s="8">
        <v>2374663</v>
      </c>
      <c r="AU49" s="8">
        <v>16541525</v>
      </c>
      <c r="AV49" s="7">
        <v>174</v>
      </c>
      <c r="AW49" s="7">
        <v>24</v>
      </c>
      <c r="AX49" s="7">
        <v>150</v>
      </c>
    </row>
    <row r="50" spans="41:50" x14ac:dyDescent="0.25">
      <c r="AO50" s="1"/>
      <c r="AP50" s="54">
        <v>45</v>
      </c>
      <c r="AQ50" s="55">
        <v>43191</v>
      </c>
      <c r="AR50" s="7" t="s">
        <v>126</v>
      </c>
      <c r="AS50" s="8">
        <v>18381738</v>
      </c>
      <c r="AT50" s="8">
        <v>3292538</v>
      </c>
      <c r="AU50" s="8">
        <v>15089200</v>
      </c>
      <c r="AV50" s="7">
        <v>180</v>
      </c>
      <c r="AW50" s="7">
        <v>34</v>
      </c>
      <c r="AX50" s="7">
        <v>146</v>
      </c>
    </row>
    <row r="51" spans="41:50" x14ac:dyDescent="0.25">
      <c r="AO51" s="1"/>
      <c r="AP51" s="54">
        <v>46</v>
      </c>
      <c r="AQ51" s="55">
        <v>43191</v>
      </c>
      <c r="AR51" s="7" t="s">
        <v>127</v>
      </c>
      <c r="AS51" s="8">
        <v>17744125</v>
      </c>
      <c r="AT51" s="8">
        <v>3457825</v>
      </c>
      <c r="AU51" s="8">
        <v>14286300</v>
      </c>
      <c r="AV51" s="7">
        <v>166</v>
      </c>
      <c r="AW51" s="7">
        <v>29</v>
      </c>
      <c r="AX51" s="7">
        <v>137</v>
      </c>
    </row>
    <row r="52" spans="41:50" ht="15" customHeight="1" x14ac:dyDescent="0.25">
      <c r="AO52" s="1"/>
      <c r="AP52" s="54">
        <v>47</v>
      </c>
      <c r="AQ52" s="55">
        <v>43191</v>
      </c>
      <c r="AR52" s="7" t="s">
        <v>128</v>
      </c>
      <c r="AS52" s="8">
        <v>15571063</v>
      </c>
      <c r="AT52" s="8">
        <v>2687825</v>
      </c>
      <c r="AU52" s="8">
        <v>12883238</v>
      </c>
      <c r="AV52" s="7">
        <v>152</v>
      </c>
      <c r="AW52" s="7">
        <v>35</v>
      </c>
      <c r="AX52" s="7">
        <v>117</v>
      </c>
    </row>
    <row r="53" spans="41:50" x14ac:dyDescent="0.25">
      <c r="AO53" s="1"/>
      <c r="AP53" s="54">
        <v>48</v>
      </c>
      <c r="AQ53" s="55">
        <v>43191</v>
      </c>
      <c r="AR53" s="7" t="s">
        <v>129</v>
      </c>
      <c r="AS53" s="8">
        <v>15376375</v>
      </c>
      <c r="AT53" s="8">
        <v>2782850</v>
      </c>
      <c r="AU53" s="8">
        <v>12593525</v>
      </c>
      <c r="AV53" s="7">
        <v>142</v>
      </c>
      <c r="AW53" s="7">
        <v>26</v>
      </c>
      <c r="AX53" s="7">
        <v>116</v>
      </c>
    </row>
    <row r="54" spans="41:50" x14ac:dyDescent="0.25">
      <c r="AO54" s="1"/>
      <c r="AP54" s="54">
        <v>49</v>
      </c>
      <c r="AQ54" s="55">
        <v>43191</v>
      </c>
      <c r="AR54" s="7" t="s">
        <v>130</v>
      </c>
      <c r="AS54" s="8">
        <v>17766088</v>
      </c>
      <c r="AT54" s="8">
        <v>5119188</v>
      </c>
      <c r="AU54" s="8">
        <v>12646900</v>
      </c>
      <c r="AV54" s="7">
        <v>163</v>
      </c>
      <c r="AW54" s="7">
        <v>43</v>
      </c>
      <c r="AX54" s="7">
        <v>120</v>
      </c>
    </row>
    <row r="55" spans="41:50" x14ac:dyDescent="0.25">
      <c r="AO55" s="1"/>
      <c r="AP55" s="54">
        <v>50</v>
      </c>
      <c r="AQ55" s="55">
        <v>43191</v>
      </c>
      <c r="AR55" s="7" t="s">
        <v>131</v>
      </c>
      <c r="AS55" s="8">
        <v>15419600</v>
      </c>
      <c r="AT55" s="8">
        <v>2053888</v>
      </c>
      <c r="AU55" s="8">
        <v>13365713</v>
      </c>
      <c r="AV55" s="7">
        <v>144</v>
      </c>
      <c r="AW55" s="7">
        <v>18</v>
      </c>
      <c r="AX55" s="7">
        <v>126</v>
      </c>
    </row>
    <row r="56" spans="41:50" x14ac:dyDescent="0.25">
      <c r="AO56" s="1"/>
      <c r="AP56" s="54">
        <v>51</v>
      </c>
      <c r="AQ56" s="55">
        <v>43191</v>
      </c>
      <c r="AR56" s="7" t="s">
        <v>129</v>
      </c>
      <c r="AS56" s="8">
        <v>15376375</v>
      </c>
      <c r="AT56" s="8">
        <v>2782850</v>
      </c>
      <c r="AU56" s="8">
        <v>12593525</v>
      </c>
      <c r="AV56" s="7">
        <v>142</v>
      </c>
      <c r="AW56" s="7">
        <v>26</v>
      </c>
      <c r="AX56" s="7">
        <v>116</v>
      </c>
    </row>
    <row r="57" spans="41:50" x14ac:dyDescent="0.25">
      <c r="AO57" s="1"/>
      <c r="AP57" s="54">
        <v>52</v>
      </c>
      <c r="AQ57" s="55">
        <v>43191</v>
      </c>
      <c r="AR57" s="7" t="s">
        <v>132</v>
      </c>
      <c r="AS57" s="8">
        <v>13302888</v>
      </c>
      <c r="AT57" s="8">
        <v>1555138</v>
      </c>
      <c r="AU57" s="8">
        <v>11747750</v>
      </c>
      <c r="AV57" s="7">
        <v>125</v>
      </c>
      <c r="AW57" s="7">
        <v>14</v>
      </c>
      <c r="AX57" s="7">
        <v>111</v>
      </c>
    </row>
    <row r="58" spans="41:50" x14ac:dyDescent="0.25">
      <c r="AO58" s="1"/>
      <c r="AP58" s="54">
        <v>53</v>
      </c>
      <c r="AQ58" s="55">
        <v>43191</v>
      </c>
      <c r="AR58" s="7" t="s">
        <v>133</v>
      </c>
      <c r="AS58" s="8">
        <v>10601413</v>
      </c>
      <c r="AT58" s="8">
        <v>985688</v>
      </c>
      <c r="AU58" s="8">
        <v>9615725</v>
      </c>
      <c r="AV58" s="7">
        <v>97</v>
      </c>
      <c r="AW58" s="7">
        <v>10</v>
      </c>
      <c r="AX58" s="7">
        <v>87</v>
      </c>
    </row>
    <row r="59" spans="41:50" x14ac:dyDescent="0.25">
      <c r="AO59" s="1"/>
      <c r="AP59" s="54">
        <v>54</v>
      </c>
      <c r="AQ59" s="55">
        <v>43191</v>
      </c>
      <c r="AR59" s="7" t="s">
        <v>134</v>
      </c>
      <c r="AS59" s="8">
        <v>10341100</v>
      </c>
      <c r="AT59" s="8">
        <v>2087925</v>
      </c>
      <c r="AU59" s="8">
        <v>8253175</v>
      </c>
      <c r="AV59" s="7">
        <v>101</v>
      </c>
      <c r="AW59" s="7">
        <v>22</v>
      </c>
      <c r="AX59" s="7">
        <v>79</v>
      </c>
    </row>
    <row r="60" spans="41:50" x14ac:dyDescent="0.25">
      <c r="AO60" s="1"/>
      <c r="AP60" s="54">
        <v>55</v>
      </c>
      <c r="AQ60" s="55">
        <v>43191</v>
      </c>
      <c r="AR60" s="7" t="s">
        <v>135</v>
      </c>
      <c r="AS60" s="8">
        <v>6779675</v>
      </c>
      <c r="AT60" s="8">
        <v>2612663</v>
      </c>
      <c r="AU60" s="8">
        <v>4167013</v>
      </c>
      <c r="AV60" s="7">
        <v>64</v>
      </c>
      <c r="AW60" s="7">
        <v>24</v>
      </c>
      <c r="AX60" s="7">
        <v>40</v>
      </c>
    </row>
  </sheetData>
  <mergeCells count="5">
    <mergeCell ref="B3:J3"/>
    <mergeCell ref="L3:T3"/>
    <mergeCell ref="V3:AD3"/>
    <mergeCell ref="AF3:AN3"/>
    <mergeCell ref="AQ3:AY3"/>
  </mergeCell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H52" workbookViewId="0">
      <selection activeCell="P6" sqref="P6"/>
    </sheetView>
  </sheetViews>
  <sheetFormatPr defaultRowHeight="15" x14ac:dyDescent="0.25"/>
  <cols>
    <col min="1" max="1" width="10.140625" bestFit="1" customWidth="1"/>
    <col min="2" max="2" width="4" bestFit="1" customWidth="1"/>
    <col min="3" max="3" width="7.140625" bestFit="1" customWidth="1"/>
    <col min="4" max="4" width="36.42578125" bestFit="1" customWidth="1"/>
    <col min="5" max="5" width="11.140625" bestFit="1" customWidth="1"/>
    <col min="6" max="6" width="10.42578125" bestFit="1" customWidth="1"/>
    <col min="7" max="7" width="12.5703125" bestFit="1" customWidth="1"/>
    <col min="8" max="8" width="11.140625" bestFit="1" customWidth="1"/>
    <col min="9" max="9" width="12.5703125" bestFit="1" customWidth="1"/>
    <col min="14" max="14" width="7.140625" bestFit="1" customWidth="1"/>
    <col min="15" max="15" width="36.42578125" bestFit="1" customWidth="1"/>
    <col min="16" max="16" width="11.140625" bestFit="1" customWidth="1"/>
    <col min="17" max="17" width="10.42578125" bestFit="1" customWidth="1"/>
    <col min="18" max="18" width="12.5703125" bestFit="1" customWidth="1"/>
    <col min="19" max="19" width="11.140625" bestFit="1" customWidth="1"/>
    <col min="20" max="20" width="12.5703125" bestFit="1" customWidth="1"/>
    <col min="21" max="21" width="9.28515625" customWidth="1"/>
  </cols>
  <sheetData>
    <row r="1" spans="1:21" x14ac:dyDescent="0.25">
      <c r="A1" s="58" t="s">
        <v>116</v>
      </c>
      <c r="M1" s="58" t="s">
        <v>116</v>
      </c>
    </row>
    <row r="2" spans="1:21" x14ac:dyDescent="0.25">
      <c r="A2" s="59">
        <v>43288</v>
      </c>
      <c r="M2" s="59">
        <v>43288</v>
      </c>
    </row>
    <row r="3" spans="1:21" ht="15.75" x14ac:dyDescent="0.25">
      <c r="B3" s="71" t="s">
        <v>140</v>
      </c>
      <c r="C3" s="71"/>
      <c r="D3" s="71"/>
      <c r="E3" s="71"/>
      <c r="F3" s="71"/>
      <c r="G3" s="71"/>
      <c r="H3" s="71"/>
      <c r="I3" s="71"/>
      <c r="J3" s="71"/>
      <c r="M3" s="71" t="s">
        <v>140</v>
      </c>
      <c r="N3" s="71"/>
      <c r="O3" s="71"/>
      <c r="P3" s="71"/>
      <c r="Q3" s="71"/>
      <c r="R3" s="71"/>
      <c r="S3" s="71"/>
      <c r="T3" s="71"/>
      <c r="U3" s="71"/>
    </row>
    <row r="5" spans="1:21" x14ac:dyDescent="0.25">
      <c r="B5" s="53" t="s">
        <v>70</v>
      </c>
      <c r="C5" s="53" t="s">
        <v>71</v>
      </c>
      <c r="D5" s="53" t="s">
        <v>3</v>
      </c>
      <c r="E5" s="53" t="s">
        <v>4</v>
      </c>
      <c r="F5" s="53" t="s">
        <v>5</v>
      </c>
      <c r="G5" s="53" t="s">
        <v>73</v>
      </c>
      <c r="H5" s="53" t="s">
        <v>7</v>
      </c>
      <c r="I5" s="53" t="s">
        <v>8</v>
      </c>
      <c r="J5" s="53" t="s">
        <v>11</v>
      </c>
      <c r="M5" s="53" t="s">
        <v>70</v>
      </c>
      <c r="N5" s="53" t="s">
        <v>71</v>
      </c>
      <c r="O5" s="53" t="s">
        <v>3</v>
      </c>
      <c r="P5" s="53" t="s">
        <v>4</v>
      </c>
      <c r="Q5" s="53" t="s">
        <v>5</v>
      </c>
      <c r="R5" s="53" t="s">
        <v>73</v>
      </c>
      <c r="S5" s="53" t="s">
        <v>7</v>
      </c>
      <c r="T5" s="53" t="s">
        <v>8</v>
      </c>
      <c r="U5" s="53" t="s">
        <v>11</v>
      </c>
    </row>
    <row r="6" spans="1:21" ht="15" customHeight="1" x14ac:dyDescent="0.25">
      <c r="B6" s="54">
        <v>1</v>
      </c>
      <c r="C6" s="55">
        <v>42856</v>
      </c>
      <c r="D6" s="7" t="s">
        <v>75</v>
      </c>
      <c r="E6" s="8">
        <v>231721088</v>
      </c>
      <c r="F6" s="8">
        <v>56685163</v>
      </c>
      <c r="G6" s="8">
        <v>175035925</v>
      </c>
      <c r="H6" s="8">
        <v>2297</v>
      </c>
      <c r="I6" s="7">
        <v>546</v>
      </c>
      <c r="J6" s="8">
        <v>1751</v>
      </c>
      <c r="M6" s="54">
        <v>1</v>
      </c>
      <c r="N6" s="55">
        <v>43221</v>
      </c>
      <c r="O6" s="7" t="s">
        <v>75</v>
      </c>
      <c r="P6" s="8">
        <v>93703225</v>
      </c>
      <c r="Q6" s="8">
        <v>24729775</v>
      </c>
      <c r="R6" s="8">
        <v>68973450</v>
      </c>
      <c r="S6" s="7">
        <v>912</v>
      </c>
      <c r="T6" s="7">
        <v>256</v>
      </c>
      <c r="U6" s="7">
        <v>656</v>
      </c>
    </row>
    <row r="7" spans="1:21" ht="15" customHeight="1" x14ac:dyDescent="0.25">
      <c r="B7" s="54">
        <v>2</v>
      </c>
      <c r="C7" s="55">
        <v>42856</v>
      </c>
      <c r="D7" s="7" t="s">
        <v>76</v>
      </c>
      <c r="E7" s="8">
        <v>252050838</v>
      </c>
      <c r="F7" s="8">
        <v>51499800</v>
      </c>
      <c r="G7" s="8">
        <v>200551038</v>
      </c>
      <c r="H7" s="8">
        <v>2415</v>
      </c>
      <c r="I7" s="7">
        <v>454</v>
      </c>
      <c r="J7" s="8">
        <v>1961</v>
      </c>
      <c r="M7" s="54">
        <v>2</v>
      </c>
      <c r="N7" s="55">
        <v>43221</v>
      </c>
      <c r="O7" s="7" t="s">
        <v>76</v>
      </c>
      <c r="P7" s="8">
        <v>227321413</v>
      </c>
      <c r="Q7" s="8">
        <v>19611725</v>
      </c>
      <c r="R7" s="8">
        <v>207709688</v>
      </c>
      <c r="S7" s="8">
        <v>2128</v>
      </c>
      <c r="T7" s="7">
        <v>221</v>
      </c>
      <c r="U7" s="8">
        <v>1907</v>
      </c>
    </row>
    <row r="8" spans="1:21" ht="15" customHeight="1" x14ac:dyDescent="0.25">
      <c r="B8" s="54">
        <v>3</v>
      </c>
      <c r="C8" s="55">
        <v>42856</v>
      </c>
      <c r="D8" s="7" t="s">
        <v>0</v>
      </c>
      <c r="E8" s="8">
        <v>161503300</v>
      </c>
      <c r="F8" s="8">
        <v>22203738</v>
      </c>
      <c r="G8" s="8">
        <v>139299563</v>
      </c>
      <c r="H8" s="8">
        <v>1531</v>
      </c>
      <c r="I8" s="7">
        <v>182</v>
      </c>
      <c r="J8" s="8">
        <v>1349</v>
      </c>
      <c r="M8" s="54">
        <v>3</v>
      </c>
      <c r="N8" s="55">
        <v>43221</v>
      </c>
      <c r="O8" s="7" t="s">
        <v>0</v>
      </c>
      <c r="P8" s="8">
        <v>71619275</v>
      </c>
      <c r="Q8" s="8">
        <v>9992325</v>
      </c>
      <c r="R8" s="8">
        <v>61626950</v>
      </c>
      <c r="S8" s="7">
        <v>679</v>
      </c>
      <c r="T8" s="7">
        <v>91</v>
      </c>
      <c r="U8" s="7">
        <v>588</v>
      </c>
    </row>
    <row r="9" spans="1:21" ht="15" customHeight="1" x14ac:dyDescent="0.25">
      <c r="B9" s="54">
        <v>4</v>
      </c>
      <c r="C9" s="55">
        <v>42856</v>
      </c>
      <c r="D9" s="7" t="s">
        <v>100</v>
      </c>
      <c r="E9" s="8">
        <v>9040238</v>
      </c>
      <c r="F9" s="8">
        <v>100938</v>
      </c>
      <c r="G9" s="8">
        <v>8939300</v>
      </c>
      <c r="H9" s="7">
        <v>86</v>
      </c>
      <c r="I9" s="7">
        <v>0</v>
      </c>
      <c r="J9" s="7">
        <v>86</v>
      </c>
      <c r="M9" s="54">
        <v>4</v>
      </c>
      <c r="N9" s="55">
        <v>43221</v>
      </c>
      <c r="O9" s="7" t="s">
        <v>100</v>
      </c>
      <c r="P9" s="8">
        <v>16502763</v>
      </c>
      <c r="Q9" s="7">
        <v>0</v>
      </c>
      <c r="R9" s="8">
        <v>16502763</v>
      </c>
      <c r="S9" s="7">
        <v>175</v>
      </c>
      <c r="T9" s="7">
        <v>0</v>
      </c>
      <c r="U9" s="7">
        <v>175</v>
      </c>
    </row>
    <row r="10" spans="1:21" ht="15" customHeight="1" x14ac:dyDescent="0.25">
      <c r="B10" s="54">
        <v>5</v>
      </c>
      <c r="C10" s="55">
        <v>42856</v>
      </c>
      <c r="D10" s="7" t="s">
        <v>96</v>
      </c>
      <c r="E10" s="8">
        <v>23079963</v>
      </c>
      <c r="F10" s="8">
        <v>447825</v>
      </c>
      <c r="G10" s="8">
        <v>22632138</v>
      </c>
      <c r="H10" s="7">
        <v>215</v>
      </c>
      <c r="I10" s="7">
        <v>4</v>
      </c>
      <c r="J10" s="7">
        <v>211</v>
      </c>
      <c r="M10" s="54">
        <v>5</v>
      </c>
      <c r="N10" s="55">
        <v>43221</v>
      </c>
      <c r="O10" s="7" t="s">
        <v>96</v>
      </c>
      <c r="P10" s="8">
        <v>13809425</v>
      </c>
      <c r="Q10" s="8">
        <v>131513</v>
      </c>
      <c r="R10" s="8">
        <v>13677913</v>
      </c>
      <c r="S10" s="7">
        <v>141</v>
      </c>
      <c r="T10" s="7">
        <v>1</v>
      </c>
      <c r="U10" s="7">
        <v>140</v>
      </c>
    </row>
    <row r="11" spans="1:21" ht="15" customHeight="1" x14ac:dyDescent="0.25">
      <c r="B11" s="54">
        <v>6</v>
      </c>
      <c r="C11" s="55">
        <v>42856</v>
      </c>
      <c r="D11" s="7" t="s">
        <v>77</v>
      </c>
      <c r="E11" s="8">
        <v>90290200</v>
      </c>
      <c r="F11" s="8">
        <v>19951875</v>
      </c>
      <c r="G11" s="8">
        <v>70338325</v>
      </c>
      <c r="H11" s="7">
        <v>745</v>
      </c>
      <c r="I11" s="7">
        <v>170</v>
      </c>
      <c r="J11" s="7">
        <v>575</v>
      </c>
      <c r="M11" s="54">
        <v>6</v>
      </c>
      <c r="N11" s="55">
        <v>43221</v>
      </c>
      <c r="O11" s="7" t="s">
        <v>77</v>
      </c>
      <c r="P11" s="8">
        <v>25113850</v>
      </c>
      <c r="Q11" s="8">
        <v>6834800</v>
      </c>
      <c r="R11" s="8">
        <v>18279050</v>
      </c>
      <c r="S11" s="7">
        <v>216</v>
      </c>
      <c r="T11" s="7">
        <v>56</v>
      </c>
      <c r="U11" s="7">
        <v>160</v>
      </c>
    </row>
    <row r="12" spans="1:21" ht="15" customHeight="1" x14ac:dyDescent="0.25">
      <c r="B12" s="54">
        <v>7</v>
      </c>
      <c r="C12" s="55">
        <v>42856</v>
      </c>
      <c r="D12" s="7" t="s">
        <v>80</v>
      </c>
      <c r="E12" s="8">
        <v>44233700</v>
      </c>
      <c r="F12" s="8">
        <v>606375</v>
      </c>
      <c r="G12" s="8">
        <v>43627325</v>
      </c>
      <c r="H12" s="7">
        <v>381</v>
      </c>
      <c r="I12" s="7">
        <v>6</v>
      </c>
      <c r="J12" s="7">
        <v>375</v>
      </c>
      <c r="M12" s="54">
        <v>7</v>
      </c>
      <c r="N12" s="55">
        <v>43221</v>
      </c>
      <c r="O12" s="7" t="s">
        <v>80</v>
      </c>
      <c r="P12" s="8">
        <v>39792988</v>
      </c>
      <c r="Q12" s="8">
        <v>888038</v>
      </c>
      <c r="R12" s="8">
        <v>38904950</v>
      </c>
      <c r="S12" s="7">
        <v>351</v>
      </c>
      <c r="T12" s="7">
        <v>9</v>
      </c>
      <c r="U12" s="7">
        <v>342</v>
      </c>
    </row>
    <row r="13" spans="1:21" ht="15" customHeight="1" x14ac:dyDescent="0.25">
      <c r="B13" s="54">
        <v>8</v>
      </c>
      <c r="C13" s="55">
        <v>42856</v>
      </c>
      <c r="D13" s="7" t="s">
        <v>97</v>
      </c>
      <c r="E13" s="8">
        <v>18802613</v>
      </c>
      <c r="F13" s="8">
        <v>796600</v>
      </c>
      <c r="G13" s="8">
        <v>18006013</v>
      </c>
      <c r="H13" s="7">
        <v>160</v>
      </c>
      <c r="I13" s="7">
        <v>9</v>
      </c>
      <c r="J13" s="7">
        <v>151</v>
      </c>
      <c r="M13" s="54">
        <v>8</v>
      </c>
      <c r="N13" s="55">
        <v>43221</v>
      </c>
      <c r="O13" s="7" t="s">
        <v>97</v>
      </c>
      <c r="P13" s="8">
        <v>22181250</v>
      </c>
      <c r="Q13" s="8">
        <v>1390200</v>
      </c>
      <c r="R13" s="8">
        <v>20791050</v>
      </c>
      <c r="S13" s="7">
        <v>190</v>
      </c>
      <c r="T13" s="7">
        <v>12</v>
      </c>
      <c r="U13" s="7">
        <v>178</v>
      </c>
    </row>
    <row r="14" spans="1:21" ht="15" customHeight="1" x14ac:dyDescent="0.25">
      <c r="B14" s="54">
        <v>9</v>
      </c>
      <c r="C14" s="55">
        <v>42856</v>
      </c>
      <c r="D14" s="7" t="s">
        <v>95</v>
      </c>
      <c r="E14" s="8">
        <v>28499713</v>
      </c>
      <c r="F14" s="8">
        <v>3694313</v>
      </c>
      <c r="G14" s="8">
        <v>24805400</v>
      </c>
      <c r="H14" s="7">
        <v>275</v>
      </c>
      <c r="I14" s="7">
        <v>34</v>
      </c>
      <c r="J14" s="7">
        <v>241</v>
      </c>
      <c r="M14" s="54">
        <v>9</v>
      </c>
      <c r="N14" s="55">
        <v>43221</v>
      </c>
      <c r="O14" s="7" t="s">
        <v>95</v>
      </c>
      <c r="P14" s="8">
        <v>27997025</v>
      </c>
      <c r="Q14" s="8">
        <v>1339625</v>
      </c>
      <c r="R14" s="8">
        <v>26657400</v>
      </c>
      <c r="S14" s="7">
        <v>250</v>
      </c>
      <c r="T14" s="7">
        <v>12</v>
      </c>
      <c r="U14" s="7">
        <v>238</v>
      </c>
    </row>
    <row r="15" spans="1:21" ht="15" customHeight="1" x14ac:dyDescent="0.25">
      <c r="B15" s="54">
        <v>10</v>
      </c>
      <c r="C15" s="55">
        <v>42856</v>
      </c>
      <c r="D15" s="7" t="s">
        <v>109</v>
      </c>
      <c r="E15" s="8">
        <v>10092163</v>
      </c>
      <c r="F15" s="8">
        <v>205800</v>
      </c>
      <c r="G15" s="8">
        <v>9886363</v>
      </c>
      <c r="H15" s="7">
        <v>94</v>
      </c>
      <c r="I15" s="7">
        <v>2</v>
      </c>
      <c r="J15" s="7">
        <v>92</v>
      </c>
      <c r="M15" s="54">
        <v>10</v>
      </c>
      <c r="N15" s="55">
        <v>43221</v>
      </c>
      <c r="O15" s="7" t="s">
        <v>109</v>
      </c>
      <c r="P15" s="8">
        <v>17817275</v>
      </c>
      <c r="Q15" s="8">
        <v>110075</v>
      </c>
      <c r="R15" s="8">
        <v>17707200</v>
      </c>
      <c r="S15" s="7">
        <v>149</v>
      </c>
      <c r="T15" s="7">
        <v>1</v>
      </c>
      <c r="U15" s="7">
        <v>148</v>
      </c>
    </row>
    <row r="16" spans="1:21" ht="15" customHeight="1" x14ac:dyDescent="0.25">
      <c r="B16" s="54">
        <v>11</v>
      </c>
      <c r="C16" s="55">
        <v>42856</v>
      </c>
      <c r="D16" s="7" t="s">
        <v>84</v>
      </c>
      <c r="E16" s="8">
        <v>51912350</v>
      </c>
      <c r="F16" s="8">
        <v>8449600</v>
      </c>
      <c r="G16" s="8">
        <v>43462750</v>
      </c>
      <c r="H16" s="7">
        <v>501</v>
      </c>
      <c r="I16" s="7">
        <v>68</v>
      </c>
      <c r="J16" s="7">
        <v>433</v>
      </c>
      <c r="M16" s="54">
        <v>11</v>
      </c>
      <c r="N16" s="55">
        <v>43221</v>
      </c>
      <c r="O16" s="7" t="s">
        <v>84</v>
      </c>
      <c r="P16" s="8">
        <v>13984688</v>
      </c>
      <c r="Q16" s="8">
        <v>818388</v>
      </c>
      <c r="R16" s="8">
        <v>13166300</v>
      </c>
      <c r="S16" s="7">
        <v>128</v>
      </c>
      <c r="T16" s="7">
        <v>10</v>
      </c>
      <c r="U16" s="7">
        <v>118</v>
      </c>
    </row>
    <row r="17" spans="2:21" ht="15" customHeight="1" x14ac:dyDescent="0.25">
      <c r="B17" s="54">
        <v>12</v>
      </c>
      <c r="C17" s="55">
        <v>42856</v>
      </c>
      <c r="D17" s="7" t="s">
        <v>104</v>
      </c>
      <c r="E17" s="8">
        <v>27726388</v>
      </c>
      <c r="F17" s="8">
        <v>2231025</v>
      </c>
      <c r="G17" s="8">
        <v>25495363</v>
      </c>
      <c r="H17" s="7">
        <v>253</v>
      </c>
      <c r="I17" s="7">
        <v>22</v>
      </c>
      <c r="J17" s="7">
        <v>231</v>
      </c>
      <c r="M17" s="54">
        <v>12</v>
      </c>
      <c r="N17" s="55">
        <v>43221</v>
      </c>
      <c r="O17" s="7" t="s">
        <v>104</v>
      </c>
      <c r="P17" s="8">
        <v>27531525</v>
      </c>
      <c r="Q17" s="8">
        <v>2276563</v>
      </c>
      <c r="R17" s="8">
        <v>25254963</v>
      </c>
      <c r="S17" s="7">
        <v>288</v>
      </c>
      <c r="T17" s="7">
        <v>23</v>
      </c>
      <c r="U17" s="7">
        <v>265</v>
      </c>
    </row>
    <row r="18" spans="2:21" ht="15" customHeight="1" x14ac:dyDescent="0.25">
      <c r="B18" s="54">
        <v>13</v>
      </c>
      <c r="C18" s="55">
        <v>42856</v>
      </c>
      <c r="D18" s="7" t="s">
        <v>113</v>
      </c>
      <c r="E18" s="8">
        <v>13529425</v>
      </c>
      <c r="F18" s="7">
        <v>0</v>
      </c>
      <c r="G18" s="8">
        <v>13529425</v>
      </c>
      <c r="H18" s="7">
        <v>115</v>
      </c>
      <c r="I18" s="7">
        <v>0</v>
      </c>
      <c r="J18" s="7">
        <v>115</v>
      </c>
      <c r="M18" s="54">
        <v>13</v>
      </c>
      <c r="N18" s="55">
        <v>43221</v>
      </c>
      <c r="O18" s="7" t="s">
        <v>113</v>
      </c>
      <c r="P18" s="8">
        <v>28957163</v>
      </c>
      <c r="Q18" s="7">
        <v>0</v>
      </c>
      <c r="R18" s="8">
        <v>28957163</v>
      </c>
      <c r="S18" s="7">
        <v>227</v>
      </c>
      <c r="T18" s="7">
        <v>0</v>
      </c>
      <c r="U18" s="7">
        <v>227</v>
      </c>
    </row>
    <row r="19" spans="2:21" ht="15" customHeight="1" x14ac:dyDescent="0.25">
      <c r="B19" s="54">
        <v>14</v>
      </c>
      <c r="C19" s="55">
        <v>42856</v>
      </c>
      <c r="D19" s="7" t="s">
        <v>93</v>
      </c>
      <c r="E19" s="8">
        <v>23724488</v>
      </c>
      <c r="F19" s="8">
        <v>4611338</v>
      </c>
      <c r="G19" s="8">
        <v>19113150</v>
      </c>
      <c r="H19" s="7">
        <v>225</v>
      </c>
      <c r="I19" s="7">
        <v>45</v>
      </c>
      <c r="J19" s="7">
        <v>180</v>
      </c>
      <c r="M19" s="54">
        <v>14</v>
      </c>
      <c r="N19" s="55">
        <v>43221</v>
      </c>
      <c r="O19" s="7" t="s">
        <v>93</v>
      </c>
      <c r="P19" s="8">
        <v>9344200</v>
      </c>
      <c r="Q19" s="8">
        <v>1331475</v>
      </c>
      <c r="R19" s="8">
        <v>8012725</v>
      </c>
      <c r="S19" s="7">
        <v>79</v>
      </c>
      <c r="T19" s="7">
        <v>11</v>
      </c>
      <c r="U19" s="7">
        <v>68</v>
      </c>
    </row>
    <row r="20" spans="2:21" ht="15" customHeight="1" x14ac:dyDescent="0.25">
      <c r="B20" s="54">
        <v>15</v>
      </c>
      <c r="C20" s="55">
        <v>42856</v>
      </c>
      <c r="D20" s="7" t="s">
        <v>108</v>
      </c>
      <c r="E20" s="8">
        <v>11007938</v>
      </c>
      <c r="F20" s="8">
        <v>436963</v>
      </c>
      <c r="G20" s="8">
        <v>10570975</v>
      </c>
      <c r="H20" s="7">
        <v>113</v>
      </c>
      <c r="I20" s="7">
        <v>1</v>
      </c>
      <c r="J20" s="7">
        <v>112</v>
      </c>
      <c r="M20" s="54">
        <v>15</v>
      </c>
      <c r="N20" s="55">
        <v>43221</v>
      </c>
      <c r="O20" s="7" t="s">
        <v>108</v>
      </c>
      <c r="P20" s="8">
        <v>7667363</v>
      </c>
      <c r="Q20" s="8">
        <v>48550</v>
      </c>
      <c r="R20" s="8">
        <v>7618813</v>
      </c>
      <c r="S20" s="7">
        <v>93</v>
      </c>
      <c r="T20" s="7">
        <v>1</v>
      </c>
      <c r="U20" s="7">
        <v>92</v>
      </c>
    </row>
    <row r="21" spans="2:21" ht="15" customHeight="1" x14ac:dyDescent="0.25">
      <c r="B21" s="54">
        <v>16</v>
      </c>
      <c r="C21" s="55">
        <v>42856</v>
      </c>
      <c r="D21" s="7" t="s">
        <v>89</v>
      </c>
      <c r="E21" s="8">
        <v>27459600</v>
      </c>
      <c r="F21" s="8">
        <v>6762525</v>
      </c>
      <c r="G21" s="8">
        <v>20697075</v>
      </c>
      <c r="H21" s="7">
        <v>262</v>
      </c>
      <c r="I21" s="7">
        <v>65</v>
      </c>
      <c r="J21" s="7">
        <v>197</v>
      </c>
      <c r="M21" s="54">
        <v>16</v>
      </c>
      <c r="N21" s="55">
        <v>43221</v>
      </c>
      <c r="O21" s="7" t="s">
        <v>89</v>
      </c>
      <c r="P21" s="8">
        <v>19204588</v>
      </c>
      <c r="Q21" s="8">
        <v>3956138</v>
      </c>
      <c r="R21" s="8">
        <v>15248450</v>
      </c>
      <c r="S21" s="7">
        <v>177</v>
      </c>
      <c r="T21" s="7">
        <v>35</v>
      </c>
      <c r="U21" s="7">
        <v>142</v>
      </c>
    </row>
    <row r="22" spans="2:21" ht="15" customHeight="1" x14ac:dyDescent="0.25">
      <c r="B22" s="54">
        <v>17</v>
      </c>
      <c r="C22" s="55">
        <v>42856</v>
      </c>
      <c r="D22" s="7" t="s">
        <v>91</v>
      </c>
      <c r="E22" s="8">
        <v>35113838</v>
      </c>
      <c r="F22" s="8">
        <v>2360400</v>
      </c>
      <c r="G22" s="8">
        <v>32753438</v>
      </c>
      <c r="H22" s="7">
        <v>399</v>
      </c>
      <c r="I22" s="7">
        <v>23</v>
      </c>
      <c r="J22" s="7">
        <v>376</v>
      </c>
      <c r="M22" s="54">
        <v>17</v>
      </c>
      <c r="N22" s="55">
        <v>43221</v>
      </c>
      <c r="O22" s="7" t="s">
        <v>91</v>
      </c>
      <c r="P22" s="8">
        <v>32006800</v>
      </c>
      <c r="Q22" s="8">
        <v>669813</v>
      </c>
      <c r="R22" s="8">
        <v>31336988</v>
      </c>
      <c r="S22" s="7">
        <v>294</v>
      </c>
      <c r="T22" s="7">
        <v>7</v>
      </c>
      <c r="U22" s="7">
        <v>287</v>
      </c>
    </row>
    <row r="23" spans="2:21" ht="15" customHeight="1" x14ac:dyDescent="0.25">
      <c r="B23" s="54">
        <v>18</v>
      </c>
      <c r="C23" s="55">
        <v>42856</v>
      </c>
      <c r="D23" s="7" t="s">
        <v>101</v>
      </c>
      <c r="E23" s="8">
        <v>18712663</v>
      </c>
      <c r="F23" s="8">
        <v>4687025</v>
      </c>
      <c r="G23" s="8">
        <v>14025638</v>
      </c>
      <c r="H23" s="7">
        <v>176</v>
      </c>
      <c r="I23" s="7">
        <v>42</v>
      </c>
      <c r="J23" s="7">
        <v>134</v>
      </c>
      <c r="M23" s="54">
        <v>18</v>
      </c>
      <c r="N23" s="55">
        <v>43221</v>
      </c>
      <c r="O23" s="7" t="s">
        <v>101</v>
      </c>
      <c r="P23" s="8">
        <v>8135050</v>
      </c>
      <c r="Q23" s="8">
        <v>602000</v>
      </c>
      <c r="R23" s="8">
        <v>7533050</v>
      </c>
      <c r="S23" s="7">
        <v>79</v>
      </c>
      <c r="T23" s="7">
        <v>8</v>
      </c>
      <c r="U23" s="7">
        <v>71</v>
      </c>
    </row>
    <row r="24" spans="2:21" ht="15" customHeight="1" x14ac:dyDescent="0.25">
      <c r="B24" s="54">
        <v>19</v>
      </c>
      <c r="C24" s="55">
        <v>42856</v>
      </c>
      <c r="D24" s="7" t="s">
        <v>112</v>
      </c>
      <c r="E24" s="8">
        <v>12321400</v>
      </c>
      <c r="F24" s="8">
        <v>910438</v>
      </c>
      <c r="G24" s="8">
        <v>11410963</v>
      </c>
      <c r="H24" s="7">
        <v>120</v>
      </c>
      <c r="I24" s="7">
        <v>10</v>
      </c>
      <c r="J24" s="7">
        <v>110</v>
      </c>
      <c r="M24" s="54">
        <v>19</v>
      </c>
      <c r="N24" s="55">
        <v>43221</v>
      </c>
      <c r="O24" s="7" t="s">
        <v>112</v>
      </c>
      <c r="P24" s="8">
        <v>25566538</v>
      </c>
      <c r="Q24" s="8">
        <v>1895325</v>
      </c>
      <c r="R24" s="8">
        <v>23671213</v>
      </c>
      <c r="S24" s="7">
        <v>240</v>
      </c>
      <c r="T24" s="7">
        <v>17</v>
      </c>
      <c r="U24" s="7">
        <v>223</v>
      </c>
    </row>
    <row r="25" spans="2:21" ht="15" customHeight="1" x14ac:dyDescent="0.25">
      <c r="B25" s="54">
        <v>20</v>
      </c>
      <c r="C25" s="55">
        <v>42856</v>
      </c>
      <c r="D25" s="7" t="s">
        <v>79</v>
      </c>
      <c r="E25" s="8">
        <v>62987313</v>
      </c>
      <c r="F25" s="8">
        <v>15396325</v>
      </c>
      <c r="G25" s="8">
        <v>47590988</v>
      </c>
      <c r="H25" s="7">
        <v>580</v>
      </c>
      <c r="I25" s="7">
        <v>137</v>
      </c>
      <c r="J25" s="7">
        <v>443</v>
      </c>
      <c r="M25" s="54">
        <v>20</v>
      </c>
      <c r="N25" s="55">
        <v>43221</v>
      </c>
      <c r="O25" s="7" t="s">
        <v>79</v>
      </c>
      <c r="P25" s="8">
        <v>79633488</v>
      </c>
      <c r="Q25" s="8">
        <v>16714338</v>
      </c>
      <c r="R25" s="8">
        <v>62919150</v>
      </c>
      <c r="S25" s="7">
        <v>763</v>
      </c>
      <c r="T25" s="7">
        <v>157</v>
      </c>
      <c r="U25" s="7">
        <v>606</v>
      </c>
    </row>
    <row r="26" spans="2:21" ht="15" customHeight="1" x14ac:dyDescent="0.25">
      <c r="B26" s="54">
        <v>21</v>
      </c>
      <c r="C26" s="55">
        <v>42856</v>
      </c>
      <c r="D26" s="7" t="s">
        <v>83</v>
      </c>
      <c r="E26" s="8">
        <v>46020975</v>
      </c>
      <c r="F26" s="8">
        <v>9432763</v>
      </c>
      <c r="G26" s="8">
        <v>36588213</v>
      </c>
      <c r="H26" s="7">
        <v>448</v>
      </c>
      <c r="I26" s="7">
        <v>77</v>
      </c>
      <c r="J26" s="7">
        <v>371</v>
      </c>
      <c r="M26" s="54">
        <v>21</v>
      </c>
      <c r="N26" s="55">
        <v>43221</v>
      </c>
      <c r="O26" s="7" t="s">
        <v>83</v>
      </c>
      <c r="P26" s="8">
        <v>15274613</v>
      </c>
      <c r="Q26" s="8">
        <v>3103975</v>
      </c>
      <c r="R26" s="8">
        <v>12170638</v>
      </c>
      <c r="S26" s="7">
        <v>157</v>
      </c>
      <c r="T26" s="7">
        <v>24</v>
      </c>
      <c r="U26" s="7">
        <v>133</v>
      </c>
    </row>
    <row r="27" spans="2:21" ht="15" customHeight="1" x14ac:dyDescent="0.25">
      <c r="B27" s="54">
        <v>22</v>
      </c>
      <c r="C27" s="55">
        <v>42856</v>
      </c>
      <c r="D27" s="7" t="s">
        <v>107</v>
      </c>
      <c r="E27" s="8">
        <v>7385788</v>
      </c>
      <c r="F27" s="8">
        <v>306775</v>
      </c>
      <c r="G27" s="8">
        <v>7079013</v>
      </c>
      <c r="H27" s="7">
        <v>78</v>
      </c>
      <c r="I27" s="7">
        <v>3</v>
      </c>
      <c r="J27" s="7">
        <v>75</v>
      </c>
      <c r="M27" s="54">
        <v>22</v>
      </c>
      <c r="N27" s="55">
        <v>43221</v>
      </c>
      <c r="O27" s="7" t="s">
        <v>107</v>
      </c>
      <c r="P27" s="8">
        <v>15134613</v>
      </c>
      <c r="Q27" s="8">
        <v>544338</v>
      </c>
      <c r="R27" s="8">
        <v>14590275</v>
      </c>
      <c r="S27" s="7">
        <v>141</v>
      </c>
      <c r="T27" s="7">
        <v>6</v>
      </c>
      <c r="U27" s="7">
        <v>135</v>
      </c>
    </row>
    <row r="28" spans="2:21" ht="15" customHeight="1" x14ac:dyDescent="0.25">
      <c r="B28" s="54">
        <v>23</v>
      </c>
      <c r="C28" s="55">
        <v>42856</v>
      </c>
      <c r="D28" s="7" t="s">
        <v>111</v>
      </c>
      <c r="E28" s="8">
        <v>10699150</v>
      </c>
      <c r="F28" s="8">
        <v>576225</v>
      </c>
      <c r="G28" s="8">
        <v>10122925</v>
      </c>
      <c r="H28" s="7">
        <v>98</v>
      </c>
      <c r="I28" s="7">
        <v>5</v>
      </c>
      <c r="J28" s="7">
        <v>93</v>
      </c>
      <c r="M28" s="54">
        <v>23</v>
      </c>
      <c r="N28" s="55">
        <v>43221</v>
      </c>
      <c r="O28" s="7" t="s">
        <v>111</v>
      </c>
      <c r="P28" s="8">
        <v>8774063</v>
      </c>
      <c r="Q28" s="8">
        <v>110863</v>
      </c>
      <c r="R28" s="8">
        <v>8663200</v>
      </c>
      <c r="S28" s="7">
        <v>76</v>
      </c>
      <c r="T28" s="7">
        <v>1</v>
      </c>
      <c r="U28" s="7">
        <v>75</v>
      </c>
    </row>
    <row r="29" spans="2:21" ht="15" customHeight="1" x14ac:dyDescent="0.25">
      <c r="B29" s="54">
        <v>24</v>
      </c>
      <c r="C29" s="55">
        <v>42856</v>
      </c>
      <c r="D29" s="7" t="s">
        <v>105</v>
      </c>
      <c r="E29" s="8">
        <v>15401663</v>
      </c>
      <c r="F29" s="8">
        <v>1813613</v>
      </c>
      <c r="G29" s="8">
        <v>13588050</v>
      </c>
      <c r="H29" s="7">
        <v>143</v>
      </c>
      <c r="I29" s="7">
        <v>16</v>
      </c>
      <c r="J29" s="7">
        <v>127</v>
      </c>
      <c r="M29" s="54">
        <v>24</v>
      </c>
      <c r="N29" s="55">
        <v>43221</v>
      </c>
      <c r="O29" s="7" t="s">
        <v>105</v>
      </c>
      <c r="P29" s="8">
        <v>28900550</v>
      </c>
      <c r="Q29" s="8">
        <v>131513</v>
      </c>
      <c r="R29" s="8">
        <v>28769038</v>
      </c>
      <c r="S29" s="7">
        <v>247</v>
      </c>
      <c r="T29" s="7">
        <v>1</v>
      </c>
      <c r="U29" s="7">
        <v>246</v>
      </c>
    </row>
    <row r="30" spans="2:21" ht="15" customHeight="1" x14ac:dyDescent="0.25">
      <c r="B30" s="54">
        <v>25</v>
      </c>
      <c r="C30" s="55">
        <v>42856</v>
      </c>
      <c r="D30" s="7" t="s">
        <v>85</v>
      </c>
      <c r="E30" s="8">
        <v>44632613</v>
      </c>
      <c r="F30" s="8">
        <v>11675388</v>
      </c>
      <c r="G30" s="8">
        <v>32957225</v>
      </c>
      <c r="H30" s="7">
        <v>425</v>
      </c>
      <c r="I30" s="7">
        <v>110</v>
      </c>
      <c r="J30" s="7">
        <v>315</v>
      </c>
      <c r="M30" s="54">
        <v>25</v>
      </c>
      <c r="N30" s="55">
        <v>43221</v>
      </c>
      <c r="O30" s="7" t="s">
        <v>85</v>
      </c>
      <c r="P30" s="8">
        <v>4336763</v>
      </c>
      <c r="Q30" s="8">
        <v>996275</v>
      </c>
      <c r="R30" s="8">
        <v>3340488</v>
      </c>
      <c r="S30" s="7">
        <v>46</v>
      </c>
      <c r="T30" s="7">
        <v>11</v>
      </c>
      <c r="U30" s="7">
        <v>35</v>
      </c>
    </row>
    <row r="31" spans="2:21" ht="15" customHeight="1" x14ac:dyDescent="0.25">
      <c r="B31" s="54">
        <v>26</v>
      </c>
      <c r="C31" s="55">
        <v>42856</v>
      </c>
      <c r="D31" s="7" t="s">
        <v>81</v>
      </c>
      <c r="E31" s="8">
        <v>56631225</v>
      </c>
      <c r="F31" s="8">
        <v>8765925</v>
      </c>
      <c r="G31" s="8">
        <v>47865300</v>
      </c>
      <c r="H31" s="7">
        <v>539</v>
      </c>
      <c r="I31" s="7">
        <v>83</v>
      </c>
      <c r="J31" s="7">
        <v>456</v>
      </c>
      <c r="M31" s="54">
        <v>26</v>
      </c>
      <c r="N31" s="55">
        <v>43221</v>
      </c>
      <c r="O31" s="7" t="s">
        <v>81</v>
      </c>
      <c r="P31" s="8">
        <v>31680775</v>
      </c>
      <c r="Q31" s="8">
        <v>6517788</v>
      </c>
      <c r="R31" s="8">
        <v>25162988</v>
      </c>
      <c r="S31" s="7">
        <v>309</v>
      </c>
      <c r="T31" s="7">
        <v>59</v>
      </c>
      <c r="U31" s="7">
        <v>250</v>
      </c>
    </row>
    <row r="32" spans="2:21" ht="15" customHeight="1" x14ac:dyDescent="0.25">
      <c r="B32" s="54">
        <v>27</v>
      </c>
      <c r="C32" s="55">
        <v>42856</v>
      </c>
      <c r="D32" s="7" t="s">
        <v>102</v>
      </c>
      <c r="E32" s="8">
        <v>17049600</v>
      </c>
      <c r="F32" s="8">
        <v>4571875</v>
      </c>
      <c r="G32" s="8">
        <v>12477725</v>
      </c>
      <c r="H32" s="7">
        <v>137</v>
      </c>
      <c r="I32" s="7">
        <v>35</v>
      </c>
      <c r="J32" s="7">
        <v>102</v>
      </c>
      <c r="M32" s="54">
        <v>27</v>
      </c>
      <c r="N32" s="55">
        <v>43221</v>
      </c>
      <c r="O32" s="7" t="s">
        <v>102</v>
      </c>
      <c r="P32" s="8">
        <v>9183500</v>
      </c>
      <c r="Q32" s="8">
        <v>2371300</v>
      </c>
      <c r="R32" s="8">
        <v>6812200</v>
      </c>
      <c r="S32" s="7">
        <v>77</v>
      </c>
      <c r="T32" s="7">
        <v>18</v>
      </c>
      <c r="U32" s="7">
        <v>59</v>
      </c>
    </row>
    <row r="33" spans="2:21" ht="15" customHeight="1" x14ac:dyDescent="0.25">
      <c r="B33" s="54">
        <v>28</v>
      </c>
      <c r="C33" s="55">
        <v>42856</v>
      </c>
      <c r="D33" s="7" t="s">
        <v>87</v>
      </c>
      <c r="E33" s="8">
        <v>38877388</v>
      </c>
      <c r="F33" s="8">
        <v>9827213</v>
      </c>
      <c r="G33" s="8">
        <v>29050175</v>
      </c>
      <c r="H33" s="7">
        <v>379</v>
      </c>
      <c r="I33" s="7">
        <v>94</v>
      </c>
      <c r="J33" s="7">
        <v>285</v>
      </c>
      <c r="M33" s="54">
        <v>28</v>
      </c>
      <c r="N33" s="55">
        <v>43221</v>
      </c>
      <c r="O33" s="7" t="s">
        <v>87</v>
      </c>
      <c r="P33" s="8">
        <v>14031063</v>
      </c>
      <c r="Q33" s="8">
        <v>2349288</v>
      </c>
      <c r="R33" s="8">
        <v>11681775</v>
      </c>
      <c r="S33" s="7">
        <v>136</v>
      </c>
      <c r="T33" s="7">
        <v>22</v>
      </c>
      <c r="U33" s="7">
        <v>114</v>
      </c>
    </row>
    <row r="34" spans="2:21" ht="15" customHeight="1" x14ac:dyDescent="0.25">
      <c r="B34" s="54">
        <v>29</v>
      </c>
      <c r="C34" s="55">
        <v>42856</v>
      </c>
      <c r="D34" s="7" t="s">
        <v>98</v>
      </c>
      <c r="E34" s="8">
        <v>19814900</v>
      </c>
      <c r="F34" s="8">
        <v>5945363</v>
      </c>
      <c r="G34" s="8">
        <v>13869538</v>
      </c>
      <c r="H34" s="7">
        <v>192</v>
      </c>
      <c r="I34" s="7">
        <v>51</v>
      </c>
      <c r="J34" s="7">
        <v>141</v>
      </c>
      <c r="M34" s="54">
        <v>29</v>
      </c>
      <c r="N34" s="55">
        <v>43221</v>
      </c>
      <c r="O34" s="7" t="s">
        <v>98</v>
      </c>
      <c r="P34" s="8">
        <v>13927813</v>
      </c>
      <c r="Q34" s="8">
        <v>3231025</v>
      </c>
      <c r="R34" s="8">
        <v>10696788</v>
      </c>
      <c r="S34" s="7">
        <v>135</v>
      </c>
      <c r="T34" s="7">
        <v>30</v>
      </c>
      <c r="U34" s="7">
        <v>105</v>
      </c>
    </row>
    <row r="35" spans="2:21" ht="15" customHeight="1" x14ac:dyDescent="0.25">
      <c r="B35" s="54">
        <v>30</v>
      </c>
      <c r="C35" s="55">
        <v>42856</v>
      </c>
      <c r="D35" s="7" t="s">
        <v>78</v>
      </c>
      <c r="E35" s="8">
        <v>37446588</v>
      </c>
      <c r="F35" s="8">
        <v>7293650</v>
      </c>
      <c r="G35" s="8">
        <v>30152938</v>
      </c>
      <c r="H35" s="7">
        <v>352</v>
      </c>
      <c r="I35" s="7">
        <v>69</v>
      </c>
      <c r="J35" s="7">
        <v>283</v>
      </c>
      <c r="M35" s="54">
        <v>30</v>
      </c>
      <c r="N35" s="55">
        <v>43221</v>
      </c>
      <c r="O35" s="7" t="s">
        <v>78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</row>
    <row r="36" spans="2:21" ht="15" customHeight="1" x14ac:dyDescent="0.25">
      <c r="B36" s="54">
        <v>31</v>
      </c>
      <c r="C36" s="55">
        <v>42856</v>
      </c>
      <c r="D36" s="7" t="s">
        <v>82</v>
      </c>
      <c r="E36" s="8">
        <v>63420350</v>
      </c>
      <c r="F36" s="8">
        <v>21514588</v>
      </c>
      <c r="G36" s="8">
        <v>41905763</v>
      </c>
      <c r="H36" s="7">
        <v>599</v>
      </c>
      <c r="I36" s="7">
        <v>157</v>
      </c>
      <c r="J36" s="7">
        <v>442</v>
      </c>
      <c r="M36" s="54">
        <v>31</v>
      </c>
      <c r="N36" s="55">
        <v>43221</v>
      </c>
      <c r="O36" s="7" t="s">
        <v>82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</row>
    <row r="37" spans="2:21" ht="15" customHeight="1" x14ac:dyDescent="0.25">
      <c r="B37" s="54">
        <v>32</v>
      </c>
      <c r="C37" s="55">
        <v>42856</v>
      </c>
      <c r="D37" s="7" t="s">
        <v>86</v>
      </c>
      <c r="E37" s="8">
        <v>50051050</v>
      </c>
      <c r="F37" s="8">
        <v>975013</v>
      </c>
      <c r="G37" s="8">
        <v>49076038</v>
      </c>
      <c r="H37" s="7">
        <v>423</v>
      </c>
      <c r="I37" s="7">
        <v>9</v>
      </c>
      <c r="J37" s="7">
        <v>414</v>
      </c>
      <c r="M37" s="54">
        <v>32</v>
      </c>
      <c r="N37" s="55">
        <v>43221</v>
      </c>
      <c r="O37" s="7" t="s">
        <v>86</v>
      </c>
      <c r="P37" s="8">
        <v>14768688</v>
      </c>
      <c r="Q37" s="8">
        <v>1547825</v>
      </c>
      <c r="R37" s="8">
        <v>13220863</v>
      </c>
      <c r="S37" s="7">
        <v>136</v>
      </c>
      <c r="T37" s="7">
        <v>14</v>
      </c>
      <c r="U37" s="7">
        <v>122</v>
      </c>
    </row>
    <row r="38" spans="2:21" ht="15" customHeight="1" x14ac:dyDescent="0.25">
      <c r="B38" s="54">
        <v>33</v>
      </c>
      <c r="C38" s="55">
        <v>42856</v>
      </c>
      <c r="D38" s="7" t="s">
        <v>88</v>
      </c>
      <c r="E38" s="8">
        <v>16884263</v>
      </c>
      <c r="F38" s="8">
        <v>3488888</v>
      </c>
      <c r="G38" s="8">
        <v>13395375</v>
      </c>
      <c r="H38" s="7">
        <v>168</v>
      </c>
      <c r="I38" s="7">
        <v>30</v>
      </c>
      <c r="J38" s="7">
        <v>138</v>
      </c>
      <c r="M38" s="54">
        <v>33</v>
      </c>
      <c r="N38" s="55">
        <v>43221</v>
      </c>
      <c r="O38" s="7" t="s">
        <v>88</v>
      </c>
      <c r="P38" s="8">
        <v>4704788</v>
      </c>
      <c r="Q38" s="8">
        <v>526600</v>
      </c>
      <c r="R38" s="8">
        <v>4178188</v>
      </c>
      <c r="S38" s="7">
        <v>50</v>
      </c>
      <c r="T38" s="7">
        <v>7</v>
      </c>
      <c r="U38" s="7">
        <v>43</v>
      </c>
    </row>
    <row r="39" spans="2:21" ht="15" customHeight="1" x14ac:dyDescent="0.25">
      <c r="B39" s="54">
        <v>34</v>
      </c>
      <c r="C39" s="55">
        <v>42856</v>
      </c>
      <c r="D39" s="7" t="s">
        <v>90</v>
      </c>
      <c r="E39" s="8">
        <v>15326850</v>
      </c>
      <c r="F39" s="7">
        <v>0</v>
      </c>
      <c r="G39" s="8">
        <v>15326850</v>
      </c>
      <c r="H39" s="7">
        <v>165</v>
      </c>
      <c r="I39" s="7">
        <v>0</v>
      </c>
      <c r="J39" s="7">
        <v>165</v>
      </c>
      <c r="M39" s="54">
        <v>34</v>
      </c>
      <c r="N39" s="55">
        <v>43221</v>
      </c>
      <c r="O39" s="7" t="s">
        <v>90</v>
      </c>
      <c r="P39" s="8">
        <v>13190888</v>
      </c>
      <c r="Q39" s="8">
        <v>-5000</v>
      </c>
      <c r="R39" s="8">
        <v>13195888</v>
      </c>
      <c r="S39" s="7">
        <v>93</v>
      </c>
      <c r="T39" s="7">
        <v>0</v>
      </c>
      <c r="U39" s="7">
        <v>93</v>
      </c>
    </row>
    <row r="40" spans="2:21" ht="15" customHeight="1" x14ac:dyDescent="0.25">
      <c r="B40" s="54">
        <v>35</v>
      </c>
      <c r="C40" s="55">
        <v>42856</v>
      </c>
      <c r="D40" s="7" t="s">
        <v>92</v>
      </c>
      <c r="E40" s="8">
        <v>19926900</v>
      </c>
      <c r="F40" s="8">
        <v>4854588</v>
      </c>
      <c r="G40" s="8">
        <v>15072313</v>
      </c>
      <c r="H40" s="7">
        <v>191</v>
      </c>
      <c r="I40" s="7">
        <v>44</v>
      </c>
      <c r="J40" s="7">
        <v>147</v>
      </c>
      <c r="M40" s="54">
        <v>35</v>
      </c>
      <c r="N40" s="55">
        <v>43221</v>
      </c>
      <c r="O40" s="7" t="s">
        <v>92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</row>
    <row r="41" spans="2:21" ht="15" customHeight="1" x14ac:dyDescent="0.25">
      <c r="B41" s="54">
        <v>36</v>
      </c>
      <c r="C41" s="55">
        <v>42856</v>
      </c>
      <c r="D41" s="7" t="s">
        <v>94</v>
      </c>
      <c r="E41" s="8">
        <v>24304613</v>
      </c>
      <c r="F41" s="8">
        <v>29362</v>
      </c>
      <c r="G41" s="8">
        <v>24275251</v>
      </c>
      <c r="H41" s="7">
        <v>150</v>
      </c>
      <c r="I41" s="7">
        <v>0</v>
      </c>
      <c r="J41" s="7">
        <v>150</v>
      </c>
      <c r="M41" s="54">
        <v>36</v>
      </c>
      <c r="N41" s="55">
        <v>43221</v>
      </c>
      <c r="O41" s="7" t="s">
        <v>94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</row>
    <row r="42" spans="2:21" ht="15" customHeight="1" x14ac:dyDescent="0.25">
      <c r="B42" s="54">
        <v>37</v>
      </c>
      <c r="C42" s="55">
        <v>42856</v>
      </c>
      <c r="D42" s="7" t="s">
        <v>99</v>
      </c>
      <c r="E42" s="8">
        <v>19191113</v>
      </c>
      <c r="F42" s="8">
        <v>6220025</v>
      </c>
      <c r="G42" s="8">
        <v>12971088</v>
      </c>
      <c r="H42" s="7">
        <v>183</v>
      </c>
      <c r="I42" s="7">
        <v>59</v>
      </c>
      <c r="J42" s="7">
        <v>124</v>
      </c>
      <c r="M42" s="54">
        <v>37</v>
      </c>
      <c r="N42" s="55">
        <v>43221</v>
      </c>
      <c r="O42" s="7" t="s">
        <v>99</v>
      </c>
      <c r="P42" s="8">
        <v>11276825</v>
      </c>
      <c r="Q42" s="8">
        <v>4466438</v>
      </c>
      <c r="R42" s="8">
        <v>6810388</v>
      </c>
      <c r="S42" s="7">
        <v>103</v>
      </c>
      <c r="T42" s="7">
        <v>38</v>
      </c>
      <c r="U42" s="7">
        <v>65</v>
      </c>
    </row>
    <row r="43" spans="2:21" ht="15" customHeight="1" x14ac:dyDescent="0.25">
      <c r="B43" s="54">
        <v>38</v>
      </c>
      <c r="C43" s="55">
        <v>42856</v>
      </c>
      <c r="D43" s="7" t="s">
        <v>103</v>
      </c>
      <c r="E43" s="8">
        <v>17252638</v>
      </c>
      <c r="F43" s="8">
        <v>3498338</v>
      </c>
      <c r="G43" s="8">
        <v>13754300</v>
      </c>
      <c r="H43" s="7">
        <v>168</v>
      </c>
      <c r="I43" s="7">
        <v>35</v>
      </c>
      <c r="J43" s="7">
        <v>133</v>
      </c>
      <c r="M43" s="54">
        <v>38</v>
      </c>
      <c r="N43" s="55">
        <v>43221</v>
      </c>
      <c r="O43" s="7" t="s">
        <v>103</v>
      </c>
      <c r="P43" s="8">
        <v>4776800</v>
      </c>
      <c r="Q43" s="8">
        <v>184975</v>
      </c>
      <c r="R43" s="8">
        <v>4591826</v>
      </c>
      <c r="S43" s="7">
        <v>41</v>
      </c>
      <c r="T43" s="7">
        <v>3</v>
      </c>
      <c r="U43" s="7">
        <v>38</v>
      </c>
    </row>
    <row r="44" spans="2:21" ht="15" customHeight="1" x14ac:dyDescent="0.25">
      <c r="B44" s="54">
        <v>39</v>
      </c>
      <c r="C44" s="55">
        <v>42856</v>
      </c>
      <c r="D44" s="7" t="s">
        <v>137</v>
      </c>
      <c r="E44" s="8">
        <v>7986475</v>
      </c>
      <c r="F44" s="8">
        <v>236775</v>
      </c>
      <c r="G44" s="8">
        <v>7749700</v>
      </c>
      <c r="H44" s="7">
        <v>78</v>
      </c>
      <c r="I44" s="7">
        <v>3</v>
      </c>
      <c r="J44" s="7">
        <v>75</v>
      </c>
      <c r="M44" s="54">
        <v>39</v>
      </c>
      <c r="N44" s="55">
        <v>43221</v>
      </c>
      <c r="O44" s="7" t="s">
        <v>137</v>
      </c>
      <c r="P44" s="8">
        <v>10939513</v>
      </c>
      <c r="Q44" s="8">
        <v>4448850</v>
      </c>
      <c r="R44" s="8">
        <v>6490663</v>
      </c>
      <c r="S44" s="7">
        <v>96</v>
      </c>
      <c r="T44" s="7">
        <v>42</v>
      </c>
      <c r="U44" s="7">
        <v>54</v>
      </c>
    </row>
    <row r="45" spans="2:21" ht="15" customHeight="1" x14ac:dyDescent="0.25">
      <c r="B45" s="54">
        <v>40</v>
      </c>
      <c r="C45" s="55">
        <v>42856</v>
      </c>
      <c r="D45" s="7" t="s">
        <v>110</v>
      </c>
      <c r="E45" s="8">
        <v>20300350</v>
      </c>
      <c r="F45" s="8">
        <v>787000</v>
      </c>
      <c r="G45" s="8">
        <v>19513350</v>
      </c>
      <c r="H45" s="7">
        <v>215</v>
      </c>
      <c r="I45" s="7">
        <v>8</v>
      </c>
      <c r="J45" s="7">
        <v>207</v>
      </c>
      <c r="M45" s="54">
        <v>40</v>
      </c>
      <c r="N45" s="55">
        <v>43221</v>
      </c>
      <c r="O45" s="7" t="s">
        <v>110</v>
      </c>
      <c r="P45" s="8">
        <v>35238350</v>
      </c>
      <c r="Q45" s="8">
        <v>596225</v>
      </c>
      <c r="R45" s="8">
        <v>34642125</v>
      </c>
      <c r="S45" s="7">
        <v>379</v>
      </c>
      <c r="T45" s="7">
        <v>6</v>
      </c>
      <c r="U45" s="7">
        <v>373</v>
      </c>
    </row>
    <row r="46" spans="2:21" ht="15" customHeight="1" x14ac:dyDescent="0.25">
      <c r="B46" s="54">
        <v>41</v>
      </c>
      <c r="C46" s="55">
        <v>42856</v>
      </c>
      <c r="D46" s="7" t="s">
        <v>119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M46" s="54">
        <v>41</v>
      </c>
      <c r="N46" s="55">
        <v>43221</v>
      </c>
      <c r="O46" s="7" t="s">
        <v>119</v>
      </c>
      <c r="P46" s="8">
        <v>35626650</v>
      </c>
      <c r="Q46" s="8">
        <v>7313000</v>
      </c>
      <c r="R46" s="8">
        <v>28313650</v>
      </c>
      <c r="S46" s="7">
        <v>296</v>
      </c>
      <c r="T46" s="7">
        <v>56</v>
      </c>
      <c r="U46" s="7">
        <v>240</v>
      </c>
    </row>
    <row r="47" spans="2:21" ht="15" customHeight="1" x14ac:dyDescent="0.25">
      <c r="B47" s="54">
        <v>42</v>
      </c>
      <c r="C47" s="55">
        <v>42856</v>
      </c>
      <c r="D47" s="7" t="s">
        <v>123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M47" s="54">
        <v>42</v>
      </c>
      <c r="N47" s="55">
        <v>43221</v>
      </c>
      <c r="O47" s="7" t="s">
        <v>123</v>
      </c>
      <c r="P47" s="8">
        <v>24576125</v>
      </c>
      <c r="Q47" s="8">
        <v>7685738</v>
      </c>
      <c r="R47" s="8">
        <v>16890388</v>
      </c>
      <c r="S47" s="7">
        <v>237</v>
      </c>
      <c r="T47" s="7">
        <v>81</v>
      </c>
      <c r="U47" s="7">
        <v>156</v>
      </c>
    </row>
    <row r="48" spans="2:21" ht="15" customHeight="1" x14ac:dyDescent="0.25">
      <c r="B48" s="54">
        <v>43</v>
      </c>
      <c r="C48" s="55">
        <v>42856</v>
      </c>
      <c r="D48" s="7" t="s">
        <v>124</v>
      </c>
      <c r="E48" s="8">
        <v>3689088</v>
      </c>
      <c r="F48" s="8">
        <v>577112</v>
      </c>
      <c r="G48" s="8">
        <v>3111976</v>
      </c>
      <c r="H48" s="7">
        <v>35</v>
      </c>
      <c r="I48" s="7">
        <v>6</v>
      </c>
      <c r="J48" s="7">
        <v>29</v>
      </c>
      <c r="M48" s="54">
        <v>43</v>
      </c>
      <c r="N48" s="55">
        <v>43221</v>
      </c>
      <c r="O48" s="7" t="s">
        <v>124</v>
      </c>
      <c r="P48" s="8">
        <v>19456588</v>
      </c>
      <c r="Q48" s="8">
        <v>4174100</v>
      </c>
      <c r="R48" s="8">
        <v>15282488</v>
      </c>
      <c r="S48" s="7">
        <v>202</v>
      </c>
      <c r="T48" s="7">
        <v>41</v>
      </c>
      <c r="U48" s="7">
        <v>161</v>
      </c>
    </row>
    <row r="49" spans="2:21" ht="15" customHeight="1" x14ac:dyDescent="0.25">
      <c r="B49" s="54">
        <v>44</v>
      </c>
      <c r="C49" s="55">
        <v>42856</v>
      </c>
      <c r="D49" s="7" t="s">
        <v>125</v>
      </c>
      <c r="E49" s="8">
        <v>8830763</v>
      </c>
      <c r="F49" s="8">
        <v>1504738</v>
      </c>
      <c r="G49" s="8">
        <v>7326025</v>
      </c>
      <c r="H49" s="7">
        <v>83</v>
      </c>
      <c r="I49" s="7">
        <v>14</v>
      </c>
      <c r="J49" s="7">
        <v>69</v>
      </c>
      <c r="M49" s="54">
        <v>44</v>
      </c>
      <c r="N49" s="55">
        <v>43221</v>
      </c>
      <c r="O49" s="7" t="s">
        <v>125</v>
      </c>
      <c r="P49" s="8">
        <v>13294050</v>
      </c>
      <c r="Q49" s="8">
        <v>3161550</v>
      </c>
      <c r="R49" s="8">
        <v>10132500</v>
      </c>
      <c r="S49" s="7">
        <v>131</v>
      </c>
      <c r="T49" s="7">
        <v>28</v>
      </c>
      <c r="U49" s="7">
        <v>103</v>
      </c>
    </row>
    <row r="50" spans="2:21" ht="15" customHeight="1" x14ac:dyDescent="0.25">
      <c r="B50" s="54">
        <v>45</v>
      </c>
      <c r="C50" s="55">
        <v>42856</v>
      </c>
      <c r="D50" s="7" t="s">
        <v>126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M50" s="54">
        <v>45</v>
      </c>
      <c r="N50" s="55">
        <v>43221</v>
      </c>
      <c r="O50" s="7" t="s">
        <v>126</v>
      </c>
      <c r="P50" s="8">
        <v>17353875</v>
      </c>
      <c r="Q50" s="8">
        <v>3295513</v>
      </c>
      <c r="R50" s="8">
        <v>14058363</v>
      </c>
      <c r="S50" s="7">
        <v>165</v>
      </c>
      <c r="T50" s="7">
        <v>32</v>
      </c>
      <c r="U50" s="7">
        <v>133</v>
      </c>
    </row>
    <row r="51" spans="2:21" ht="15" customHeight="1" x14ac:dyDescent="0.25">
      <c r="B51" s="54">
        <v>46</v>
      </c>
      <c r="C51" s="55">
        <v>42856</v>
      </c>
      <c r="D51" s="7" t="s">
        <v>127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M51" s="54">
        <v>46</v>
      </c>
      <c r="N51" s="55">
        <v>43221</v>
      </c>
      <c r="O51" s="7" t="s">
        <v>127</v>
      </c>
      <c r="P51" s="8">
        <v>20300525</v>
      </c>
      <c r="Q51" s="8">
        <v>4085288</v>
      </c>
      <c r="R51" s="8">
        <v>16215238</v>
      </c>
      <c r="S51" s="7">
        <v>198</v>
      </c>
      <c r="T51" s="7">
        <v>40</v>
      </c>
      <c r="U51" s="7">
        <v>158</v>
      </c>
    </row>
    <row r="52" spans="2:21" ht="15" customHeight="1" x14ac:dyDescent="0.25">
      <c r="B52" s="54">
        <v>47</v>
      </c>
      <c r="C52" s="55">
        <v>42856</v>
      </c>
      <c r="D52" s="7" t="s">
        <v>128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M52" s="54">
        <v>47</v>
      </c>
      <c r="N52" s="55">
        <v>43221</v>
      </c>
      <c r="O52" s="7" t="s">
        <v>128</v>
      </c>
      <c r="P52" s="8">
        <v>17246688</v>
      </c>
      <c r="Q52" s="8">
        <v>2917338</v>
      </c>
      <c r="R52" s="8">
        <v>14329350</v>
      </c>
      <c r="S52" s="7">
        <v>169</v>
      </c>
      <c r="T52" s="7">
        <v>27</v>
      </c>
      <c r="U52" s="7">
        <v>142</v>
      </c>
    </row>
    <row r="53" spans="2:21" ht="15" customHeight="1" x14ac:dyDescent="0.25">
      <c r="B53" s="54">
        <v>48</v>
      </c>
      <c r="C53" s="55">
        <v>42856</v>
      </c>
      <c r="D53" s="7" t="s">
        <v>129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M53" s="54">
        <v>48</v>
      </c>
      <c r="N53" s="55">
        <v>43221</v>
      </c>
      <c r="O53" s="7" t="s">
        <v>129</v>
      </c>
      <c r="P53" s="8">
        <v>21341250</v>
      </c>
      <c r="Q53" s="8">
        <v>3268563</v>
      </c>
      <c r="R53" s="8">
        <v>18072688</v>
      </c>
      <c r="S53" s="7">
        <v>203</v>
      </c>
      <c r="T53" s="7">
        <v>29</v>
      </c>
      <c r="U53" s="7">
        <v>174</v>
      </c>
    </row>
    <row r="54" spans="2:21" ht="15" customHeight="1" x14ac:dyDescent="0.25">
      <c r="B54" s="54">
        <v>49</v>
      </c>
      <c r="C54" s="55">
        <v>42856</v>
      </c>
      <c r="D54" s="7" t="s">
        <v>130</v>
      </c>
      <c r="E54" s="8">
        <v>6076350</v>
      </c>
      <c r="F54" s="8">
        <v>795638</v>
      </c>
      <c r="G54" s="8">
        <v>5280713</v>
      </c>
      <c r="H54" s="7">
        <v>61</v>
      </c>
      <c r="I54" s="7">
        <v>8</v>
      </c>
      <c r="J54" s="7">
        <v>53</v>
      </c>
      <c r="M54" s="54">
        <v>49</v>
      </c>
      <c r="N54" s="55">
        <v>43221</v>
      </c>
      <c r="O54" s="7" t="s">
        <v>130</v>
      </c>
      <c r="P54" s="8">
        <v>20090088</v>
      </c>
      <c r="Q54" s="8">
        <v>4686588</v>
      </c>
      <c r="R54" s="8">
        <v>15403500</v>
      </c>
      <c r="S54" s="7">
        <v>191</v>
      </c>
      <c r="T54" s="7">
        <v>39</v>
      </c>
      <c r="U54" s="7">
        <v>152</v>
      </c>
    </row>
    <row r="55" spans="2:21" ht="15" customHeight="1" x14ac:dyDescent="0.25">
      <c r="B55" s="54">
        <v>50</v>
      </c>
      <c r="C55" s="55">
        <v>42856</v>
      </c>
      <c r="D55" s="7" t="s">
        <v>131</v>
      </c>
      <c r="E55" s="8">
        <v>28416325</v>
      </c>
      <c r="F55" s="8">
        <v>7818125</v>
      </c>
      <c r="G55" s="8">
        <v>20598200</v>
      </c>
      <c r="H55" s="7">
        <v>276</v>
      </c>
      <c r="I55" s="7">
        <v>74</v>
      </c>
      <c r="J55" s="7">
        <v>202</v>
      </c>
      <c r="M55" s="54">
        <v>50</v>
      </c>
      <c r="N55" s="55">
        <v>43221</v>
      </c>
      <c r="O55" s="7" t="s">
        <v>131</v>
      </c>
      <c r="P55" s="8">
        <v>14153213</v>
      </c>
      <c r="Q55" s="8">
        <v>2383413</v>
      </c>
      <c r="R55" s="8">
        <v>11769800</v>
      </c>
      <c r="S55" s="7">
        <v>135</v>
      </c>
      <c r="T55" s="7">
        <v>22</v>
      </c>
      <c r="U55" s="7">
        <v>113</v>
      </c>
    </row>
    <row r="56" spans="2:21" ht="15" customHeight="1" x14ac:dyDescent="0.25">
      <c r="B56" s="54">
        <v>51</v>
      </c>
      <c r="C56" s="55">
        <v>42856</v>
      </c>
      <c r="D56" s="7" t="s">
        <v>129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M56" s="54">
        <v>51</v>
      </c>
      <c r="N56" s="55">
        <v>43221</v>
      </c>
      <c r="O56" s="7" t="s">
        <v>129</v>
      </c>
      <c r="P56" s="8">
        <v>21341250</v>
      </c>
      <c r="Q56" s="8">
        <v>3268563</v>
      </c>
      <c r="R56" s="8">
        <v>18072688</v>
      </c>
      <c r="S56" s="7">
        <v>203</v>
      </c>
      <c r="T56" s="7">
        <v>29</v>
      </c>
      <c r="U56" s="7">
        <v>174</v>
      </c>
    </row>
    <row r="57" spans="2:21" ht="15" customHeight="1" x14ac:dyDescent="0.25">
      <c r="B57" s="54">
        <v>52</v>
      </c>
      <c r="C57" s="55">
        <v>42856</v>
      </c>
      <c r="D57" s="7" t="s">
        <v>132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M57" s="54">
        <v>52</v>
      </c>
      <c r="N57" s="55">
        <v>43221</v>
      </c>
      <c r="O57" s="7" t="s">
        <v>132</v>
      </c>
      <c r="P57" s="8">
        <v>20949688</v>
      </c>
      <c r="Q57" s="8">
        <v>3896200</v>
      </c>
      <c r="R57" s="8">
        <v>17053488</v>
      </c>
      <c r="S57" s="7">
        <v>210</v>
      </c>
      <c r="T57" s="7">
        <v>38</v>
      </c>
      <c r="U57" s="7">
        <v>172</v>
      </c>
    </row>
    <row r="58" spans="2:21" ht="15" customHeight="1" x14ac:dyDescent="0.25">
      <c r="B58" s="54">
        <v>53</v>
      </c>
      <c r="C58" s="55">
        <v>42856</v>
      </c>
      <c r="D58" s="7" t="s">
        <v>133</v>
      </c>
      <c r="E58" s="8">
        <v>19894350</v>
      </c>
      <c r="F58" s="8">
        <v>4111975</v>
      </c>
      <c r="G58" s="8">
        <v>15782375</v>
      </c>
      <c r="H58" s="7">
        <v>194</v>
      </c>
      <c r="I58" s="7">
        <v>28</v>
      </c>
      <c r="J58" s="7">
        <v>166</v>
      </c>
      <c r="M58" s="54">
        <v>53</v>
      </c>
      <c r="N58" s="55">
        <v>43221</v>
      </c>
      <c r="O58" s="7" t="s">
        <v>133</v>
      </c>
      <c r="P58" s="8">
        <v>7165988</v>
      </c>
      <c r="Q58" s="8">
        <v>1785201</v>
      </c>
      <c r="R58" s="8">
        <v>5380787</v>
      </c>
      <c r="S58" s="7">
        <v>67</v>
      </c>
      <c r="T58" s="7">
        <v>16</v>
      </c>
      <c r="U58" s="7">
        <v>51</v>
      </c>
    </row>
    <row r="59" spans="2:21" ht="15" customHeight="1" x14ac:dyDescent="0.25">
      <c r="B59" s="54">
        <v>54</v>
      </c>
      <c r="C59" s="55">
        <v>42856</v>
      </c>
      <c r="D59" s="7" t="s">
        <v>134</v>
      </c>
      <c r="E59" s="8">
        <v>7071750</v>
      </c>
      <c r="F59" s="8">
        <v>303450</v>
      </c>
      <c r="G59" s="8">
        <v>6768300</v>
      </c>
      <c r="H59" s="7">
        <v>65</v>
      </c>
      <c r="I59" s="7">
        <v>3</v>
      </c>
      <c r="J59" s="7">
        <v>62</v>
      </c>
      <c r="M59" s="54">
        <v>54</v>
      </c>
      <c r="N59" s="55">
        <v>43221</v>
      </c>
      <c r="O59" s="7" t="s">
        <v>134</v>
      </c>
      <c r="P59" s="8">
        <v>15909425</v>
      </c>
      <c r="Q59" s="8">
        <v>3183688</v>
      </c>
      <c r="R59" s="8">
        <v>12725738</v>
      </c>
      <c r="S59" s="7">
        <v>145</v>
      </c>
      <c r="T59" s="7">
        <v>25</v>
      </c>
      <c r="U59" s="7">
        <v>120</v>
      </c>
    </row>
    <row r="60" spans="2:21" ht="15" customHeight="1" x14ac:dyDescent="0.25">
      <c r="B60" s="54">
        <v>55</v>
      </c>
      <c r="C60" s="55">
        <v>42856</v>
      </c>
      <c r="D60" s="7" t="s">
        <v>135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M60" s="54">
        <v>55</v>
      </c>
      <c r="N60" s="55">
        <v>43221</v>
      </c>
      <c r="O60" s="7" t="s">
        <v>135</v>
      </c>
      <c r="P60" s="52"/>
      <c r="Q60" s="52"/>
      <c r="R60" s="52"/>
      <c r="S60" s="52"/>
      <c r="T60" s="52"/>
      <c r="U60" s="52"/>
    </row>
    <row r="61" spans="2:21" ht="15" customHeight="1" x14ac:dyDescent="0.25">
      <c r="B61" s="54">
        <v>56</v>
      </c>
      <c r="C61" s="55">
        <v>42856</v>
      </c>
      <c r="D61" s="7" t="s">
        <v>138</v>
      </c>
      <c r="E61" s="8">
        <v>7107538</v>
      </c>
      <c r="F61" s="8">
        <v>831425</v>
      </c>
      <c r="G61" s="8">
        <v>6276113</v>
      </c>
      <c r="H61" s="7">
        <v>67</v>
      </c>
      <c r="I61" s="7">
        <v>8</v>
      </c>
      <c r="J61" s="7">
        <v>59</v>
      </c>
      <c r="M61" s="54">
        <v>56</v>
      </c>
      <c r="N61" s="55">
        <v>43221</v>
      </c>
      <c r="O61" s="7" t="s">
        <v>138</v>
      </c>
      <c r="P61" s="8">
        <v>6647725</v>
      </c>
      <c r="Q61" s="8">
        <v>673050</v>
      </c>
      <c r="R61" s="8">
        <v>5974675</v>
      </c>
      <c r="S61" s="7">
        <v>63</v>
      </c>
      <c r="T61" s="7">
        <v>6</v>
      </c>
      <c r="U61" s="7">
        <v>57</v>
      </c>
    </row>
    <row r="62" spans="2:21" ht="15" customHeight="1" x14ac:dyDescent="0.25">
      <c r="B62" s="54">
        <v>57</v>
      </c>
      <c r="C62" s="55">
        <v>42856</v>
      </c>
      <c r="D62" s="7" t="s">
        <v>139</v>
      </c>
      <c r="E62" s="8">
        <v>7839038</v>
      </c>
      <c r="F62" s="8">
        <v>2812163</v>
      </c>
      <c r="G62" s="8">
        <v>5026875</v>
      </c>
      <c r="H62" s="7">
        <v>82</v>
      </c>
      <c r="I62" s="7">
        <v>28</v>
      </c>
      <c r="J62" s="7">
        <v>54</v>
      </c>
      <c r="M62" s="54">
        <v>57</v>
      </c>
      <c r="N62" s="55">
        <v>43221</v>
      </c>
      <c r="O62" s="7" t="s">
        <v>139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</row>
    <row r="63" spans="2:21" x14ac:dyDescent="0.25">
      <c r="M63" s="54">
        <v>58</v>
      </c>
      <c r="N63" s="55">
        <v>43221</v>
      </c>
      <c r="O63" s="7" t="s">
        <v>127</v>
      </c>
      <c r="P63" s="8">
        <v>20300525</v>
      </c>
      <c r="Q63" s="8">
        <v>4085288</v>
      </c>
      <c r="R63" s="8">
        <v>16215238</v>
      </c>
      <c r="S63" s="7">
        <v>198</v>
      </c>
      <c r="T63" s="7">
        <v>40</v>
      </c>
      <c r="U63" s="7">
        <v>158</v>
      </c>
    </row>
    <row r="64" spans="2:21" ht="15" customHeight="1" x14ac:dyDescent="0.25">
      <c r="M64" s="54">
        <v>59</v>
      </c>
      <c r="N64" s="55">
        <v>43221</v>
      </c>
      <c r="O64" s="7" t="s">
        <v>143</v>
      </c>
      <c r="P64" s="8">
        <v>12336700</v>
      </c>
      <c r="Q64" s="8">
        <v>1744500</v>
      </c>
      <c r="R64" s="8">
        <v>10592200</v>
      </c>
      <c r="S64" s="7">
        <v>102</v>
      </c>
      <c r="T64" s="7">
        <v>14</v>
      </c>
      <c r="U64" s="7">
        <v>88</v>
      </c>
    </row>
    <row r="65" spans="13:21" ht="15" customHeight="1" x14ac:dyDescent="0.25">
      <c r="M65" s="54">
        <v>60</v>
      </c>
      <c r="N65" s="55">
        <v>43221</v>
      </c>
      <c r="O65" s="7" t="s">
        <v>142</v>
      </c>
      <c r="P65" s="8">
        <v>10117800</v>
      </c>
      <c r="Q65" s="8">
        <v>52325</v>
      </c>
      <c r="R65" s="8">
        <v>10065475</v>
      </c>
      <c r="S65" s="7">
        <v>105</v>
      </c>
      <c r="T65" s="7">
        <v>1</v>
      </c>
      <c r="U65" s="7">
        <v>104</v>
      </c>
    </row>
  </sheetData>
  <mergeCells count="2">
    <mergeCell ref="B3:J3"/>
    <mergeCell ref="M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pane xSplit="1" ySplit="1" topLeftCell="F3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RowHeight="15" x14ac:dyDescent="0.25"/>
  <cols>
    <col min="1" max="1" width="14.5703125" customWidth="1"/>
    <col min="2" max="2" width="12.57031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57031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ht="45" x14ac:dyDescent="0.25">
      <c r="A1" s="28" t="s">
        <v>10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22" t="s">
        <v>9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11</v>
      </c>
      <c r="K3" s="5" t="s">
        <v>9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10">
        <v>42736</v>
      </c>
      <c r="C4" s="8">
        <v>17322025</v>
      </c>
      <c r="D4" s="8">
        <v>51888</v>
      </c>
      <c r="E4" s="8">
        <v>17270138</v>
      </c>
      <c r="F4" s="7">
        <v>248</v>
      </c>
      <c r="G4" s="7">
        <v>0</v>
      </c>
      <c r="H4" s="9">
        <v>248</v>
      </c>
      <c r="K4" s="2">
        <v>43101</v>
      </c>
      <c r="L4" s="4">
        <v>18161763</v>
      </c>
      <c r="M4" s="4">
        <v>98525</v>
      </c>
      <c r="N4" s="4">
        <v>18063238</v>
      </c>
      <c r="O4" s="3">
        <v>196</v>
      </c>
      <c r="P4" s="3">
        <v>1</v>
      </c>
      <c r="Q4" s="3">
        <v>195</v>
      </c>
    </row>
    <row r="5" spans="1:17" ht="15" customHeight="1" x14ac:dyDescent="0.25">
      <c r="B5" s="10">
        <v>42767</v>
      </c>
      <c r="C5" s="8">
        <v>15483125</v>
      </c>
      <c r="D5" s="7">
        <v>0</v>
      </c>
      <c r="E5" s="8">
        <v>15483125</v>
      </c>
      <c r="F5" s="7">
        <v>176</v>
      </c>
      <c r="G5" s="7">
        <v>0</v>
      </c>
      <c r="H5" s="9">
        <v>176</v>
      </c>
      <c r="K5" s="2">
        <v>43132</v>
      </c>
      <c r="L5" s="4">
        <v>3001688</v>
      </c>
      <c r="M5" s="3">
        <v>0</v>
      </c>
      <c r="N5" s="4">
        <v>3001688</v>
      </c>
      <c r="O5" s="3">
        <v>28</v>
      </c>
      <c r="P5" s="3">
        <v>1</v>
      </c>
      <c r="Q5" s="3">
        <v>27</v>
      </c>
    </row>
    <row r="6" spans="1:17" ht="15" customHeight="1" x14ac:dyDescent="0.25">
      <c r="B6" s="25">
        <v>42795</v>
      </c>
      <c r="C6" s="16">
        <v>27445600</v>
      </c>
      <c r="D6" s="26">
        <v>0</v>
      </c>
      <c r="E6" s="16">
        <v>27445600</v>
      </c>
      <c r="F6" s="26">
        <v>343</v>
      </c>
      <c r="G6" s="26">
        <v>0</v>
      </c>
      <c r="H6" s="27">
        <v>343</v>
      </c>
    </row>
    <row r="7" spans="1:17" ht="15" customHeight="1" x14ac:dyDescent="0.25">
      <c r="B7" s="31"/>
      <c r="C7" s="16">
        <f>SUBTOTAL(109,Table3[Nilai Jual])</f>
        <v>60250750</v>
      </c>
      <c r="D7" s="16">
        <f>SUBTOTAL(109,Table3[Nilai Retur])</f>
        <v>51888</v>
      </c>
      <c r="E7" s="16">
        <f>SUBTOTAL(109,Table3[Jual Net])</f>
        <v>60198863</v>
      </c>
      <c r="F7" s="16">
        <f>SUBTOTAL(109,Table3[Jumlah Jual])</f>
        <v>767</v>
      </c>
      <c r="G7" s="16">
        <f>SUBTOTAL(109,Table3[Jumlah Retur])</f>
        <v>0</v>
      </c>
      <c r="H7" s="16">
        <f>SUBTOTAL(109,Table3[Jual Net2])</f>
        <v>767</v>
      </c>
    </row>
    <row r="15" spans="1:17" x14ac:dyDescent="0.25">
      <c r="C15" s="21"/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4"/>
  <sheetViews>
    <sheetView topLeftCell="F49" workbookViewId="0">
      <selection activeCell="O54" sqref="O54"/>
    </sheetView>
  </sheetViews>
  <sheetFormatPr defaultRowHeight="15" x14ac:dyDescent="0.25"/>
  <cols>
    <col min="4" max="4" width="36.42578125" bestFit="1" customWidth="1"/>
    <col min="5" max="5" width="11.140625" bestFit="1" customWidth="1"/>
    <col min="6" max="6" width="10.42578125" bestFit="1" customWidth="1"/>
    <col min="7" max="7" width="12.5703125" bestFit="1" customWidth="1"/>
    <col min="8" max="8" width="11.140625" bestFit="1" customWidth="1"/>
    <col min="9" max="9" width="12.5703125" bestFit="1" customWidth="1"/>
    <col min="15" max="15" width="36.42578125" bestFit="1" customWidth="1"/>
    <col min="16" max="16" width="11.140625" bestFit="1" customWidth="1"/>
    <col min="17" max="17" width="10.42578125" bestFit="1" customWidth="1"/>
    <col min="18" max="18" width="12.5703125" bestFit="1" customWidth="1"/>
    <col min="19" max="19" width="11.140625" bestFit="1" customWidth="1"/>
    <col min="20" max="20" width="12.5703125" bestFit="1" customWidth="1"/>
    <col min="21" max="21" width="9.140625" bestFit="1" customWidth="1"/>
  </cols>
  <sheetData>
    <row r="1" spans="2:21" x14ac:dyDescent="0.25">
      <c r="B1" s="58" t="s">
        <v>116</v>
      </c>
      <c r="L1" s="58"/>
      <c r="M1" s="58" t="s">
        <v>116</v>
      </c>
    </row>
    <row r="2" spans="2:21" x14ac:dyDescent="0.25">
      <c r="B2" s="59">
        <v>43288</v>
      </c>
      <c r="L2" s="59"/>
      <c r="M2" s="59">
        <v>43288</v>
      </c>
    </row>
    <row r="3" spans="2:21" ht="15.75" x14ac:dyDescent="0.25">
      <c r="C3" s="71" t="s">
        <v>141</v>
      </c>
      <c r="D3" s="71"/>
      <c r="E3" s="71"/>
      <c r="F3" s="71"/>
      <c r="G3" s="71"/>
      <c r="H3" s="71"/>
      <c r="I3" s="71"/>
      <c r="J3" s="71"/>
      <c r="K3" s="71"/>
      <c r="L3" s="66"/>
      <c r="M3" s="71" t="s">
        <v>145</v>
      </c>
      <c r="N3" s="71"/>
      <c r="O3" s="71"/>
      <c r="P3" s="71"/>
      <c r="Q3" s="71"/>
      <c r="R3" s="71"/>
      <c r="S3" s="71"/>
      <c r="T3" s="71"/>
      <c r="U3" s="71"/>
    </row>
    <row r="5" spans="2:21" x14ac:dyDescent="0.25">
      <c r="B5" s="53" t="s">
        <v>70</v>
      </c>
      <c r="C5" s="53" t="s">
        <v>71</v>
      </c>
      <c r="D5" s="53" t="s">
        <v>3</v>
      </c>
      <c r="E5" s="53" t="s">
        <v>4</v>
      </c>
      <c r="F5" s="53" t="s">
        <v>5</v>
      </c>
      <c r="G5" s="53" t="s">
        <v>73</v>
      </c>
      <c r="H5" s="53" t="s">
        <v>7</v>
      </c>
      <c r="I5" s="53" t="s">
        <v>8</v>
      </c>
      <c r="J5" s="53" t="s">
        <v>11</v>
      </c>
      <c r="M5" s="53" t="s">
        <v>70</v>
      </c>
      <c r="N5" s="53" t="s">
        <v>71</v>
      </c>
      <c r="O5" s="53" t="s">
        <v>3</v>
      </c>
      <c r="P5" s="53" t="s">
        <v>4</v>
      </c>
      <c r="Q5" s="53" t="s">
        <v>5</v>
      </c>
      <c r="R5" s="53" t="s">
        <v>73</v>
      </c>
      <c r="S5" s="53" t="s">
        <v>7</v>
      </c>
      <c r="T5" s="53" t="s">
        <v>8</v>
      </c>
      <c r="U5" s="53" t="s">
        <v>11</v>
      </c>
    </row>
    <row r="6" spans="2:21" ht="15" customHeight="1" x14ac:dyDescent="0.25">
      <c r="B6" s="54">
        <v>1</v>
      </c>
      <c r="C6" s="55">
        <v>42887</v>
      </c>
      <c r="D6" s="7" t="s">
        <v>75</v>
      </c>
      <c r="E6" s="8">
        <v>180653988</v>
      </c>
      <c r="F6" s="8">
        <v>43530638</v>
      </c>
      <c r="G6" s="8">
        <v>137123350</v>
      </c>
      <c r="H6" s="8">
        <v>1759</v>
      </c>
      <c r="I6" s="7">
        <v>531</v>
      </c>
      <c r="J6" s="8">
        <v>1228</v>
      </c>
      <c r="M6" s="54">
        <v>1</v>
      </c>
      <c r="N6" s="55">
        <v>43252</v>
      </c>
      <c r="O6" s="7" t="s">
        <v>75</v>
      </c>
      <c r="P6" s="8">
        <v>45415738</v>
      </c>
      <c r="Q6" s="8">
        <v>13489000</v>
      </c>
      <c r="R6" s="8">
        <v>31926738</v>
      </c>
      <c r="S6" s="7">
        <v>438</v>
      </c>
      <c r="T6" s="7">
        <v>153</v>
      </c>
      <c r="U6" s="7">
        <v>285</v>
      </c>
    </row>
    <row r="7" spans="2:21" ht="15" customHeight="1" x14ac:dyDescent="0.25">
      <c r="B7" s="54">
        <v>2</v>
      </c>
      <c r="C7" s="55">
        <v>42887</v>
      </c>
      <c r="D7" s="7" t="s">
        <v>76</v>
      </c>
      <c r="E7" s="8">
        <v>231454650</v>
      </c>
      <c r="F7" s="8">
        <v>39727188</v>
      </c>
      <c r="G7" s="8">
        <v>191727463</v>
      </c>
      <c r="H7" s="8">
        <v>2252</v>
      </c>
      <c r="I7" s="7">
        <v>378</v>
      </c>
      <c r="J7" s="8">
        <v>1874</v>
      </c>
      <c r="M7" s="54">
        <v>2</v>
      </c>
      <c r="N7" s="55">
        <v>43252</v>
      </c>
      <c r="O7" s="7" t="s">
        <v>76</v>
      </c>
      <c r="P7" s="8">
        <v>168966963</v>
      </c>
      <c r="Q7" s="8">
        <v>32391800</v>
      </c>
      <c r="R7" s="8">
        <v>136575163</v>
      </c>
      <c r="S7" s="8">
        <v>1594</v>
      </c>
      <c r="T7" s="7">
        <v>266</v>
      </c>
      <c r="U7" s="8">
        <v>1328</v>
      </c>
    </row>
    <row r="8" spans="2:21" ht="15" customHeight="1" x14ac:dyDescent="0.25">
      <c r="B8" s="54">
        <v>3</v>
      </c>
      <c r="C8" s="55">
        <v>42887</v>
      </c>
      <c r="D8" s="7" t="s">
        <v>0</v>
      </c>
      <c r="E8" s="8">
        <v>143563175</v>
      </c>
      <c r="F8" s="8">
        <v>21482388</v>
      </c>
      <c r="G8" s="8">
        <v>122080788</v>
      </c>
      <c r="H8" s="8">
        <v>1376</v>
      </c>
      <c r="I8" s="7">
        <v>179</v>
      </c>
      <c r="J8" s="8">
        <v>1197</v>
      </c>
      <c r="M8" s="54">
        <v>3</v>
      </c>
      <c r="N8" s="55">
        <v>43252</v>
      </c>
      <c r="O8" s="7" t="s">
        <v>0</v>
      </c>
      <c r="P8" s="8">
        <v>50163400</v>
      </c>
      <c r="Q8" s="8">
        <v>12337938</v>
      </c>
      <c r="R8" s="8">
        <v>37825463</v>
      </c>
      <c r="S8" s="7">
        <v>486</v>
      </c>
      <c r="T8" s="7">
        <v>124</v>
      </c>
      <c r="U8" s="7">
        <v>362</v>
      </c>
    </row>
    <row r="9" spans="2:21" ht="15" customHeight="1" x14ac:dyDescent="0.25">
      <c r="B9" s="54">
        <v>4</v>
      </c>
      <c r="C9" s="55">
        <v>42887</v>
      </c>
      <c r="D9" s="7" t="s">
        <v>100</v>
      </c>
      <c r="E9" s="8">
        <v>14955938</v>
      </c>
      <c r="F9" s="8">
        <v>1278725</v>
      </c>
      <c r="G9" s="8">
        <v>13677213</v>
      </c>
      <c r="H9" s="7">
        <v>142</v>
      </c>
      <c r="I9" s="7">
        <v>14</v>
      </c>
      <c r="J9" s="7">
        <v>128</v>
      </c>
      <c r="M9" s="54">
        <v>4</v>
      </c>
      <c r="N9" s="55">
        <v>43252</v>
      </c>
      <c r="O9" s="7" t="s">
        <v>100</v>
      </c>
      <c r="P9" s="8">
        <v>8127788</v>
      </c>
      <c r="Q9" s="8">
        <v>420613</v>
      </c>
      <c r="R9" s="8">
        <v>7707175</v>
      </c>
      <c r="S9" s="7">
        <v>85</v>
      </c>
      <c r="T9" s="7">
        <v>13</v>
      </c>
      <c r="U9" s="7">
        <v>72</v>
      </c>
    </row>
    <row r="10" spans="2:21" ht="15" customHeight="1" x14ac:dyDescent="0.25">
      <c r="B10" s="54">
        <v>5</v>
      </c>
      <c r="C10" s="55">
        <v>42887</v>
      </c>
      <c r="D10" s="7" t="s">
        <v>96</v>
      </c>
      <c r="E10" s="8">
        <v>24934875</v>
      </c>
      <c r="F10" s="8">
        <v>960050</v>
      </c>
      <c r="G10" s="8">
        <v>23974825</v>
      </c>
      <c r="H10" s="7">
        <v>237</v>
      </c>
      <c r="I10" s="7">
        <v>9</v>
      </c>
      <c r="J10" s="7">
        <v>228</v>
      </c>
      <c r="M10" s="54">
        <v>5</v>
      </c>
      <c r="N10" s="55">
        <v>43252</v>
      </c>
      <c r="O10" s="7" t="s">
        <v>96</v>
      </c>
      <c r="P10" s="8">
        <v>4820200</v>
      </c>
      <c r="Q10" s="8">
        <v>672175</v>
      </c>
      <c r="R10" s="8">
        <v>4148025</v>
      </c>
      <c r="S10" s="7">
        <v>45</v>
      </c>
      <c r="T10" s="7">
        <v>6</v>
      </c>
      <c r="U10" s="7">
        <v>39</v>
      </c>
    </row>
    <row r="11" spans="2:21" ht="15" customHeight="1" x14ac:dyDescent="0.25">
      <c r="B11" s="54">
        <v>6</v>
      </c>
      <c r="C11" s="55">
        <v>42887</v>
      </c>
      <c r="D11" s="7" t="s">
        <v>77</v>
      </c>
      <c r="E11" s="8">
        <v>78477900</v>
      </c>
      <c r="F11" s="8">
        <v>19740688</v>
      </c>
      <c r="G11" s="8">
        <v>58737213</v>
      </c>
      <c r="H11" s="7">
        <v>650</v>
      </c>
      <c r="I11" s="7">
        <v>166</v>
      </c>
      <c r="J11" s="7">
        <v>484</v>
      </c>
      <c r="M11" s="54">
        <v>6</v>
      </c>
      <c r="N11" s="55">
        <v>43252</v>
      </c>
      <c r="O11" s="7" t="s">
        <v>77</v>
      </c>
      <c r="P11" s="8">
        <v>2591700</v>
      </c>
      <c r="Q11" s="8">
        <v>1906200</v>
      </c>
      <c r="R11" s="8">
        <v>685500</v>
      </c>
      <c r="S11" s="7">
        <v>23</v>
      </c>
      <c r="T11" s="7">
        <v>15</v>
      </c>
      <c r="U11" s="7">
        <v>8</v>
      </c>
    </row>
    <row r="12" spans="2:21" ht="15" customHeight="1" x14ac:dyDescent="0.25">
      <c r="B12" s="54">
        <v>7</v>
      </c>
      <c r="C12" s="55">
        <v>42887</v>
      </c>
      <c r="D12" s="7" t="s">
        <v>80</v>
      </c>
      <c r="E12" s="8">
        <v>41653238</v>
      </c>
      <c r="F12" s="8">
        <v>2433638</v>
      </c>
      <c r="G12" s="8">
        <v>39219600</v>
      </c>
      <c r="H12" s="7">
        <v>363</v>
      </c>
      <c r="I12" s="7">
        <v>21</v>
      </c>
      <c r="J12" s="7">
        <v>342</v>
      </c>
      <c r="M12" s="54">
        <v>7</v>
      </c>
      <c r="N12" s="55">
        <v>43252</v>
      </c>
      <c r="O12" s="7" t="s">
        <v>80</v>
      </c>
      <c r="P12" s="8">
        <v>18188363</v>
      </c>
      <c r="Q12" s="8">
        <v>2146200</v>
      </c>
      <c r="R12" s="8">
        <v>16042163</v>
      </c>
      <c r="S12" s="7">
        <v>161</v>
      </c>
      <c r="T12" s="7">
        <v>17</v>
      </c>
      <c r="U12" s="7">
        <v>144</v>
      </c>
    </row>
    <row r="13" spans="2:21" ht="15" customHeight="1" x14ac:dyDescent="0.25">
      <c r="B13" s="54">
        <v>8</v>
      </c>
      <c r="C13" s="55">
        <v>42887</v>
      </c>
      <c r="D13" s="7" t="s">
        <v>97</v>
      </c>
      <c r="E13" s="8">
        <v>20668463</v>
      </c>
      <c r="F13" s="8">
        <v>990500</v>
      </c>
      <c r="G13" s="8">
        <v>19677963</v>
      </c>
      <c r="H13" s="7">
        <v>176</v>
      </c>
      <c r="I13" s="7">
        <v>8</v>
      </c>
      <c r="J13" s="7">
        <v>168</v>
      </c>
      <c r="M13" s="54">
        <v>8</v>
      </c>
      <c r="N13" s="55">
        <v>43252</v>
      </c>
      <c r="O13" s="7" t="s">
        <v>97</v>
      </c>
      <c r="P13" s="8">
        <v>22328600</v>
      </c>
      <c r="Q13" s="8">
        <v>808938</v>
      </c>
      <c r="R13" s="8">
        <v>21519663</v>
      </c>
      <c r="S13" s="7">
        <v>192</v>
      </c>
      <c r="T13" s="7">
        <v>7</v>
      </c>
      <c r="U13" s="7">
        <v>185</v>
      </c>
    </row>
    <row r="14" spans="2:21" ht="15" customHeight="1" x14ac:dyDescent="0.25">
      <c r="B14" s="54">
        <v>9</v>
      </c>
      <c r="C14" s="55">
        <v>42887</v>
      </c>
      <c r="D14" s="7" t="s">
        <v>95</v>
      </c>
      <c r="E14" s="8">
        <v>18848638</v>
      </c>
      <c r="F14" s="8">
        <v>987088</v>
      </c>
      <c r="G14" s="8">
        <v>17861550</v>
      </c>
      <c r="H14" s="7">
        <v>175</v>
      </c>
      <c r="I14" s="7">
        <v>9</v>
      </c>
      <c r="J14" s="7">
        <v>166</v>
      </c>
      <c r="M14" s="54">
        <v>9</v>
      </c>
      <c r="N14" s="55">
        <v>43252</v>
      </c>
      <c r="O14" s="7" t="s">
        <v>95</v>
      </c>
      <c r="P14" s="8">
        <v>10270400</v>
      </c>
      <c r="Q14" s="8">
        <v>1401225</v>
      </c>
      <c r="R14" s="8">
        <v>8869175</v>
      </c>
      <c r="S14" s="7">
        <v>99</v>
      </c>
      <c r="T14" s="7">
        <v>12</v>
      </c>
      <c r="U14" s="7">
        <v>87</v>
      </c>
    </row>
    <row r="15" spans="2:21" ht="15" customHeight="1" x14ac:dyDescent="0.25">
      <c r="B15" s="54">
        <v>10</v>
      </c>
      <c r="C15" s="55">
        <v>42887</v>
      </c>
      <c r="D15" s="7" t="s">
        <v>109</v>
      </c>
      <c r="E15" s="8">
        <v>12262688</v>
      </c>
      <c r="F15" s="8">
        <v>1126213</v>
      </c>
      <c r="G15" s="8">
        <v>11136475</v>
      </c>
      <c r="H15" s="7">
        <v>110</v>
      </c>
      <c r="I15" s="7">
        <v>10</v>
      </c>
      <c r="J15" s="7">
        <v>100</v>
      </c>
      <c r="M15" s="54">
        <v>10</v>
      </c>
      <c r="N15" s="55">
        <v>43252</v>
      </c>
      <c r="O15" s="7" t="s">
        <v>109</v>
      </c>
      <c r="P15" s="8">
        <v>11454450</v>
      </c>
      <c r="Q15" s="8">
        <v>207550</v>
      </c>
      <c r="R15" s="8">
        <v>11246900</v>
      </c>
      <c r="S15" s="7">
        <v>97</v>
      </c>
      <c r="T15" s="7">
        <v>2</v>
      </c>
      <c r="U15" s="7">
        <v>95</v>
      </c>
    </row>
    <row r="16" spans="2:21" ht="15" customHeight="1" x14ac:dyDescent="0.25">
      <c r="B16" s="54">
        <v>11</v>
      </c>
      <c r="C16" s="55">
        <v>42887</v>
      </c>
      <c r="D16" s="7" t="s">
        <v>84</v>
      </c>
      <c r="E16" s="8">
        <v>31205388</v>
      </c>
      <c r="F16" s="8">
        <v>4094738</v>
      </c>
      <c r="G16" s="8">
        <v>27110650</v>
      </c>
      <c r="H16" s="7">
        <v>297</v>
      </c>
      <c r="I16" s="7">
        <v>29</v>
      </c>
      <c r="J16" s="7">
        <v>268</v>
      </c>
      <c r="M16" s="54">
        <v>11</v>
      </c>
      <c r="N16" s="55">
        <v>43252</v>
      </c>
      <c r="O16" s="7" t="s">
        <v>84</v>
      </c>
      <c r="P16" s="8">
        <v>18183375</v>
      </c>
      <c r="Q16" s="8">
        <v>1224650</v>
      </c>
      <c r="R16" s="8">
        <v>16958725</v>
      </c>
      <c r="S16" s="7">
        <v>166</v>
      </c>
      <c r="T16" s="7">
        <v>7</v>
      </c>
      <c r="U16" s="7">
        <v>159</v>
      </c>
    </row>
    <row r="17" spans="2:21" ht="15" customHeight="1" x14ac:dyDescent="0.25">
      <c r="B17" s="54">
        <v>12</v>
      </c>
      <c r="C17" s="55">
        <v>42887</v>
      </c>
      <c r="D17" s="7" t="s">
        <v>104</v>
      </c>
      <c r="E17" s="8">
        <v>19223138</v>
      </c>
      <c r="F17" s="8">
        <v>1751488</v>
      </c>
      <c r="G17" s="8">
        <v>17471650</v>
      </c>
      <c r="H17" s="7">
        <v>185</v>
      </c>
      <c r="I17" s="7">
        <v>17</v>
      </c>
      <c r="J17" s="7">
        <v>168</v>
      </c>
      <c r="M17" s="54">
        <v>12</v>
      </c>
      <c r="N17" s="55">
        <v>43252</v>
      </c>
      <c r="O17" s="7" t="s">
        <v>104</v>
      </c>
      <c r="P17" s="8">
        <v>14846825</v>
      </c>
      <c r="Q17" s="8">
        <v>1904950</v>
      </c>
      <c r="R17" s="8">
        <v>12941875</v>
      </c>
      <c r="S17" s="7">
        <v>152</v>
      </c>
      <c r="T17" s="7">
        <v>21</v>
      </c>
      <c r="U17" s="7">
        <v>131</v>
      </c>
    </row>
    <row r="18" spans="2:21" ht="15" customHeight="1" x14ac:dyDescent="0.25">
      <c r="B18" s="54">
        <v>13</v>
      </c>
      <c r="C18" s="55">
        <v>42887</v>
      </c>
      <c r="D18" s="7" t="s">
        <v>113</v>
      </c>
      <c r="E18" s="8">
        <v>31318700</v>
      </c>
      <c r="F18" s="7">
        <v>0</v>
      </c>
      <c r="G18" s="8">
        <v>31318700</v>
      </c>
      <c r="H18" s="7">
        <v>257</v>
      </c>
      <c r="I18" s="7">
        <v>0</v>
      </c>
      <c r="J18" s="7">
        <v>257</v>
      </c>
      <c r="M18" s="54">
        <v>13</v>
      </c>
      <c r="N18" s="55">
        <v>43252</v>
      </c>
      <c r="O18" s="7" t="s">
        <v>113</v>
      </c>
      <c r="P18" s="8">
        <v>16953388</v>
      </c>
      <c r="Q18" s="7">
        <v>0</v>
      </c>
      <c r="R18" s="8">
        <v>16953388</v>
      </c>
      <c r="S18" s="7">
        <v>127</v>
      </c>
      <c r="T18" s="7">
        <v>0</v>
      </c>
      <c r="U18" s="7">
        <v>127</v>
      </c>
    </row>
    <row r="19" spans="2:21" ht="15" customHeight="1" x14ac:dyDescent="0.25">
      <c r="B19" s="54">
        <v>14</v>
      </c>
      <c r="C19" s="55">
        <v>42887</v>
      </c>
      <c r="D19" s="7" t="s">
        <v>93</v>
      </c>
      <c r="E19" s="8">
        <v>21240625</v>
      </c>
      <c r="F19" s="8">
        <v>5852088</v>
      </c>
      <c r="G19" s="8">
        <v>15388538</v>
      </c>
      <c r="H19" s="7">
        <v>203</v>
      </c>
      <c r="I19" s="7">
        <v>55</v>
      </c>
      <c r="J19" s="7">
        <v>148</v>
      </c>
      <c r="M19" s="54">
        <v>14</v>
      </c>
      <c r="N19" s="55">
        <v>43252</v>
      </c>
      <c r="O19" s="7" t="s">
        <v>93</v>
      </c>
      <c r="P19" s="8">
        <v>4009500</v>
      </c>
      <c r="Q19" s="8">
        <v>2130300</v>
      </c>
      <c r="R19" s="8">
        <v>1879200</v>
      </c>
      <c r="S19" s="7">
        <v>36</v>
      </c>
      <c r="T19" s="7">
        <v>19</v>
      </c>
      <c r="U19" s="7">
        <v>17</v>
      </c>
    </row>
    <row r="20" spans="2:21" ht="15" customHeight="1" x14ac:dyDescent="0.25">
      <c r="B20" s="54">
        <v>15</v>
      </c>
      <c r="C20" s="55">
        <v>42887</v>
      </c>
      <c r="D20" s="7" t="s">
        <v>108</v>
      </c>
      <c r="E20" s="8">
        <v>15555050</v>
      </c>
      <c r="F20" s="8">
        <v>206888</v>
      </c>
      <c r="G20" s="8">
        <v>15348163</v>
      </c>
      <c r="H20" s="7">
        <v>166</v>
      </c>
      <c r="I20" s="7">
        <v>3</v>
      </c>
      <c r="J20" s="7">
        <v>163</v>
      </c>
      <c r="M20" s="54">
        <v>15</v>
      </c>
      <c r="N20" s="55">
        <v>43252</v>
      </c>
      <c r="O20" s="7" t="s">
        <v>108</v>
      </c>
      <c r="P20" s="8">
        <v>4119238</v>
      </c>
      <c r="Q20" s="8">
        <v>100100</v>
      </c>
      <c r="R20" s="8">
        <v>4019138</v>
      </c>
      <c r="S20" s="7">
        <v>51</v>
      </c>
      <c r="T20" s="7">
        <v>2</v>
      </c>
      <c r="U20" s="7">
        <v>49</v>
      </c>
    </row>
    <row r="21" spans="2:21" ht="15" customHeight="1" x14ac:dyDescent="0.25">
      <c r="B21" s="54">
        <v>16</v>
      </c>
      <c r="C21" s="55">
        <v>42887</v>
      </c>
      <c r="D21" s="7" t="s">
        <v>89</v>
      </c>
      <c r="E21" s="8">
        <v>20425650</v>
      </c>
      <c r="F21" s="8">
        <v>5065113</v>
      </c>
      <c r="G21" s="8">
        <v>15360538</v>
      </c>
      <c r="H21" s="7">
        <v>191</v>
      </c>
      <c r="I21" s="7">
        <v>50</v>
      </c>
      <c r="J21" s="7">
        <v>141</v>
      </c>
      <c r="M21" s="54">
        <v>16</v>
      </c>
      <c r="N21" s="55">
        <v>43252</v>
      </c>
      <c r="O21" s="7" t="s">
        <v>89</v>
      </c>
      <c r="P21" s="8">
        <v>0</v>
      </c>
      <c r="Q21" s="52"/>
      <c r="R21" s="8">
        <v>0</v>
      </c>
      <c r="S21" s="7">
        <v>0</v>
      </c>
      <c r="T21" s="7">
        <v>0</v>
      </c>
      <c r="U21" s="7">
        <v>0</v>
      </c>
    </row>
    <row r="22" spans="2:21" ht="15" customHeight="1" x14ac:dyDescent="0.25">
      <c r="B22" s="54">
        <v>17</v>
      </c>
      <c r="C22" s="55">
        <v>42887</v>
      </c>
      <c r="D22" s="7" t="s">
        <v>91</v>
      </c>
      <c r="E22" s="8">
        <v>36648500</v>
      </c>
      <c r="F22" s="8">
        <v>5267813</v>
      </c>
      <c r="G22" s="8">
        <v>31380688</v>
      </c>
      <c r="H22" s="7">
        <v>430</v>
      </c>
      <c r="I22" s="7">
        <v>55</v>
      </c>
      <c r="J22" s="7">
        <v>375</v>
      </c>
      <c r="M22" s="54">
        <v>17</v>
      </c>
      <c r="N22" s="55">
        <v>43252</v>
      </c>
      <c r="O22" s="7" t="s">
        <v>91</v>
      </c>
      <c r="P22" s="8">
        <v>24865575</v>
      </c>
      <c r="Q22" s="8">
        <v>3675525</v>
      </c>
      <c r="R22" s="8">
        <v>21190050</v>
      </c>
      <c r="S22" s="7">
        <v>237</v>
      </c>
      <c r="T22" s="7">
        <v>34</v>
      </c>
      <c r="U22" s="7">
        <v>203</v>
      </c>
    </row>
    <row r="23" spans="2:21" ht="15" customHeight="1" x14ac:dyDescent="0.25">
      <c r="B23" s="54">
        <v>18</v>
      </c>
      <c r="C23" s="55">
        <v>42887</v>
      </c>
      <c r="D23" s="7" t="s">
        <v>101</v>
      </c>
      <c r="E23" s="8">
        <v>9022038</v>
      </c>
      <c r="F23" s="8">
        <v>3339700</v>
      </c>
      <c r="G23" s="8">
        <v>5682338</v>
      </c>
      <c r="H23" s="7">
        <v>86</v>
      </c>
      <c r="I23" s="7">
        <v>30</v>
      </c>
      <c r="J23" s="7">
        <v>56</v>
      </c>
      <c r="M23" s="54">
        <v>18</v>
      </c>
      <c r="N23" s="55">
        <v>43252</v>
      </c>
      <c r="O23" s="7" t="s">
        <v>101</v>
      </c>
      <c r="P23" s="8">
        <v>1583050</v>
      </c>
      <c r="Q23" s="8">
        <v>495338</v>
      </c>
      <c r="R23" s="8">
        <v>1087713</v>
      </c>
      <c r="S23" s="7">
        <v>17</v>
      </c>
      <c r="T23" s="7">
        <v>4</v>
      </c>
      <c r="U23" s="7">
        <v>13</v>
      </c>
    </row>
    <row r="24" spans="2:21" ht="15" customHeight="1" x14ac:dyDescent="0.25">
      <c r="B24" s="54">
        <v>19</v>
      </c>
      <c r="C24" s="55">
        <v>42887</v>
      </c>
      <c r="D24" s="7" t="s">
        <v>112</v>
      </c>
      <c r="E24" s="8">
        <v>15141700</v>
      </c>
      <c r="F24" s="8">
        <v>751013</v>
      </c>
      <c r="G24" s="8">
        <v>14390688</v>
      </c>
      <c r="H24" s="7">
        <v>153</v>
      </c>
      <c r="I24" s="7">
        <v>8</v>
      </c>
      <c r="J24" s="7">
        <v>145</v>
      </c>
      <c r="M24" s="54">
        <v>19</v>
      </c>
      <c r="N24" s="55">
        <v>43252</v>
      </c>
      <c r="O24" s="7" t="s">
        <v>112</v>
      </c>
      <c r="P24" s="8">
        <v>20745813</v>
      </c>
      <c r="Q24" s="8">
        <v>3249663</v>
      </c>
      <c r="R24" s="8">
        <v>17496150</v>
      </c>
      <c r="S24" s="7">
        <v>196</v>
      </c>
      <c r="T24" s="7">
        <v>35</v>
      </c>
      <c r="U24" s="7">
        <v>161</v>
      </c>
    </row>
    <row r="25" spans="2:21" ht="15" customHeight="1" x14ac:dyDescent="0.25">
      <c r="B25" s="54">
        <v>20</v>
      </c>
      <c r="C25" s="55">
        <v>42887</v>
      </c>
      <c r="D25" s="7" t="s">
        <v>79</v>
      </c>
      <c r="E25" s="8">
        <v>43232263</v>
      </c>
      <c r="F25" s="8">
        <v>8996575</v>
      </c>
      <c r="G25" s="8">
        <v>34235688</v>
      </c>
      <c r="H25" s="7">
        <v>406</v>
      </c>
      <c r="I25" s="7">
        <v>82</v>
      </c>
      <c r="J25" s="7">
        <v>324</v>
      </c>
      <c r="M25" s="54">
        <v>20</v>
      </c>
      <c r="N25" s="55">
        <v>43252</v>
      </c>
      <c r="O25" s="7" t="s">
        <v>79</v>
      </c>
      <c r="P25" s="8">
        <v>23238863</v>
      </c>
      <c r="Q25" s="8">
        <v>4942000</v>
      </c>
      <c r="R25" s="8">
        <v>18296863</v>
      </c>
      <c r="S25" s="7">
        <v>235</v>
      </c>
      <c r="T25" s="7">
        <v>48</v>
      </c>
      <c r="U25" s="7">
        <v>187</v>
      </c>
    </row>
    <row r="26" spans="2:21" ht="15" customHeight="1" x14ac:dyDescent="0.25">
      <c r="B26" s="54">
        <v>21</v>
      </c>
      <c r="C26" s="55">
        <v>42887</v>
      </c>
      <c r="D26" s="7" t="s">
        <v>83</v>
      </c>
      <c r="E26" s="8">
        <v>24610250</v>
      </c>
      <c r="F26" s="8">
        <v>7228025</v>
      </c>
      <c r="G26" s="8">
        <v>17382225</v>
      </c>
      <c r="H26" s="7">
        <v>252</v>
      </c>
      <c r="I26" s="7">
        <v>51</v>
      </c>
      <c r="J26" s="7">
        <v>201</v>
      </c>
      <c r="M26" s="54">
        <v>21</v>
      </c>
      <c r="N26" s="55">
        <v>43252</v>
      </c>
      <c r="O26" s="7" t="s">
        <v>83</v>
      </c>
      <c r="P26" s="8">
        <v>7270550</v>
      </c>
      <c r="Q26" s="8">
        <v>1834000</v>
      </c>
      <c r="R26" s="8">
        <v>5436550</v>
      </c>
      <c r="S26" s="7">
        <v>73</v>
      </c>
      <c r="T26" s="7">
        <v>7</v>
      </c>
      <c r="U26" s="7">
        <v>66</v>
      </c>
    </row>
    <row r="27" spans="2:21" ht="15" customHeight="1" x14ac:dyDescent="0.25">
      <c r="B27" s="54">
        <v>22</v>
      </c>
      <c r="C27" s="55">
        <v>42887</v>
      </c>
      <c r="D27" s="7" t="s">
        <v>107</v>
      </c>
      <c r="E27" s="8">
        <v>10213963</v>
      </c>
      <c r="F27" s="8">
        <v>627725</v>
      </c>
      <c r="G27" s="8">
        <v>9586238</v>
      </c>
      <c r="H27" s="7">
        <v>111</v>
      </c>
      <c r="I27" s="7">
        <v>7</v>
      </c>
      <c r="J27" s="7">
        <v>104</v>
      </c>
      <c r="M27" s="54">
        <v>22</v>
      </c>
      <c r="N27" s="55">
        <v>43252</v>
      </c>
      <c r="O27" s="7" t="s">
        <v>107</v>
      </c>
      <c r="P27" s="8">
        <v>8678075</v>
      </c>
      <c r="Q27" s="8">
        <v>882963</v>
      </c>
      <c r="R27" s="8">
        <v>7795113</v>
      </c>
      <c r="S27" s="7">
        <v>84</v>
      </c>
      <c r="T27" s="7">
        <v>9</v>
      </c>
      <c r="U27" s="7">
        <v>75</v>
      </c>
    </row>
    <row r="28" spans="2:21" ht="15" customHeight="1" x14ac:dyDescent="0.25">
      <c r="B28" s="54">
        <v>23</v>
      </c>
      <c r="C28" s="55">
        <v>42887</v>
      </c>
      <c r="D28" s="7" t="s">
        <v>111</v>
      </c>
      <c r="E28" s="8">
        <v>12874138</v>
      </c>
      <c r="F28" s="8">
        <v>830988</v>
      </c>
      <c r="G28" s="8">
        <v>12043150</v>
      </c>
      <c r="H28" s="7">
        <v>119</v>
      </c>
      <c r="I28" s="7">
        <v>7</v>
      </c>
      <c r="J28" s="7">
        <v>112</v>
      </c>
      <c r="M28" s="54">
        <v>23</v>
      </c>
      <c r="N28" s="55">
        <v>43252</v>
      </c>
      <c r="O28" s="7" t="s">
        <v>111</v>
      </c>
      <c r="P28" s="8">
        <v>11247075</v>
      </c>
      <c r="Q28" s="8">
        <v>757575</v>
      </c>
      <c r="R28" s="8">
        <v>10489500</v>
      </c>
      <c r="S28" s="7">
        <v>95</v>
      </c>
      <c r="T28" s="7">
        <v>5</v>
      </c>
      <c r="U28" s="7">
        <v>90</v>
      </c>
    </row>
    <row r="29" spans="2:21" ht="15" customHeight="1" x14ac:dyDescent="0.25">
      <c r="B29" s="54">
        <v>24</v>
      </c>
      <c r="C29" s="55">
        <v>42887</v>
      </c>
      <c r="D29" s="7" t="s">
        <v>105</v>
      </c>
      <c r="E29" s="8">
        <v>35429800</v>
      </c>
      <c r="F29" s="8">
        <v>934150</v>
      </c>
      <c r="G29" s="8">
        <v>34495650</v>
      </c>
      <c r="H29" s="7">
        <v>311</v>
      </c>
      <c r="I29" s="7">
        <v>8</v>
      </c>
      <c r="J29" s="7">
        <v>303</v>
      </c>
      <c r="M29" s="54">
        <v>24</v>
      </c>
      <c r="N29" s="55">
        <v>43252</v>
      </c>
      <c r="O29" s="7" t="s">
        <v>105</v>
      </c>
      <c r="P29" s="8">
        <v>22451100</v>
      </c>
      <c r="Q29" s="8">
        <v>979213</v>
      </c>
      <c r="R29" s="8">
        <v>21471888</v>
      </c>
      <c r="S29" s="7">
        <v>195</v>
      </c>
      <c r="T29" s="7">
        <v>12</v>
      </c>
      <c r="U29" s="7">
        <v>183</v>
      </c>
    </row>
    <row r="30" spans="2:21" ht="15" customHeight="1" x14ac:dyDescent="0.25">
      <c r="B30" s="54">
        <v>25</v>
      </c>
      <c r="C30" s="55">
        <v>42887</v>
      </c>
      <c r="D30" s="7" t="s">
        <v>85</v>
      </c>
      <c r="E30" s="8">
        <v>24866975</v>
      </c>
      <c r="F30" s="8">
        <v>7466200</v>
      </c>
      <c r="G30" s="8">
        <v>17400775</v>
      </c>
      <c r="H30" s="7">
        <v>244</v>
      </c>
      <c r="I30" s="7">
        <v>69</v>
      </c>
      <c r="J30" s="7">
        <v>175</v>
      </c>
      <c r="M30" s="54">
        <v>25</v>
      </c>
      <c r="N30" s="55">
        <v>43252</v>
      </c>
      <c r="O30" s="7" t="s">
        <v>85</v>
      </c>
      <c r="P30" s="8">
        <v>1755688</v>
      </c>
      <c r="Q30" s="8">
        <v>158025</v>
      </c>
      <c r="R30" s="8">
        <v>1597663</v>
      </c>
      <c r="S30" s="7">
        <v>18</v>
      </c>
      <c r="T30" s="7">
        <v>7</v>
      </c>
      <c r="U30" s="7">
        <v>11</v>
      </c>
    </row>
    <row r="31" spans="2:21" ht="15" customHeight="1" x14ac:dyDescent="0.25">
      <c r="B31" s="54">
        <v>26</v>
      </c>
      <c r="C31" s="55">
        <v>42887</v>
      </c>
      <c r="D31" s="7" t="s">
        <v>81</v>
      </c>
      <c r="E31" s="8">
        <v>38343025</v>
      </c>
      <c r="F31" s="8">
        <v>7232488</v>
      </c>
      <c r="G31" s="8">
        <v>31110538</v>
      </c>
      <c r="H31" s="7">
        <v>373</v>
      </c>
      <c r="I31" s="7">
        <v>68</v>
      </c>
      <c r="J31" s="7">
        <v>305</v>
      </c>
      <c r="M31" s="54">
        <v>26</v>
      </c>
      <c r="N31" s="55">
        <v>43252</v>
      </c>
      <c r="O31" s="7" t="s">
        <v>81</v>
      </c>
      <c r="P31" s="8">
        <v>8704850</v>
      </c>
      <c r="Q31" s="8">
        <v>1971288</v>
      </c>
      <c r="R31" s="8">
        <v>6733563</v>
      </c>
      <c r="S31" s="7">
        <v>90</v>
      </c>
      <c r="T31" s="7">
        <v>25</v>
      </c>
      <c r="U31" s="7">
        <v>65</v>
      </c>
    </row>
    <row r="32" spans="2:21" ht="15" customHeight="1" x14ac:dyDescent="0.25">
      <c r="B32" s="54">
        <v>27</v>
      </c>
      <c r="C32" s="55">
        <v>42887</v>
      </c>
      <c r="D32" s="7" t="s">
        <v>102</v>
      </c>
      <c r="E32" s="8">
        <v>10108863</v>
      </c>
      <c r="F32" s="8">
        <v>2950300</v>
      </c>
      <c r="G32" s="8">
        <v>7158563</v>
      </c>
      <c r="H32" s="7">
        <v>84</v>
      </c>
      <c r="I32" s="7">
        <v>23</v>
      </c>
      <c r="J32" s="7">
        <v>61</v>
      </c>
      <c r="M32" s="54">
        <v>27</v>
      </c>
      <c r="N32" s="55">
        <v>43252</v>
      </c>
      <c r="O32" s="7" t="s">
        <v>102</v>
      </c>
      <c r="P32" s="8">
        <v>1921500</v>
      </c>
      <c r="Q32" s="8">
        <v>615600</v>
      </c>
      <c r="R32" s="8">
        <v>1305900</v>
      </c>
      <c r="S32" s="7">
        <v>16</v>
      </c>
      <c r="T32" s="7">
        <v>6</v>
      </c>
      <c r="U32" s="7">
        <v>10</v>
      </c>
    </row>
    <row r="33" spans="2:21" ht="15" customHeight="1" x14ac:dyDescent="0.25">
      <c r="B33" s="54">
        <v>28</v>
      </c>
      <c r="C33" s="55">
        <v>42887</v>
      </c>
      <c r="D33" s="7" t="s">
        <v>87</v>
      </c>
      <c r="E33" s="8">
        <v>29629338</v>
      </c>
      <c r="F33" s="8">
        <v>7933975</v>
      </c>
      <c r="G33" s="8">
        <v>21695363</v>
      </c>
      <c r="H33" s="7">
        <v>287</v>
      </c>
      <c r="I33" s="7">
        <v>80</v>
      </c>
      <c r="J33" s="7">
        <v>207</v>
      </c>
      <c r="M33" s="54">
        <v>28</v>
      </c>
      <c r="N33" s="55">
        <v>43252</v>
      </c>
      <c r="O33" s="7" t="s">
        <v>87</v>
      </c>
      <c r="P33" s="8">
        <v>7026950</v>
      </c>
      <c r="Q33" s="8">
        <v>2188900</v>
      </c>
      <c r="R33" s="8">
        <v>4838050</v>
      </c>
      <c r="S33" s="7">
        <v>67</v>
      </c>
      <c r="T33" s="7">
        <v>18</v>
      </c>
      <c r="U33" s="7">
        <v>49</v>
      </c>
    </row>
    <row r="34" spans="2:21" ht="15" customHeight="1" x14ac:dyDescent="0.25">
      <c r="B34" s="54">
        <v>29</v>
      </c>
      <c r="C34" s="55">
        <v>42887</v>
      </c>
      <c r="D34" s="7" t="s">
        <v>98</v>
      </c>
      <c r="E34" s="8">
        <v>7543725</v>
      </c>
      <c r="F34" s="8">
        <v>2567425</v>
      </c>
      <c r="G34" s="8">
        <v>4976300</v>
      </c>
      <c r="H34" s="7">
        <v>73</v>
      </c>
      <c r="I34" s="7">
        <v>25</v>
      </c>
      <c r="J34" s="7">
        <v>48</v>
      </c>
      <c r="M34" s="54">
        <v>29</v>
      </c>
      <c r="N34" s="55">
        <v>43252</v>
      </c>
      <c r="O34" s="7" t="s">
        <v>98</v>
      </c>
      <c r="P34" s="8">
        <v>0</v>
      </c>
      <c r="Q34" s="52"/>
      <c r="R34" s="8">
        <v>0</v>
      </c>
      <c r="S34" s="7">
        <v>0</v>
      </c>
      <c r="T34" s="7">
        <v>0</v>
      </c>
      <c r="U34" s="7">
        <v>0</v>
      </c>
    </row>
    <row r="35" spans="2:21" ht="15" customHeight="1" x14ac:dyDescent="0.25">
      <c r="B35" s="54">
        <v>30</v>
      </c>
      <c r="C35" s="55">
        <v>42887</v>
      </c>
      <c r="D35" s="7" t="s">
        <v>78</v>
      </c>
      <c r="E35" s="8">
        <v>13646063</v>
      </c>
      <c r="F35" s="8">
        <v>2943500</v>
      </c>
      <c r="G35" s="8">
        <v>10702563</v>
      </c>
      <c r="H35" s="7">
        <v>138</v>
      </c>
      <c r="I35" s="7">
        <v>30</v>
      </c>
      <c r="J35" s="52"/>
      <c r="M35" s="54">
        <v>30</v>
      </c>
      <c r="N35" s="55">
        <v>43252</v>
      </c>
      <c r="O35" s="7" t="s">
        <v>78</v>
      </c>
      <c r="P35" s="8">
        <v>0</v>
      </c>
      <c r="Q35" s="52"/>
      <c r="R35" s="8">
        <v>0</v>
      </c>
      <c r="S35" s="7">
        <v>0</v>
      </c>
      <c r="T35" s="7">
        <v>0</v>
      </c>
      <c r="U35" s="7">
        <v>0</v>
      </c>
    </row>
    <row r="36" spans="2:21" ht="15" customHeight="1" x14ac:dyDescent="0.25">
      <c r="B36" s="54">
        <v>31</v>
      </c>
      <c r="C36" s="55">
        <v>42887</v>
      </c>
      <c r="D36" s="7" t="s">
        <v>82</v>
      </c>
      <c r="E36" s="8">
        <v>50279513</v>
      </c>
      <c r="F36" s="8">
        <v>18906300</v>
      </c>
      <c r="G36" s="8">
        <v>31373213</v>
      </c>
      <c r="H36" s="7">
        <v>486</v>
      </c>
      <c r="I36" s="7">
        <v>177</v>
      </c>
      <c r="J36" s="7">
        <v>309</v>
      </c>
      <c r="M36" s="54">
        <v>31</v>
      </c>
      <c r="N36" s="55">
        <v>43252</v>
      </c>
      <c r="O36" s="7" t="s">
        <v>82</v>
      </c>
      <c r="P36" s="8">
        <v>0</v>
      </c>
      <c r="Q36" s="52"/>
      <c r="R36" s="8">
        <v>0</v>
      </c>
      <c r="S36" s="7">
        <v>0</v>
      </c>
      <c r="T36" s="7">
        <v>0</v>
      </c>
      <c r="U36" s="7">
        <v>0</v>
      </c>
    </row>
    <row r="37" spans="2:21" ht="15" customHeight="1" x14ac:dyDescent="0.25">
      <c r="B37" s="54">
        <v>32</v>
      </c>
      <c r="C37" s="55">
        <v>42887</v>
      </c>
      <c r="D37" s="7" t="s">
        <v>86</v>
      </c>
      <c r="E37" s="8">
        <v>32867275</v>
      </c>
      <c r="F37" s="8">
        <v>923475</v>
      </c>
      <c r="G37" s="8">
        <v>31943800</v>
      </c>
      <c r="H37" s="7">
        <v>304</v>
      </c>
      <c r="I37" s="7">
        <v>8</v>
      </c>
      <c r="J37" s="7">
        <v>296</v>
      </c>
      <c r="M37" s="54">
        <v>32</v>
      </c>
      <c r="N37" s="55">
        <v>43252</v>
      </c>
      <c r="O37" s="7" t="s">
        <v>86</v>
      </c>
      <c r="P37" s="8">
        <v>15173813</v>
      </c>
      <c r="Q37" s="8">
        <v>3288075</v>
      </c>
      <c r="R37" s="8">
        <v>11885738</v>
      </c>
      <c r="S37" s="7">
        <v>141</v>
      </c>
      <c r="T37" s="7">
        <v>28</v>
      </c>
      <c r="U37" s="7">
        <v>113</v>
      </c>
    </row>
    <row r="38" spans="2:21" ht="15" customHeight="1" x14ac:dyDescent="0.25">
      <c r="B38" s="54">
        <v>33</v>
      </c>
      <c r="C38" s="55">
        <v>42887</v>
      </c>
      <c r="D38" s="7" t="s">
        <v>88</v>
      </c>
      <c r="E38" s="8">
        <v>13775738</v>
      </c>
      <c r="F38" s="8">
        <v>2981038</v>
      </c>
      <c r="G38" s="8">
        <v>10794700</v>
      </c>
      <c r="H38" s="7">
        <v>139</v>
      </c>
      <c r="I38" s="7">
        <v>32</v>
      </c>
      <c r="J38" s="7">
        <v>107</v>
      </c>
      <c r="M38" s="54">
        <v>33</v>
      </c>
      <c r="N38" s="55">
        <v>43252</v>
      </c>
      <c r="O38" s="7" t="s">
        <v>88</v>
      </c>
      <c r="P38" s="8">
        <v>2826863</v>
      </c>
      <c r="Q38" s="8">
        <v>345188</v>
      </c>
      <c r="R38" s="8">
        <v>2481675</v>
      </c>
      <c r="S38" s="7">
        <v>30</v>
      </c>
      <c r="T38" s="7">
        <v>4</v>
      </c>
      <c r="U38" s="7">
        <v>26</v>
      </c>
    </row>
    <row r="39" spans="2:21" ht="15" customHeight="1" x14ac:dyDescent="0.25">
      <c r="B39" s="54">
        <v>34</v>
      </c>
      <c r="C39" s="55">
        <v>42887</v>
      </c>
      <c r="D39" s="7" t="s">
        <v>90</v>
      </c>
      <c r="E39" s="8">
        <v>28498313</v>
      </c>
      <c r="F39" s="8">
        <v>1000</v>
      </c>
      <c r="G39" s="8">
        <v>28497313</v>
      </c>
      <c r="H39" s="7">
        <v>279</v>
      </c>
      <c r="I39" s="7">
        <v>0</v>
      </c>
      <c r="J39" s="7">
        <v>279</v>
      </c>
      <c r="M39" s="54">
        <v>34</v>
      </c>
      <c r="N39" s="55">
        <v>43252</v>
      </c>
      <c r="O39" s="7" t="s">
        <v>90</v>
      </c>
      <c r="P39" s="8">
        <v>3971450</v>
      </c>
      <c r="Q39" s="7">
        <v>0</v>
      </c>
      <c r="R39" s="8">
        <v>3971450</v>
      </c>
      <c r="S39" s="7">
        <v>28</v>
      </c>
      <c r="T39" s="7">
        <v>0</v>
      </c>
      <c r="U39" s="7">
        <v>28</v>
      </c>
    </row>
    <row r="40" spans="2:21" ht="15" customHeight="1" x14ac:dyDescent="0.25">
      <c r="B40" s="54">
        <v>35</v>
      </c>
      <c r="C40" s="55">
        <v>42887</v>
      </c>
      <c r="D40" s="7" t="s">
        <v>92</v>
      </c>
      <c r="E40" s="8">
        <v>22840125</v>
      </c>
      <c r="F40" s="8">
        <v>6037588</v>
      </c>
      <c r="G40" s="8">
        <v>16802538</v>
      </c>
      <c r="H40" s="7">
        <v>211</v>
      </c>
      <c r="I40" s="7">
        <v>56</v>
      </c>
      <c r="J40" s="7">
        <v>155</v>
      </c>
      <c r="M40" s="54">
        <v>35</v>
      </c>
      <c r="N40" s="55">
        <v>43252</v>
      </c>
      <c r="O40" s="7" t="s">
        <v>92</v>
      </c>
      <c r="P40" s="8">
        <v>0</v>
      </c>
      <c r="Q40" s="52"/>
      <c r="R40" s="8">
        <v>0</v>
      </c>
      <c r="S40" s="7">
        <v>0</v>
      </c>
      <c r="T40" s="7">
        <v>0</v>
      </c>
      <c r="U40" s="7">
        <v>0</v>
      </c>
    </row>
    <row r="41" spans="2:21" ht="15" customHeight="1" x14ac:dyDescent="0.25">
      <c r="B41" s="54">
        <v>36</v>
      </c>
      <c r="C41" s="55">
        <v>42887</v>
      </c>
      <c r="D41" s="7" t="s">
        <v>94</v>
      </c>
      <c r="E41" s="8">
        <v>2795450</v>
      </c>
      <c r="F41" s="8">
        <v>-21000</v>
      </c>
      <c r="G41" s="8">
        <v>2816450</v>
      </c>
      <c r="H41" s="7">
        <v>18</v>
      </c>
      <c r="I41" s="7">
        <v>0</v>
      </c>
      <c r="J41" s="7">
        <v>18</v>
      </c>
      <c r="M41" s="54">
        <v>36</v>
      </c>
      <c r="N41" s="55">
        <v>43252</v>
      </c>
      <c r="O41" s="7" t="s">
        <v>94</v>
      </c>
      <c r="P41" s="8">
        <v>0</v>
      </c>
      <c r="Q41" s="52"/>
      <c r="R41" s="8">
        <v>0</v>
      </c>
      <c r="S41" s="7">
        <v>0</v>
      </c>
      <c r="T41" s="7">
        <v>0</v>
      </c>
      <c r="U41" s="7">
        <v>0</v>
      </c>
    </row>
    <row r="42" spans="2:21" ht="15" customHeight="1" x14ac:dyDescent="0.25">
      <c r="B42" s="54">
        <v>37</v>
      </c>
      <c r="C42" s="55">
        <v>42887</v>
      </c>
      <c r="D42" s="7" t="s">
        <v>99</v>
      </c>
      <c r="E42" s="8">
        <v>14453950</v>
      </c>
      <c r="F42" s="8">
        <v>4733050</v>
      </c>
      <c r="G42" s="8">
        <v>9720900</v>
      </c>
      <c r="H42" s="7">
        <v>135</v>
      </c>
      <c r="I42" s="7">
        <v>33</v>
      </c>
      <c r="J42" s="7">
        <v>102</v>
      </c>
      <c r="M42" s="54">
        <v>37</v>
      </c>
      <c r="N42" s="55">
        <v>43252</v>
      </c>
      <c r="O42" s="7" t="s">
        <v>99</v>
      </c>
      <c r="P42" s="8">
        <v>2110675</v>
      </c>
      <c r="Q42" s="8">
        <v>1411463</v>
      </c>
      <c r="R42" s="8">
        <v>699213</v>
      </c>
      <c r="S42" s="7">
        <v>18</v>
      </c>
      <c r="T42" s="7">
        <v>13</v>
      </c>
      <c r="U42" s="7">
        <v>5</v>
      </c>
    </row>
    <row r="43" spans="2:21" ht="15" customHeight="1" x14ac:dyDescent="0.25">
      <c r="B43" s="54">
        <v>38</v>
      </c>
      <c r="C43" s="55">
        <v>42887</v>
      </c>
      <c r="D43" s="7" t="s">
        <v>103</v>
      </c>
      <c r="E43" s="8">
        <v>6789388</v>
      </c>
      <c r="F43" s="8">
        <v>1860512</v>
      </c>
      <c r="G43" s="8">
        <v>4928876</v>
      </c>
      <c r="H43" s="7">
        <v>65</v>
      </c>
      <c r="I43" s="7">
        <v>20</v>
      </c>
      <c r="J43" s="7">
        <v>45</v>
      </c>
      <c r="M43" s="54">
        <v>38</v>
      </c>
      <c r="N43" s="55">
        <v>43252</v>
      </c>
      <c r="O43" s="7" t="s">
        <v>103</v>
      </c>
      <c r="P43" s="8">
        <v>3091113</v>
      </c>
      <c r="Q43" s="7">
        <v>0</v>
      </c>
      <c r="R43" s="8">
        <v>3091113</v>
      </c>
      <c r="S43" s="7">
        <v>23</v>
      </c>
      <c r="T43" s="7">
        <v>0</v>
      </c>
      <c r="U43" s="7">
        <v>23</v>
      </c>
    </row>
    <row r="44" spans="2:21" ht="15" customHeight="1" x14ac:dyDescent="0.25">
      <c r="B44" s="54">
        <v>39</v>
      </c>
      <c r="C44" s="55">
        <v>42887</v>
      </c>
      <c r="D44" s="7" t="s">
        <v>137</v>
      </c>
      <c r="E44" s="8">
        <v>13904013</v>
      </c>
      <c r="F44" s="8">
        <v>3062763</v>
      </c>
      <c r="G44" s="8">
        <v>10841250</v>
      </c>
      <c r="H44" s="7">
        <v>135</v>
      </c>
      <c r="I44" s="7">
        <v>27</v>
      </c>
      <c r="J44" s="7">
        <v>108</v>
      </c>
      <c r="M44" s="54">
        <v>39</v>
      </c>
      <c r="N44" s="55">
        <v>43252</v>
      </c>
      <c r="O44" s="7" t="s">
        <v>137</v>
      </c>
      <c r="P44" s="8">
        <v>4075750</v>
      </c>
      <c r="Q44" s="8">
        <v>1641413</v>
      </c>
      <c r="R44" s="8">
        <v>2434338</v>
      </c>
      <c r="S44" s="7">
        <v>38</v>
      </c>
      <c r="T44" s="7">
        <v>12</v>
      </c>
      <c r="U44" s="7">
        <v>26</v>
      </c>
    </row>
    <row r="45" spans="2:21" ht="15" customHeight="1" x14ac:dyDescent="0.25">
      <c r="B45" s="54">
        <v>40</v>
      </c>
      <c r="C45" s="55">
        <v>42887</v>
      </c>
      <c r="D45" s="7" t="s">
        <v>110</v>
      </c>
      <c r="E45" s="8">
        <v>17652688</v>
      </c>
      <c r="F45" s="8">
        <v>577675</v>
      </c>
      <c r="G45" s="8">
        <v>17075013</v>
      </c>
      <c r="H45" s="7">
        <v>192</v>
      </c>
      <c r="I45" s="7">
        <v>31</v>
      </c>
      <c r="J45" s="7">
        <v>161</v>
      </c>
      <c r="M45" s="54">
        <v>40</v>
      </c>
      <c r="N45" s="55">
        <v>43252</v>
      </c>
      <c r="O45" s="7" t="s">
        <v>110</v>
      </c>
      <c r="P45" s="8">
        <v>28860913</v>
      </c>
      <c r="Q45" s="8">
        <v>3392900</v>
      </c>
      <c r="R45" s="8">
        <v>25468013</v>
      </c>
      <c r="S45" s="7">
        <v>273</v>
      </c>
      <c r="T45" s="7">
        <v>64</v>
      </c>
      <c r="U45" s="7">
        <v>209</v>
      </c>
    </row>
    <row r="46" spans="2:21" ht="15" customHeight="1" x14ac:dyDescent="0.25">
      <c r="B46" s="54">
        <v>41</v>
      </c>
      <c r="C46" s="55">
        <v>42887</v>
      </c>
      <c r="D46" s="7" t="s">
        <v>119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M46" s="54">
        <v>41</v>
      </c>
      <c r="N46" s="55">
        <v>43252</v>
      </c>
      <c r="O46" s="7" t="s">
        <v>119</v>
      </c>
      <c r="P46" s="8">
        <v>9425038</v>
      </c>
      <c r="Q46" s="8">
        <v>2257213</v>
      </c>
      <c r="R46" s="8">
        <v>7167825</v>
      </c>
      <c r="S46" s="7">
        <v>91</v>
      </c>
      <c r="T46" s="7">
        <v>25</v>
      </c>
      <c r="U46" s="7">
        <v>66</v>
      </c>
    </row>
    <row r="47" spans="2:21" ht="15" customHeight="1" x14ac:dyDescent="0.25">
      <c r="B47" s="54">
        <v>42</v>
      </c>
      <c r="C47" s="55">
        <v>42887</v>
      </c>
      <c r="D47" s="7" t="s">
        <v>123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M47" s="54">
        <v>42</v>
      </c>
      <c r="N47" s="55">
        <v>43252</v>
      </c>
      <c r="O47" s="7" t="s">
        <v>123</v>
      </c>
      <c r="P47" s="8">
        <v>11117488</v>
      </c>
      <c r="Q47" s="8">
        <v>3868113</v>
      </c>
      <c r="R47" s="8">
        <v>7249375</v>
      </c>
      <c r="S47" s="7">
        <v>106</v>
      </c>
      <c r="T47" s="7">
        <v>34</v>
      </c>
      <c r="U47" s="7">
        <v>72</v>
      </c>
    </row>
    <row r="48" spans="2:21" ht="15" customHeight="1" x14ac:dyDescent="0.25">
      <c r="B48" s="54">
        <v>43</v>
      </c>
      <c r="C48" s="55">
        <v>42887</v>
      </c>
      <c r="D48" s="7" t="s">
        <v>124</v>
      </c>
      <c r="E48" s="8">
        <v>4068050</v>
      </c>
      <c r="F48" s="8">
        <v>-10000</v>
      </c>
      <c r="G48" s="8">
        <v>4078050</v>
      </c>
      <c r="H48" s="7">
        <v>37</v>
      </c>
      <c r="I48" s="7">
        <v>3</v>
      </c>
      <c r="J48" s="7">
        <v>34</v>
      </c>
      <c r="M48" s="54">
        <v>43</v>
      </c>
      <c r="N48" s="55">
        <v>43252</v>
      </c>
      <c r="O48" s="7" t="s">
        <v>124</v>
      </c>
      <c r="P48" s="8">
        <v>2319100</v>
      </c>
      <c r="Q48" s="8">
        <v>1873900</v>
      </c>
      <c r="R48" s="8">
        <v>445200</v>
      </c>
      <c r="S48" s="7">
        <v>24</v>
      </c>
      <c r="T48" s="7">
        <v>19</v>
      </c>
      <c r="U48" s="7">
        <v>5</v>
      </c>
    </row>
    <row r="49" spans="2:21" ht="15" customHeight="1" x14ac:dyDescent="0.25">
      <c r="B49" s="54">
        <v>44</v>
      </c>
      <c r="C49" s="55">
        <v>42887</v>
      </c>
      <c r="D49" s="7" t="s">
        <v>125</v>
      </c>
      <c r="E49" s="8">
        <v>5232938</v>
      </c>
      <c r="F49" s="8">
        <v>771050</v>
      </c>
      <c r="G49" s="8">
        <v>4461888</v>
      </c>
      <c r="H49" s="7">
        <v>55</v>
      </c>
      <c r="I49" s="7">
        <v>8</v>
      </c>
      <c r="J49" s="7">
        <v>47</v>
      </c>
      <c r="M49" s="54">
        <v>44</v>
      </c>
      <c r="N49" s="55">
        <v>43252</v>
      </c>
      <c r="O49" s="7" t="s">
        <v>125</v>
      </c>
      <c r="P49" s="8">
        <v>4173663</v>
      </c>
      <c r="Q49" s="8">
        <v>795463</v>
      </c>
      <c r="R49" s="8">
        <v>3378200</v>
      </c>
      <c r="S49" s="7">
        <v>41</v>
      </c>
      <c r="T49" s="7">
        <v>7</v>
      </c>
      <c r="U49" s="7">
        <v>34</v>
      </c>
    </row>
    <row r="50" spans="2:21" ht="15" customHeight="1" x14ac:dyDescent="0.25">
      <c r="B50" s="54">
        <v>45</v>
      </c>
      <c r="C50" s="55">
        <v>42887</v>
      </c>
      <c r="D50" s="7" t="s">
        <v>126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M50" s="54">
        <v>45</v>
      </c>
      <c r="N50" s="55">
        <v>43252</v>
      </c>
      <c r="O50" s="7" t="s">
        <v>126</v>
      </c>
      <c r="P50" s="8">
        <v>0</v>
      </c>
      <c r="Q50" s="52"/>
      <c r="R50" s="8">
        <v>0</v>
      </c>
      <c r="S50" s="7">
        <v>0</v>
      </c>
      <c r="T50" s="7">
        <v>0</v>
      </c>
      <c r="U50" s="7">
        <v>0</v>
      </c>
    </row>
    <row r="51" spans="2:21" ht="15" customHeight="1" x14ac:dyDescent="0.25">
      <c r="B51" s="54">
        <v>46</v>
      </c>
      <c r="C51" s="55">
        <v>42887</v>
      </c>
      <c r="D51" s="7" t="s">
        <v>127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M51" s="1">
        <v>46</v>
      </c>
      <c r="N51" s="2">
        <v>43252</v>
      </c>
      <c r="O51" s="3" t="s">
        <v>127</v>
      </c>
      <c r="P51" s="4">
        <v>7553088</v>
      </c>
      <c r="Q51" s="4">
        <v>1915638</v>
      </c>
      <c r="R51" s="4">
        <v>5637450</v>
      </c>
      <c r="S51" s="3">
        <v>73</v>
      </c>
      <c r="T51" s="3">
        <v>18</v>
      </c>
      <c r="U51" s="3">
        <v>55</v>
      </c>
    </row>
    <row r="52" spans="2:21" ht="15" customHeight="1" x14ac:dyDescent="0.25">
      <c r="B52" s="54">
        <v>47</v>
      </c>
      <c r="C52" s="55">
        <v>42887</v>
      </c>
      <c r="D52" s="7" t="s">
        <v>128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M52" s="54">
        <v>47</v>
      </c>
      <c r="N52" s="55">
        <v>43252</v>
      </c>
      <c r="O52" s="7" t="s">
        <v>128</v>
      </c>
      <c r="P52" s="8">
        <v>5028100</v>
      </c>
      <c r="Q52" s="8">
        <v>1241713</v>
      </c>
      <c r="R52" s="8">
        <v>3786388</v>
      </c>
      <c r="S52" s="7">
        <v>50</v>
      </c>
      <c r="T52" s="7">
        <v>12</v>
      </c>
      <c r="U52" s="7">
        <v>38</v>
      </c>
    </row>
    <row r="53" spans="2:21" ht="15" customHeight="1" x14ac:dyDescent="0.25">
      <c r="B53" s="54">
        <v>48</v>
      </c>
      <c r="C53" s="55">
        <v>42887</v>
      </c>
      <c r="D53" s="7" t="s">
        <v>129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M53" s="54">
        <v>48</v>
      </c>
      <c r="N53" s="55">
        <v>43252</v>
      </c>
      <c r="O53" s="7" t="s">
        <v>129</v>
      </c>
      <c r="P53" s="8">
        <v>9132200</v>
      </c>
      <c r="Q53" s="8">
        <v>458675</v>
      </c>
      <c r="R53" s="8">
        <v>8673525</v>
      </c>
      <c r="S53" s="7">
        <v>87</v>
      </c>
      <c r="T53" s="7">
        <v>5</v>
      </c>
      <c r="U53" s="7">
        <v>82</v>
      </c>
    </row>
    <row r="54" spans="2:21" ht="15" customHeight="1" x14ac:dyDescent="0.25">
      <c r="B54" s="54">
        <v>49</v>
      </c>
      <c r="C54" s="55">
        <v>42887</v>
      </c>
      <c r="D54" s="7" t="s">
        <v>130</v>
      </c>
      <c r="E54" s="8">
        <v>3146588</v>
      </c>
      <c r="F54" s="8">
        <v>1026025</v>
      </c>
      <c r="G54" s="8">
        <v>2120563</v>
      </c>
      <c r="H54" s="7">
        <v>29</v>
      </c>
      <c r="I54" s="7">
        <v>9</v>
      </c>
      <c r="J54" s="7">
        <v>20</v>
      </c>
      <c r="M54" s="54">
        <v>49</v>
      </c>
      <c r="N54" s="55">
        <v>43252</v>
      </c>
      <c r="O54" s="7" t="s">
        <v>130</v>
      </c>
      <c r="P54" s="8">
        <v>5367163</v>
      </c>
      <c r="Q54" s="8">
        <v>298463</v>
      </c>
      <c r="R54" s="8">
        <v>5068700</v>
      </c>
      <c r="S54" s="7">
        <v>55</v>
      </c>
      <c r="T54" s="7">
        <v>3</v>
      </c>
      <c r="U54" s="7">
        <v>52</v>
      </c>
    </row>
    <row r="55" spans="2:21" ht="15" customHeight="1" x14ac:dyDescent="0.25">
      <c r="B55" s="54">
        <v>50</v>
      </c>
      <c r="C55" s="55">
        <v>42887</v>
      </c>
      <c r="D55" s="7" t="s">
        <v>131</v>
      </c>
      <c r="E55" s="8">
        <v>13006875</v>
      </c>
      <c r="F55" s="8">
        <v>4025700</v>
      </c>
      <c r="G55" s="8">
        <v>8981175</v>
      </c>
      <c r="H55" s="7">
        <v>125</v>
      </c>
      <c r="I55" s="7">
        <v>40</v>
      </c>
      <c r="J55" s="7">
        <v>85</v>
      </c>
      <c r="M55" s="54">
        <v>50</v>
      </c>
      <c r="N55" s="55">
        <v>43252</v>
      </c>
      <c r="O55" s="7" t="s">
        <v>131</v>
      </c>
      <c r="P55" s="8">
        <v>2721425</v>
      </c>
      <c r="Q55" s="8">
        <v>691338</v>
      </c>
      <c r="R55" s="8">
        <v>2030088</v>
      </c>
      <c r="S55" s="7">
        <v>25</v>
      </c>
      <c r="T55" s="7">
        <v>7</v>
      </c>
      <c r="U55" s="7">
        <v>18</v>
      </c>
    </row>
    <row r="56" spans="2:21" ht="15" customHeight="1" x14ac:dyDescent="0.25">
      <c r="B56" s="54">
        <v>51</v>
      </c>
      <c r="C56" s="55">
        <v>42887</v>
      </c>
      <c r="D56" s="7" t="s">
        <v>142</v>
      </c>
      <c r="E56" s="8">
        <v>10902238</v>
      </c>
      <c r="F56" s="8">
        <v>291113</v>
      </c>
      <c r="G56" s="8">
        <v>10611125</v>
      </c>
      <c r="H56" s="7">
        <v>128</v>
      </c>
      <c r="I56" s="7">
        <v>3</v>
      </c>
      <c r="J56" s="7">
        <v>125</v>
      </c>
      <c r="M56" s="54">
        <v>51</v>
      </c>
      <c r="N56" s="55">
        <v>43252</v>
      </c>
      <c r="O56" s="7" t="s">
        <v>142</v>
      </c>
      <c r="P56" s="8">
        <v>9084600</v>
      </c>
      <c r="Q56" s="8">
        <v>326988</v>
      </c>
      <c r="R56" s="8">
        <v>8757613</v>
      </c>
      <c r="S56" s="7">
        <v>99</v>
      </c>
      <c r="T56" s="7">
        <v>3</v>
      </c>
      <c r="U56" s="7">
        <v>96</v>
      </c>
    </row>
    <row r="57" spans="2:21" ht="15" customHeight="1" x14ac:dyDescent="0.25">
      <c r="B57" s="54">
        <v>52</v>
      </c>
      <c r="C57" s="55">
        <v>42887</v>
      </c>
      <c r="D57" s="7" t="s">
        <v>132</v>
      </c>
      <c r="E57" s="8">
        <v>4215838</v>
      </c>
      <c r="F57" s="8">
        <v>565513</v>
      </c>
      <c r="G57" s="8">
        <v>3650325</v>
      </c>
      <c r="H57" s="7">
        <v>43</v>
      </c>
      <c r="I57" s="7">
        <v>6</v>
      </c>
      <c r="J57" s="7">
        <v>37</v>
      </c>
      <c r="M57" s="54">
        <v>52</v>
      </c>
      <c r="N57" s="55">
        <v>43252</v>
      </c>
      <c r="O57" s="7" t="s">
        <v>132</v>
      </c>
      <c r="P57" s="8">
        <v>7394625</v>
      </c>
      <c r="Q57" s="8">
        <v>1277938</v>
      </c>
      <c r="R57" s="8">
        <v>6116688</v>
      </c>
      <c r="S57" s="7">
        <v>62</v>
      </c>
      <c r="T57" s="7">
        <v>10</v>
      </c>
      <c r="U57" s="7">
        <v>52</v>
      </c>
    </row>
    <row r="58" spans="2:21" ht="15" customHeight="1" x14ac:dyDescent="0.25">
      <c r="B58" s="54">
        <v>53</v>
      </c>
      <c r="C58" s="55">
        <v>42887</v>
      </c>
      <c r="D58" s="7" t="s">
        <v>133</v>
      </c>
      <c r="E58" s="8">
        <v>8639838</v>
      </c>
      <c r="F58" s="8">
        <v>2302213</v>
      </c>
      <c r="G58" s="8">
        <v>6337625</v>
      </c>
      <c r="H58" s="7">
        <v>84</v>
      </c>
      <c r="I58" s="7">
        <v>29</v>
      </c>
      <c r="J58" s="7">
        <v>55</v>
      </c>
      <c r="M58" s="54">
        <v>53</v>
      </c>
      <c r="N58" s="55">
        <v>43252</v>
      </c>
      <c r="O58" s="7" t="s">
        <v>133</v>
      </c>
      <c r="P58" s="8">
        <v>1414438</v>
      </c>
      <c r="Q58" s="7">
        <v>0</v>
      </c>
      <c r="R58" s="8">
        <v>1414438</v>
      </c>
      <c r="S58" s="7">
        <v>13</v>
      </c>
      <c r="T58" s="7">
        <v>4</v>
      </c>
      <c r="U58" s="7">
        <v>9</v>
      </c>
    </row>
    <row r="59" spans="2:21" ht="15" customHeight="1" x14ac:dyDescent="0.25">
      <c r="B59" s="54">
        <v>54</v>
      </c>
      <c r="C59" s="55">
        <v>42887</v>
      </c>
      <c r="D59" s="7" t="s">
        <v>134</v>
      </c>
      <c r="E59" s="8">
        <v>6528113</v>
      </c>
      <c r="F59" s="8">
        <v>2153813</v>
      </c>
      <c r="G59" s="8">
        <v>4374300</v>
      </c>
      <c r="H59" s="7">
        <v>62</v>
      </c>
      <c r="I59" s="7">
        <v>19</v>
      </c>
      <c r="J59" s="7">
        <v>43</v>
      </c>
      <c r="M59" s="54">
        <v>54</v>
      </c>
      <c r="N59" s="55">
        <v>43252</v>
      </c>
      <c r="O59" s="7" t="s">
        <v>134</v>
      </c>
      <c r="P59" s="8">
        <v>2339838</v>
      </c>
      <c r="Q59" s="8">
        <v>751013</v>
      </c>
      <c r="R59" s="8">
        <v>1588825</v>
      </c>
      <c r="S59" s="7">
        <v>23</v>
      </c>
      <c r="T59" s="7">
        <v>7</v>
      </c>
      <c r="U59" s="7">
        <v>16</v>
      </c>
    </row>
    <row r="60" spans="2:21" ht="15" customHeight="1" x14ac:dyDescent="0.25">
      <c r="B60" s="54">
        <v>55</v>
      </c>
      <c r="C60" s="55">
        <v>42887</v>
      </c>
      <c r="D60" s="7" t="s">
        <v>135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M60" s="54">
        <v>55</v>
      </c>
      <c r="N60" s="55">
        <v>43252</v>
      </c>
      <c r="O60" s="7" t="s">
        <v>135</v>
      </c>
      <c r="P60" s="8">
        <v>0</v>
      </c>
      <c r="Q60" s="52"/>
      <c r="R60" s="8">
        <v>0</v>
      </c>
      <c r="S60" s="7">
        <v>0</v>
      </c>
      <c r="T60" s="7">
        <v>0</v>
      </c>
      <c r="U60" s="7">
        <v>0</v>
      </c>
    </row>
    <row r="61" spans="2:21" ht="15" customHeight="1" x14ac:dyDescent="0.25">
      <c r="B61" s="54">
        <v>56</v>
      </c>
      <c r="C61" s="55">
        <v>42887</v>
      </c>
      <c r="D61" s="7" t="s">
        <v>138</v>
      </c>
      <c r="E61" s="8">
        <v>8804075</v>
      </c>
      <c r="F61" s="8">
        <v>582488</v>
      </c>
      <c r="G61" s="8">
        <v>8221588</v>
      </c>
      <c r="H61" s="7">
        <v>79</v>
      </c>
      <c r="I61" s="7">
        <v>6</v>
      </c>
      <c r="J61" s="7">
        <v>73</v>
      </c>
      <c r="M61" s="54">
        <v>56</v>
      </c>
      <c r="N61" s="55">
        <v>43252</v>
      </c>
      <c r="O61" s="7" t="s">
        <v>138</v>
      </c>
      <c r="P61" s="8">
        <v>1657163</v>
      </c>
      <c r="Q61" s="8">
        <v>956900</v>
      </c>
      <c r="R61" s="8">
        <v>700263</v>
      </c>
      <c r="S61" s="7">
        <v>15</v>
      </c>
      <c r="T61" s="7">
        <v>14</v>
      </c>
      <c r="U61" s="7">
        <v>1</v>
      </c>
    </row>
    <row r="62" spans="2:21" ht="15" customHeight="1" x14ac:dyDescent="0.25">
      <c r="B62" s="54">
        <v>57</v>
      </c>
      <c r="C62" s="55">
        <v>42887</v>
      </c>
      <c r="D62" s="7" t="s">
        <v>139</v>
      </c>
      <c r="E62" s="8">
        <v>3950188</v>
      </c>
      <c r="F62" s="8">
        <v>1010275</v>
      </c>
      <c r="G62" s="8">
        <v>2939913</v>
      </c>
      <c r="H62" s="7">
        <v>41</v>
      </c>
      <c r="I62" s="7">
        <v>10</v>
      </c>
      <c r="J62" s="7">
        <v>31</v>
      </c>
      <c r="M62" s="54">
        <v>57</v>
      </c>
      <c r="N62" s="55">
        <v>43252</v>
      </c>
      <c r="O62" s="7" t="s">
        <v>139</v>
      </c>
      <c r="P62" s="8">
        <v>0</v>
      </c>
      <c r="Q62" s="52"/>
      <c r="R62" s="8">
        <v>0</v>
      </c>
      <c r="S62" s="7">
        <v>0</v>
      </c>
      <c r="T62" s="7">
        <v>0</v>
      </c>
      <c r="U62" s="7">
        <v>0</v>
      </c>
    </row>
    <row r="63" spans="2:21" x14ac:dyDescent="0.25">
      <c r="M63" s="54">
        <v>58</v>
      </c>
      <c r="N63" s="55">
        <v>43252</v>
      </c>
      <c r="O63" s="7" t="s">
        <v>127</v>
      </c>
      <c r="P63" s="8">
        <v>7553088</v>
      </c>
      <c r="Q63" s="8">
        <v>1915638</v>
      </c>
      <c r="R63" s="8">
        <v>5637450</v>
      </c>
      <c r="S63" s="7">
        <v>73</v>
      </c>
      <c r="T63" s="7">
        <v>18</v>
      </c>
      <c r="U63" s="7">
        <v>55</v>
      </c>
    </row>
    <row r="64" spans="2:21" ht="15" customHeight="1" x14ac:dyDescent="0.25">
      <c r="M64" s="54">
        <v>59</v>
      </c>
      <c r="N64" s="55">
        <v>43252</v>
      </c>
      <c r="O64" s="7" t="s">
        <v>143</v>
      </c>
      <c r="P64" s="8">
        <v>4584300</v>
      </c>
      <c r="Q64" s="8">
        <v>1402400</v>
      </c>
      <c r="R64" s="8">
        <v>3181900</v>
      </c>
      <c r="S64" s="7">
        <v>42</v>
      </c>
      <c r="T64" s="7">
        <v>11</v>
      </c>
      <c r="U64" s="7">
        <v>31</v>
      </c>
    </row>
  </sheetData>
  <mergeCells count="2">
    <mergeCell ref="C3:K3"/>
    <mergeCell ref="M3:U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I10" workbookViewId="0">
      <selection activeCell="R13" sqref="R13"/>
    </sheetView>
  </sheetViews>
  <sheetFormatPr defaultRowHeight="15" x14ac:dyDescent="0.25"/>
  <cols>
    <col min="2" max="2" width="9.42578125" bestFit="1" customWidth="1"/>
    <col min="3" max="3" width="6.42578125" bestFit="1" customWidth="1"/>
    <col min="4" max="4" width="36.42578125" bestFit="1" customWidth="1"/>
    <col min="5" max="5" width="11.140625" bestFit="1" customWidth="1"/>
    <col min="6" max="6" width="10.42578125" bestFit="1" customWidth="1"/>
    <col min="7" max="7" width="12.5703125" bestFit="1" customWidth="1"/>
    <col min="8" max="8" width="11.140625" bestFit="1" customWidth="1"/>
    <col min="9" max="9" width="12.5703125" bestFit="1" customWidth="1"/>
    <col min="16" max="16" width="36.42578125" bestFit="1" customWidth="1"/>
    <col min="17" max="17" width="10.140625" bestFit="1" customWidth="1"/>
    <col min="18" max="18" width="10.42578125" bestFit="1" customWidth="1"/>
    <col min="19" max="19" width="12.5703125" bestFit="1" customWidth="1"/>
    <col min="20" max="20" width="11.140625" bestFit="1" customWidth="1"/>
    <col min="21" max="21" width="12.5703125" bestFit="1" customWidth="1"/>
  </cols>
  <sheetData>
    <row r="1" spans="1:23" x14ac:dyDescent="0.25">
      <c r="B1" s="58" t="s">
        <v>116</v>
      </c>
      <c r="M1" s="58"/>
      <c r="N1" s="58" t="s">
        <v>116</v>
      </c>
    </row>
    <row r="2" spans="1:23" x14ac:dyDescent="0.25">
      <c r="B2" s="59">
        <v>43288</v>
      </c>
      <c r="M2" s="59"/>
      <c r="N2" s="59">
        <v>43288</v>
      </c>
    </row>
    <row r="3" spans="1:23" ht="15.75" x14ac:dyDescent="0.25">
      <c r="A3" s="66"/>
      <c r="B3" s="71" t="s">
        <v>144</v>
      </c>
      <c r="C3" s="71"/>
      <c r="D3" s="71"/>
      <c r="E3" s="71"/>
      <c r="F3" s="71"/>
      <c r="G3" s="71"/>
      <c r="H3" s="71"/>
      <c r="I3" s="71"/>
      <c r="J3" s="71"/>
      <c r="K3" s="71"/>
      <c r="L3" s="66"/>
      <c r="M3" s="66"/>
      <c r="N3" s="71" t="s">
        <v>144</v>
      </c>
      <c r="O3" s="71"/>
      <c r="P3" s="71"/>
      <c r="Q3" s="71"/>
      <c r="R3" s="71"/>
      <c r="S3" s="71"/>
      <c r="T3" s="71"/>
      <c r="U3" s="71"/>
      <c r="V3" s="71"/>
      <c r="W3" s="71"/>
    </row>
    <row r="5" spans="1:23" x14ac:dyDescent="0.25">
      <c r="B5" s="53" t="s">
        <v>70</v>
      </c>
      <c r="C5" s="53" t="s">
        <v>71</v>
      </c>
      <c r="D5" s="53" t="s">
        <v>3</v>
      </c>
      <c r="E5" s="53" t="s">
        <v>4</v>
      </c>
      <c r="F5" s="53" t="s">
        <v>5</v>
      </c>
      <c r="G5" s="53" t="s">
        <v>73</v>
      </c>
      <c r="H5" s="53" t="s">
        <v>7</v>
      </c>
      <c r="I5" s="53" t="s">
        <v>8</v>
      </c>
      <c r="J5" s="53" t="s">
        <v>11</v>
      </c>
      <c r="N5" s="53" t="s">
        <v>70</v>
      </c>
      <c r="O5" s="53" t="s">
        <v>71</v>
      </c>
      <c r="P5" s="53" t="s">
        <v>3</v>
      </c>
      <c r="Q5" s="53" t="s">
        <v>4</v>
      </c>
      <c r="R5" s="53" t="s">
        <v>5</v>
      </c>
      <c r="S5" s="53" t="s">
        <v>73</v>
      </c>
      <c r="T5" s="53" t="s">
        <v>7</v>
      </c>
      <c r="U5" s="53" t="s">
        <v>8</v>
      </c>
      <c r="V5" s="53" t="s">
        <v>11</v>
      </c>
    </row>
    <row r="6" spans="1:23" ht="15" customHeight="1" x14ac:dyDescent="0.25">
      <c r="B6" s="54">
        <v>1</v>
      </c>
      <c r="C6" s="55">
        <v>42917</v>
      </c>
      <c r="D6" s="7" t="s">
        <v>75</v>
      </c>
      <c r="E6" s="8">
        <v>86757388</v>
      </c>
      <c r="F6" s="8">
        <v>27654988</v>
      </c>
      <c r="G6" s="8">
        <v>59102400</v>
      </c>
      <c r="H6" s="7">
        <v>872</v>
      </c>
      <c r="I6" s="7">
        <v>166</v>
      </c>
      <c r="J6" s="7">
        <v>706</v>
      </c>
      <c r="N6" s="54">
        <v>1</v>
      </c>
      <c r="O6" s="55">
        <v>43282</v>
      </c>
      <c r="P6" s="7" t="s">
        <v>75</v>
      </c>
      <c r="Q6" s="8">
        <v>5946763</v>
      </c>
      <c r="R6" s="8">
        <v>5398400</v>
      </c>
      <c r="S6" s="8">
        <v>548363</v>
      </c>
      <c r="T6" s="7">
        <v>54</v>
      </c>
      <c r="U6" s="7">
        <v>22</v>
      </c>
      <c r="V6" s="7">
        <v>32</v>
      </c>
    </row>
    <row r="7" spans="1:23" ht="15" customHeight="1" x14ac:dyDescent="0.25">
      <c r="B7" s="54">
        <v>2</v>
      </c>
      <c r="C7" s="55">
        <v>42917</v>
      </c>
      <c r="D7" s="7" t="s">
        <v>76</v>
      </c>
      <c r="E7" s="8">
        <v>171725488</v>
      </c>
      <c r="F7" s="8">
        <v>20156325</v>
      </c>
      <c r="G7" s="8">
        <v>151569163</v>
      </c>
      <c r="H7" s="8">
        <v>1681</v>
      </c>
      <c r="I7" s="7">
        <v>192</v>
      </c>
      <c r="J7" s="8">
        <v>1489</v>
      </c>
      <c r="N7" s="54">
        <v>2</v>
      </c>
      <c r="O7" s="55">
        <v>43282</v>
      </c>
      <c r="P7" s="7" t="s">
        <v>76</v>
      </c>
      <c r="Q7" s="8">
        <v>36773450</v>
      </c>
      <c r="R7" s="8">
        <v>2965463</v>
      </c>
      <c r="S7" s="8">
        <v>33807988</v>
      </c>
      <c r="T7" s="7">
        <v>353</v>
      </c>
      <c r="U7" s="7">
        <v>37</v>
      </c>
      <c r="V7" s="7">
        <v>316</v>
      </c>
    </row>
    <row r="8" spans="1:23" ht="15" customHeight="1" x14ac:dyDescent="0.25">
      <c r="B8" s="54">
        <v>3</v>
      </c>
      <c r="C8" s="55">
        <v>42917</v>
      </c>
      <c r="D8" s="7" t="s">
        <v>0</v>
      </c>
      <c r="E8" s="8">
        <v>52477775</v>
      </c>
      <c r="F8" s="8">
        <v>9073838</v>
      </c>
      <c r="G8" s="8">
        <v>43403938</v>
      </c>
      <c r="H8" s="7">
        <v>508</v>
      </c>
      <c r="I8" s="7">
        <v>114</v>
      </c>
      <c r="J8" s="7">
        <v>394</v>
      </c>
      <c r="N8" s="54">
        <v>3</v>
      </c>
      <c r="O8" s="55">
        <v>43282</v>
      </c>
      <c r="P8" s="7" t="s">
        <v>0</v>
      </c>
      <c r="Q8" s="8">
        <v>7187338</v>
      </c>
      <c r="R8" s="8">
        <v>2575125</v>
      </c>
      <c r="S8" s="8">
        <v>4612213</v>
      </c>
      <c r="T8" s="7">
        <v>64</v>
      </c>
      <c r="U8" s="7">
        <v>9</v>
      </c>
      <c r="V8" s="7">
        <v>55</v>
      </c>
    </row>
    <row r="9" spans="1:23" ht="15" customHeight="1" x14ac:dyDescent="0.25">
      <c r="B9" s="54">
        <v>4</v>
      </c>
      <c r="C9" s="55">
        <v>42917</v>
      </c>
      <c r="D9" s="7" t="s">
        <v>100</v>
      </c>
      <c r="E9" s="8">
        <v>19341875</v>
      </c>
      <c r="F9" s="8">
        <v>795638</v>
      </c>
      <c r="G9" s="8">
        <v>18546238</v>
      </c>
      <c r="H9" s="7">
        <v>186</v>
      </c>
      <c r="I9" s="7">
        <v>6</v>
      </c>
      <c r="J9" s="7">
        <v>180</v>
      </c>
      <c r="N9" s="54">
        <v>4</v>
      </c>
      <c r="O9" s="55">
        <v>43282</v>
      </c>
      <c r="P9" s="7" t="s">
        <v>100</v>
      </c>
      <c r="Q9" s="8">
        <v>44363</v>
      </c>
      <c r="R9" s="8">
        <v>44363</v>
      </c>
      <c r="S9" s="7">
        <v>0</v>
      </c>
      <c r="T9" s="7">
        <v>1</v>
      </c>
      <c r="U9" s="7">
        <v>0</v>
      </c>
      <c r="V9" s="7">
        <v>1</v>
      </c>
    </row>
    <row r="10" spans="1:23" ht="15" customHeight="1" x14ac:dyDescent="0.25">
      <c r="B10" s="54">
        <v>5</v>
      </c>
      <c r="C10" s="55">
        <v>42917</v>
      </c>
      <c r="D10" s="7" t="s">
        <v>96</v>
      </c>
      <c r="E10" s="8">
        <v>8909250</v>
      </c>
      <c r="F10" s="8">
        <v>296625</v>
      </c>
      <c r="G10" s="8">
        <v>8612625</v>
      </c>
      <c r="H10" s="7">
        <v>77</v>
      </c>
      <c r="I10" s="7">
        <v>4</v>
      </c>
      <c r="J10" s="7">
        <v>73</v>
      </c>
      <c r="N10" s="54">
        <v>5</v>
      </c>
      <c r="O10" s="55">
        <v>43282</v>
      </c>
      <c r="P10" s="7" t="s">
        <v>96</v>
      </c>
      <c r="Q10" s="8">
        <v>668325</v>
      </c>
      <c r="R10" s="8">
        <v>614513</v>
      </c>
      <c r="S10" s="8">
        <v>53813</v>
      </c>
      <c r="T10" s="7">
        <v>5</v>
      </c>
      <c r="U10" s="7">
        <v>6</v>
      </c>
      <c r="V10" s="7">
        <v>-1</v>
      </c>
    </row>
    <row r="11" spans="1:23" ht="15" customHeight="1" x14ac:dyDescent="0.25">
      <c r="B11" s="54">
        <v>6</v>
      </c>
      <c r="C11" s="55">
        <v>42917</v>
      </c>
      <c r="D11" s="7" t="s">
        <v>77</v>
      </c>
      <c r="E11" s="8">
        <v>17181200</v>
      </c>
      <c r="F11" s="8">
        <v>7000700</v>
      </c>
      <c r="G11" s="8">
        <v>10180500</v>
      </c>
      <c r="H11" s="7">
        <v>151</v>
      </c>
      <c r="I11" s="7">
        <v>60</v>
      </c>
      <c r="J11" s="7">
        <v>91</v>
      </c>
      <c r="N11" s="54">
        <v>6</v>
      </c>
      <c r="O11" s="55">
        <v>43282</v>
      </c>
      <c r="P11" s="7" t="s">
        <v>77</v>
      </c>
      <c r="Q11" s="8">
        <v>1765200</v>
      </c>
      <c r="R11" s="8">
        <v>1117400</v>
      </c>
      <c r="S11" s="8">
        <v>647800</v>
      </c>
      <c r="T11" s="7">
        <v>15</v>
      </c>
      <c r="U11" s="7">
        <v>9</v>
      </c>
      <c r="V11" s="7">
        <v>6</v>
      </c>
    </row>
    <row r="12" spans="1:23" ht="15" customHeight="1" x14ac:dyDescent="0.25">
      <c r="B12" s="54">
        <v>7</v>
      </c>
      <c r="C12" s="55">
        <v>42917</v>
      </c>
      <c r="D12" s="7" t="s">
        <v>80</v>
      </c>
      <c r="E12" s="8">
        <v>17654438</v>
      </c>
      <c r="F12" s="8">
        <v>125738</v>
      </c>
      <c r="G12" s="8">
        <v>17528700</v>
      </c>
      <c r="H12" s="7">
        <v>162</v>
      </c>
      <c r="I12" s="7">
        <v>1</v>
      </c>
      <c r="J12" s="7">
        <v>161</v>
      </c>
      <c r="N12" s="54">
        <v>7</v>
      </c>
      <c r="O12" s="55">
        <v>43282</v>
      </c>
      <c r="P12" s="7" t="s">
        <v>80</v>
      </c>
      <c r="Q12" s="8">
        <v>2487713</v>
      </c>
      <c r="R12" s="8">
        <v>1560213</v>
      </c>
      <c r="S12" s="8">
        <v>927500</v>
      </c>
      <c r="T12" s="7">
        <v>21</v>
      </c>
      <c r="U12" s="7">
        <v>19</v>
      </c>
      <c r="V12" s="7">
        <v>2</v>
      </c>
    </row>
    <row r="13" spans="1:23" ht="15" customHeight="1" x14ac:dyDescent="0.25">
      <c r="B13" s="54">
        <v>8</v>
      </c>
      <c r="C13" s="55">
        <v>42917</v>
      </c>
      <c r="D13" s="7" t="s">
        <v>97</v>
      </c>
      <c r="E13" s="8">
        <v>29539300</v>
      </c>
      <c r="F13" s="8">
        <v>934150</v>
      </c>
      <c r="G13" s="8">
        <v>28605150</v>
      </c>
      <c r="H13" s="7">
        <v>242</v>
      </c>
      <c r="I13" s="7">
        <v>9</v>
      </c>
      <c r="J13" s="7">
        <v>233</v>
      </c>
      <c r="N13" s="54">
        <v>8</v>
      </c>
      <c r="O13" s="55">
        <v>43282</v>
      </c>
      <c r="P13" s="7" t="s">
        <v>97</v>
      </c>
      <c r="Q13" s="8">
        <v>4429600</v>
      </c>
      <c r="R13" s="8">
        <v>94063</v>
      </c>
      <c r="S13" s="8">
        <v>4335538</v>
      </c>
      <c r="T13" s="7">
        <v>36</v>
      </c>
      <c r="U13" s="7">
        <v>1</v>
      </c>
      <c r="V13" s="7">
        <v>35</v>
      </c>
    </row>
    <row r="14" spans="1:23" ht="15" customHeight="1" x14ac:dyDescent="0.25">
      <c r="B14" s="54">
        <v>9</v>
      </c>
      <c r="C14" s="55">
        <v>42917</v>
      </c>
      <c r="D14" s="7" t="s">
        <v>95</v>
      </c>
      <c r="E14" s="8">
        <v>4159225</v>
      </c>
      <c r="F14" s="8">
        <v>878238</v>
      </c>
      <c r="G14" s="8">
        <v>3280988</v>
      </c>
      <c r="H14" s="7">
        <v>38</v>
      </c>
      <c r="I14" s="7">
        <v>9</v>
      </c>
      <c r="J14" s="7">
        <v>29</v>
      </c>
      <c r="N14" s="54">
        <v>9</v>
      </c>
      <c r="O14" s="55">
        <v>43282</v>
      </c>
      <c r="P14" s="7" t="s">
        <v>95</v>
      </c>
      <c r="Q14" s="8">
        <v>1464138</v>
      </c>
      <c r="R14" s="8">
        <v>321738</v>
      </c>
      <c r="S14" s="8">
        <v>1142400</v>
      </c>
      <c r="T14" s="7">
        <v>15</v>
      </c>
      <c r="U14" s="7">
        <v>3</v>
      </c>
      <c r="V14" s="7">
        <v>12</v>
      </c>
    </row>
    <row r="15" spans="1:23" ht="15" customHeight="1" x14ac:dyDescent="0.25">
      <c r="B15" s="54">
        <v>10</v>
      </c>
      <c r="C15" s="55">
        <v>42917</v>
      </c>
      <c r="D15" s="7" t="s">
        <v>109</v>
      </c>
      <c r="E15" s="8">
        <v>16872100</v>
      </c>
      <c r="F15" s="8">
        <v>217963</v>
      </c>
      <c r="G15" s="8">
        <v>16654138</v>
      </c>
      <c r="H15" s="7">
        <v>167</v>
      </c>
      <c r="I15" s="7">
        <v>2</v>
      </c>
      <c r="J15" s="7">
        <v>165</v>
      </c>
      <c r="N15" s="54">
        <v>10</v>
      </c>
      <c r="O15" s="55">
        <v>43282</v>
      </c>
      <c r="P15" s="7" t="s">
        <v>109</v>
      </c>
      <c r="Q15" s="8">
        <v>2270363</v>
      </c>
      <c r="R15" s="7">
        <v>0</v>
      </c>
      <c r="S15" s="8">
        <v>2270363</v>
      </c>
      <c r="T15" s="7">
        <v>20</v>
      </c>
      <c r="U15" s="7">
        <v>0</v>
      </c>
      <c r="V15" s="7">
        <v>20</v>
      </c>
    </row>
    <row r="16" spans="1:23" ht="15" customHeight="1" x14ac:dyDescent="0.25">
      <c r="B16" s="54">
        <v>11</v>
      </c>
      <c r="C16" s="55">
        <v>42917</v>
      </c>
      <c r="D16" s="7" t="s">
        <v>84</v>
      </c>
      <c r="E16" s="8">
        <v>7579775</v>
      </c>
      <c r="F16" s="8">
        <v>573563</v>
      </c>
      <c r="G16" s="8">
        <v>7006213</v>
      </c>
      <c r="H16" s="7">
        <v>71</v>
      </c>
      <c r="I16" s="7">
        <v>11</v>
      </c>
      <c r="J16" s="7">
        <v>60</v>
      </c>
      <c r="N16" s="54">
        <v>11</v>
      </c>
      <c r="O16" s="55">
        <v>43282</v>
      </c>
      <c r="P16" s="7" t="s">
        <v>84</v>
      </c>
      <c r="Q16" s="8">
        <v>1182475</v>
      </c>
      <c r="R16" s="8">
        <v>120225</v>
      </c>
      <c r="S16" s="8">
        <v>1062250</v>
      </c>
      <c r="T16" s="7">
        <v>10</v>
      </c>
      <c r="U16" s="7">
        <v>1</v>
      </c>
      <c r="V16" s="7">
        <v>9</v>
      </c>
    </row>
    <row r="17" spans="2:22" ht="15" customHeight="1" x14ac:dyDescent="0.25">
      <c r="B17" s="54">
        <v>12</v>
      </c>
      <c r="C17" s="55">
        <v>42917</v>
      </c>
      <c r="D17" s="7" t="s">
        <v>104</v>
      </c>
      <c r="E17" s="8">
        <v>12884200</v>
      </c>
      <c r="F17" s="8">
        <v>530775</v>
      </c>
      <c r="G17" s="8">
        <v>12353425</v>
      </c>
      <c r="H17" s="7">
        <v>121</v>
      </c>
      <c r="I17" s="7">
        <v>5</v>
      </c>
      <c r="J17" s="7">
        <v>116</v>
      </c>
      <c r="N17" s="54">
        <v>12</v>
      </c>
      <c r="O17" s="55">
        <v>43282</v>
      </c>
      <c r="P17" s="7" t="s">
        <v>104</v>
      </c>
      <c r="Q17" s="8">
        <v>4097538</v>
      </c>
      <c r="R17" s="8">
        <v>483350</v>
      </c>
      <c r="S17" s="8">
        <v>3614188</v>
      </c>
      <c r="T17" s="7">
        <v>36</v>
      </c>
      <c r="U17" s="7">
        <v>6</v>
      </c>
      <c r="V17" s="7">
        <v>30</v>
      </c>
    </row>
    <row r="18" spans="2:22" ht="15" customHeight="1" x14ac:dyDescent="0.25">
      <c r="B18" s="54">
        <v>13</v>
      </c>
      <c r="C18" s="55">
        <v>42917</v>
      </c>
      <c r="D18" s="7" t="s">
        <v>113</v>
      </c>
      <c r="E18" s="8">
        <v>12878250</v>
      </c>
      <c r="F18" s="7">
        <v>0</v>
      </c>
      <c r="G18" s="8">
        <v>12878250</v>
      </c>
      <c r="H18" s="7">
        <v>107</v>
      </c>
      <c r="I18" s="7">
        <v>0</v>
      </c>
      <c r="J18" s="7">
        <v>107</v>
      </c>
      <c r="N18" s="54">
        <v>13</v>
      </c>
      <c r="O18" s="55">
        <v>43282</v>
      </c>
      <c r="P18" s="7" t="s">
        <v>113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</row>
    <row r="19" spans="2:22" ht="15" customHeight="1" x14ac:dyDescent="0.25">
      <c r="B19" s="54">
        <v>14</v>
      </c>
      <c r="C19" s="55">
        <v>42917</v>
      </c>
      <c r="D19" s="7" t="s">
        <v>93</v>
      </c>
      <c r="E19" s="8">
        <v>6656513</v>
      </c>
      <c r="F19" s="7">
        <v>0</v>
      </c>
      <c r="G19" s="8">
        <v>6656513</v>
      </c>
      <c r="H19" s="7">
        <v>59</v>
      </c>
      <c r="I19" s="7">
        <v>0</v>
      </c>
      <c r="J19" s="7">
        <v>59</v>
      </c>
      <c r="N19" s="54">
        <v>14</v>
      </c>
      <c r="O19" s="55">
        <v>43282</v>
      </c>
      <c r="P19" s="7" t="s">
        <v>93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2:22" ht="15" customHeight="1" x14ac:dyDescent="0.25">
      <c r="B20" s="54">
        <v>15</v>
      </c>
      <c r="C20" s="55">
        <v>42917</v>
      </c>
      <c r="D20" s="7" t="s">
        <v>108</v>
      </c>
      <c r="E20" s="8">
        <v>6505100</v>
      </c>
      <c r="F20" s="8">
        <v>129938</v>
      </c>
      <c r="G20" s="8">
        <v>6375163</v>
      </c>
      <c r="H20" s="7">
        <v>84</v>
      </c>
      <c r="I20" s="7">
        <v>0</v>
      </c>
      <c r="J20" s="7">
        <v>84</v>
      </c>
      <c r="N20" s="54">
        <v>15</v>
      </c>
      <c r="O20" s="55">
        <v>43282</v>
      </c>
      <c r="P20" s="7" t="s">
        <v>108</v>
      </c>
      <c r="Q20" s="8">
        <v>1422225</v>
      </c>
      <c r="R20" s="7">
        <v>0</v>
      </c>
      <c r="S20" s="8">
        <v>1422225</v>
      </c>
      <c r="T20" s="7">
        <v>14</v>
      </c>
      <c r="U20" s="7">
        <v>0</v>
      </c>
      <c r="V20" s="7">
        <v>14</v>
      </c>
    </row>
    <row r="21" spans="2:22" ht="15" customHeight="1" x14ac:dyDescent="0.25">
      <c r="B21" s="54">
        <v>16</v>
      </c>
      <c r="C21" s="55">
        <v>42917</v>
      </c>
      <c r="D21" s="7" t="s">
        <v>89</v>
      </c>
      <c r="E21" s="8">
        <v>5315013</v>
      </c>
      <c r="F21" s="8">
        <v>2474238</v>
      </c>
      <c r="G21" s="8">
        <v>2840775</v>
      </c>
      <c r="H21" s="7">
        <v>54</v>
      </c>
      <c r="I21" s="7">
        <v>20</v>
      </c>
      <c r="J21" s="7">
        <v>34</v>
      </c>
      <c r="N21" s="54">
        <v>16</v>
      </c>
      <c r="O21" s="55">
        <v>43282</v>
      </c>
      <c r="P21" s="7" t="s">
        <v>89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2:22" ht="15" customHeight="1" x14ac:dyDescent="0.25">
      <c r="B22" s="54">
        <v>17</v>
      </c>
      <c r="C22" s="55">
        <v>42917</v>
      </c>
      <c r="D22" s="7" t="s">
        <v>91</v>
      </c>
      <c r="E22" s="8">
        <v>23111375</v>
      </c>
      <c r="F22" s="8">
        <v>5271175</v>
      </c>
      <c r="G22" s="8">
        <v>17840200</v>
      </c>
      <c r="H22" s="7">
        <v>283</v>
      </c>
      <c r="I22" s="7">
        <v>51</v>
      </c>
      <c r="J22" s="7">
        <v>232</v>
      </c>
      <c r="N22" s="54">
        <v>17</v>
      </c>
      <c r="O22" s="55">
        <v>43282</v>
      </c>
      <c r="P22" s="7" t="s">
        <v>91</v>
      </c>
      <c r="Q22" s="8">
        <v>2632350</v>
      </c>
      <c r="R22" s="8">
        <v>572775</v>
      </c>
      <c r="S22" s="8">
        <v>2059575</v>
      </c>
      <c r="T22" s="7">
        <v>29</v>
      </c>
      <c r="U22" s="7">
        <v>14</v>
      </c>
      <c r="V22" s="7">
        <v>15</v>
      </c>
    </row>
    <row r="23" spans="2:22" ht="15" customHeight="1" x14ac:dyDescent="0.25">
      <c r="B23" s="54">
        <v>18</v>
      </c>
      <c r="C23" s="55">
        <v>42917</v>
      </c>
      <c r="D23" s="7" t="s">
        <v>101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N23" s="54">
        <v>18</v>
      </c>
      <c r="O23" s="55">
        <v>43282</v>
      </c>
      <c r="P23" s="7" t="s">
        <v>101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</row>
    <row r="24" spans="2:22" ht="15" customHeight="1" x14ac:dyDescent="0.25">
      <c r="B24" s="54">
        <v>19</v>
      </c>
      <c r="C24" s="55">
        <v>42917</v>
      </c>
      <c r="D24" s="7" t="s">
        <v>112</v>
      </c>
      <c r="E24" s="8">
        <v>11312088</v>
      </c>
      <c r="F24" s="8">
        <v>762650</v>
      </c>
      <c r="G24" s="8">
        <v>10549438</v>
      </c>
      <c r="H24" s="7">
        <v>108</v>
      </c>
      <c r="I24" s="7">
        <v>7</v>
      </c>
      <c r="J24" s="7">
        <v>101</v>
      </c>
      <c r="N24" s="54">
        <v>19</v>
      </c>
      <c r="O24" s="55">
        <v>43282</v>
      </c>
      <c r="P24" s="7" t="s">
        <v>112</v>
      </c>
      <c r="Q24" s="8">
        <v>3489675</v>
      </c>
      <c r="R24" s="8">
        <v>116288</v>
      </c>
      <c r="S24" s="8">
        <v>3373388</v>
      </c>
      <c r="T24" s="7">
        <v>33</v>
      </c>
      <c r="U24" s="7">
        <v>1</v>
      </c>
      <c r="V24" s="7">
        <v>32</v>
      </c>
    </row>
    <row r="25" spans="2:22" ht="15" customHeight="1" x14ac:dyDescent="0.25">
      <c r="B25" s="54">
        <v>20</v>
      </c>
      <c r="C25" s="55">
        <v>42917</v>
      </c>
      <c r="D25" s="7" t="s">
        <v>79</v>
      </c>
      <c r="E25" s="8">
        <v>5672888</v>
      </c>
      <c r="F25" s="8">
        <v>1538513</v>
      </c>
      <c r="G25" s="8">
        <v>4134375</v>
      </c>
      <c r="H25" s="7">
        <v>53</v>
      </c>
      <c r="I25" s="7">
        <v>13</v>
      </c>
      <c r="J25" s="7">
        <v>40</v>
      </c>
      <c r="N25" s="54">
        <v>20</v>
      </c>
      <c r="O25" s="55">
        <v>43282</v>
      </c>
      <c r="P25" s="7" t="s">
        <v>79</v>
      </c>
      <c r="Q25" s="8">
        <v>3446538</v>
      </c>
      <c r="R25" s="8">
        <v>1341375</v>
      </c>
      <c r="S25" s="8">
        <v>2105163</v>
      </c>
      <c r="T25" s="7">
        <v>30</v>
      </c>
      <c r="U25" s="7">
        <v>13</v>
      </c>
      <c r="V25" s="7">
        <v>17</v>
      </c>
    </row>
    <row r="26" spans="2:22" ht="15" customHeight="1" x14ac:dyDescent="0.25">
      <c r="B26" s="54">
        <v>21</v>
      </c>
      <c r="C26" s="55">
        <v>42917</v>
      </c>
      <c r="D26" s="7" t="s">
        <v>83</v>
      </c>
      <c r="E26" s="8">
        <v>3894975</v>
      </c>
      <c r="F26" s="8">
        <v>1947225</v>
      </c>
      <c r="G26" s="8">
        <v>1947750</v>
      </c>
      <c r="H26" s="7">
        <v>40</v>
      </c>
      <c r="I26" s="7">
        <v>23</v>
      </c>
      <c r="J26" s="7">
        <v>17</v>
      </c>
      <c r="N26" s="54">
        <v>21</v>
      </c>
      <c r="O26" s="55">
        <v>43282</v>
      </c>
      <c r="P26" s="7" t="s">
        <v>142</v>
      </c>
      <c r="Q26" s="8">
        <v>1941363</v>
      </c>
      <c r="R26" s="7">
        <v>0</v>
      </c>
      <c r="S26" s="8">
        <v>1941363</v>
      </c>
      <c r="T26" s="7">
        <v>21</v>
      </c>
      <c r="U26" s="7">
        <v>0</v>
      </c>
      <c r="V26" s="7">
        <v>21</v>
      </c>
    </row>
    <row r="27" spans="2:22" ht="15" customHeight="1" x14ac:dyDescent="0.25">
      <c r="B27" s="54">
        <v>22</v>
      </c>
      <c r="C27" s="55">
        <v>42917</v>
      </c>
      <c r="D27" s="7" t="s">
        <v>107</v>
      </c>
      <c r="E27" s="8">
        <v>6461963</v>
      </c>
      <c r="F27" s="8">
        <v>408363</v>
      </c>
      <c r="G27" s="8">
        <v>6053600</v>
      </c>
      <c r="H27" s="7">
        <v>65</v>
      </c>
      <c r="I27" s="7">
        <v>4</v>
      </c>
      <c r="J27" s="7">
        <v>61</v>
      </c>
      <c r="N27" s="54">
        <v>22</v>
      </c>
      <c r="O27" s="55">
        <v>43282</v>
      </c>
      <c r="P27" s="7" t="s">
        <v>107</v>
      </c>
      <c r="Q27" s="8">
        <v>1628813</v>
      </c>
      <c r="R27" s="8">
        <v>105525</v>
      </c>
      <c r="S27" s="8">
        <v>1523288</v>
      </c>
      <c r="T27" s="7">
        <v>15</v>
      </c>
      <c r="U27" s="7">
        <v>1</v>
      </c>
      <c r="V27" s="7">
        <v>14</v>
      </c>
    </row>
    <row r="28" spans="2:22" ht="15" customHeight="1" x14ac:dyDescent="0.25">
      <c r="B28" s="54">
        <v>23</v>
      </c>
      <c r="C28" s="55">
        <v>42917</v>
      </c>
      <c r="D28" s="7" t="s">
        <v>111</v>
      </c>
      <c r="E28" s="8">
        <v>16571713</v>
      </c>
      <c r="F28" s="8">
        <v>1002813</v>
      </c>
      <c r="G28" s="8">
        <v>15568900</v>
      </c>
      <c r="H28" s="7">
        <v>159</v>
      </c>
      <c r="I28" s="7">
        <v>10</v>
      </c>
      <c r="J28" s="7">
        <v>149</v>
      </c>
      <c r="N28" s="54">
        <v>23</v>
      </c>
      <c r="O28" s="55">
        <v>43282</v>
      </c>
      <c r="P28" s="7" t="s">
        <v>111</v>
      </c>
      <c r="Q28" s="8">
        <v>1375325</v>
      </c>
      <c r="R28" s="7">
        <v>0</v>
      </c>
      <c r="S28" s="8">
        <v>1375325</v>
      </c>
      <c r="T28" s="7">
        <v>12</v>
      </c>
      <c r="U28" s="7">
        <v>0</v>
      </c>
      <c r="V28" s="7">
        <v>12</v>
      </c>
    </row>
    <row r="29" spans="2:22" ht="15" customHeight="1" x14ac:dyDescent="0.25">
      <c r="B29" s="54">
        <v>24</v>
      </c>
      <c r="C29" s="55">
        <v>42917</v>
      </c>
      <c r="D29" s="7" t="s">
        <v>105</v>
      </c>
      <c r="E29" s="8">
        <v>17834163</v>
      </c>
      <c r="F29" s="8">
        <v>1615950</v>
      </c>
      <c r="G29" s="8">
        <v>16218213</v>
      </c>
      <c r="H29" s="7">
        <v>173</v>
      </c>
      <c r="I29" s="7">
        <v>13</v>
      </c>
      <c r="J29" s="7">
        <v>160</v>
      </c>
      <c r="N29" s="54">
        <v>24</v>
      </c>
      <c r="O29" s="55">
        <v>43282</v>
      </c>
      <c r="P29" s="7" t="s">
        <v>105</v>
      </c>
      <c r="Q29" s="8">
        <v>4452175</v>
      </c>
      <c r="R29" s="8">
        <v>486763</v>
      </c>
      <c r="S29" s="8">
        <v>3965413</v>
      </c>
      <c r="T29" s="7">
        <v>45</v>
      </c>
      <c r="U29" s="7">
        <v>0</v>
      </c>
      <c r="V29" s="7">
        <v>45</v>
      </c>
    </row>
    <row r="30" spans="2:22" ht="15" customHeight="1" x14ac:dyDescent="0.25">
      <c r="B30" s="54">
        <v>25</v>
      </c>
      <c r="C30" s="55">
        <v>42917</v>
      </c>
      <c r="D30" s="7" t="s">
        <v>85</v>
      </c>
      <c r="E30" s="8">
        <v>7600425</v>
      </c>
      <c r="F30" s="8">
        <v>2484738</v>
      </c>
      <c r="G30" s="8">
        <v>5115688</v>
      </c>
      <c r="H30" s="7">
        <v>71</v>
      </c>
      <c r="I30" s="7">
        <v>24</v>
      </c>
      <c r="J30" s="7">
        <v>47</v>
      </c>
      <c r="N30" s="54">
        <v>25</v>
      </c>
      <c r="O30" s="55">
        <v>43282</v>
      </c>
      <c r="P30" s="7" t="s">
        <v>85</v>
      </c>
      <c r="Q30" s="8">
        <v>776738</v>
      </c>
      <c r="R30" s="8">
        <v>551425</v>
      </c>
      <c r="S30" s="8">
        <v>225313</v>
      </c>
      <c r="T30" s="7">
        <v>7</v>
      </c>
      <c r="U30" s="7">
        <v>0</v>
      </c>
      <c r="V30" s="7">
        <v>7</v>
      </c>
    </row>
    <row r="31" spans="2:22" ht="15" customHeight="1" x14ac:dyDescent="0.25">
      <c r="B31" s="54">
        <v>26</v>
      </c>
      <c r="C31" s="55">
        <v>42917</v>
      </c>
      <c r="D31" s="7" t="s">
        <v>81</v>
      </c>
      <c r="E31" s="8">
        <v>17118413</v>
      </c>
      <c r="F31" s="8">
        <v>5328663</v>
      </c>
      <c r="G31" s="8">
        <v>11789750</v>
      </c>
      <c r="H31" s="7">
        <v>167</v>
      </c>
      <c r="I31" s="7">
        <v>50</v>
      </c>
      <c r="J31" s="7">
        <v>117</v>
      </c>
      <c r="N31" s="54">
        <v>26</v>
      </c>
      <c r="O31" s="55">
        <v>43282</v>
      </c>
      <c r="P31" s="7" t="s">
        <v>81</v>
      </c>
      <c r="Q31" s="8">
        <v>3395438</v>
      </c>
      <c r="R31" s="8">
        <v>444150</v>
      </c>
      <c r="S31" s="8">
        <v>2951288</v>
      </c>
      <c r="T31" s="7">
        <v>35</v>
      </c>
      <c r="U31" s="7">
        <v>0</v>
      </c>
      <c r="V31" s="7">
        <v>35</v>
      </c>
    </row>
    <row r="32" spans="2:22" ht="15" customHeight="1" x14ac:dyDescent="0.25">
      <c r="B32" s="54">
        <v>27</v>
      </c>
      <c r="C32" s="55">
        <v>42917</v>
      </c>
      <c r="D32" s="7" t="s">
        <v>102</v>
      </c>
      <c r="E32" s="8">
        <v>7598000</v>
      </c>
      <c r="F32" s="8">
        <v>1865800</v>
      </c>
      <c r="G32" s="8">
        <v>5732200</v>
      </c>
      <c r="H32" s="7">
        <v>61</v>
      </c>
      <c r="I32" s="7">
        <v>16</v>
      </c>
      <c r="J32" s="7">
        <v>45</v>
      </c>
      <c r="N32" s="54">
        <v>27</v>
      </c>
      <c r="O32" s="55">
        <v>43282</v>
      </c>
      <c r="P32" s="7" t="s">
        <v>102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</row>
    <row r="33" spans="2:22" ht="15" customHeight="1" x14ac:dyDescent="0.25">
      <c r="B33" s="54">
        <v>28</v>
      </c>
      <c r="C33" s="55">
        <v>42917</v>
      </c>
      <c r="D33" s="7" t="s">
        <v>87</v>
      </c>
      <c r="E33" s="8">
        <v>6883888</v>
      </c>
      <c r="F33" s="8">
        <v>3554863</v>
      </c>
      <c r="G33" s="8">
        <v>3329025</v>
      </c>
      <c r="H33" s="7">
        <v>65</v>
      </c>
      <c r="I33" s="7">
        <v>32</v>
      </c>
      <c r="J33" s="7">
        <v>33</v>
      </c>
      <c r="N33" s="54">
        <v>28</v>
      </c>
      <c r="O33" s="55">
        <v>43282</v>
      </c>
      <c r="P33" s="7" t="s">
        <v>87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</row>
    <row r="34" spans="2:22" ht="15" customHeight="1" x14ac:dyDescent="0.25">
      <c r="B34" s="54">
        <v>29</v>
      </c>
      <c r="C34" s="55">
        <v>42917</v>
      </c>
      <c r="D34" s="7" t="s">
        <v>98</v>
      </c>
      <c r="E34" s="8">
        <v>2825900</v>
      </c>
      <c r="F34" s="8">
        <v>885588</v>
      </c>
      <c r="G34" s="8">
        <v>1940313</v>
      </c>
      <c r="H34" s="7">
        <v>26</v>
      </c>
      <c r="I34" s="7">
        <v>9</v>
      </c>
      <c r="J34" s="7">
        <v>17</v>
      </c>
      <c r="N34" s="54">
        <v>29</v>
      </c>
      <c r="O34" s="55">
        <v>43282</v>
      </c>
      <c r="P34" s="7" t="s">
        <v>98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</row>
    <row r="35" spans="2:22" ht="15" customHeight="1" x14ac:dyDescent="0.25">
      <c r="B35" s="54">
        <v>30</v>
      </c>
      <c r="C35" s="55">
        <v>42917</v>
      </c>
      <c r="D35" s="7" t="s">
        <v>78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N35" s="54">
        <v>30</v>
      </c>
      <c r="O35" s="55">
        <v>43282</v>
      </c>
      <c r="P35" s="7" t="s">
        <v>78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</row>
    <row r="36" spans="2:22" ht="15" customHeight="1" x14ac:dyDescent="0.25">
      <c r="B36" s="54">
        <v>31</v>
      </c>
      <c r="C36" s="55">
        <v>42917</v>
      </c>
      <c r="D36" s="7" t="s">
        <v>82</v>
      </c>
      <c r="E36" s="8">
        <v>3281425</v>
      </c>
      <c r="F36" s="8">
        <v>978863</v>
      </c>
      <c r="G36" s="8">
        <v>2302563</v>
      </c>
      <c r="H36" s="7">
        <v>32</v>
      </c>
      <c r="I36" s="7">
        <v>10</v>
      </c>
      <c r="J36" s="7">
        <v>22</v>
      </c>
      <c r="N36" s="54">
        <v>31</v>
      </c>
      <c r="O36" s="55">
        <v>43282</v>
      </c>
      <c r="P36" s="7" t="s">
        <v>82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</row>
    <row r="37" spans="2:22" ht="15" customHeight="1" x14ac:dyDescent="0.25">
      <c r="B37" s="54">
        <v>32</v>
      </c>
      <c r="C37" s="55">
        <v>42917</v>
      </c>
      <c r="D37" s="7" t="s">
        <v>86</v>
      </c>
      <c r="E37" s="8">
        <v>12560538</v>
      </c>
      <c r="F37" s="8">
        <v>101413</v>
      </c>
      <c r="G37" s="8">
        <v>12459125</v>
      </c>
      <c r="H37" s="7">
        <v>141</v>
      </c>
      <c r="I37" s="7">
        <v>1</v>
      </c>
      <c r="J37" s="7">
        <v>140</v>
      </c>
      <c r="N37" s="54">
        <v>32</v>
      </c>
      <c r="O37" s="55">
        <v>43282</v>
      </c>
      <c r="P37" s="7" t="s">
        <v>86</v>
      </c>
      <c r="Q37" s="8">
        <v>3785250</v>
      </c>
      <c r="R37" s="8">
        <v>766238</v>
      </c>
      <c r="S37" s="8">
        <v>3019013</v>
      </c>
      <c r="T37" s="7">
        <v>36</v>
      </c>
      <c r="U37" s="7">
        <v>8</v>
      </c>
      <c r="V37" s="7">
        <v>28</v>
      </c>
    </row>
    <row r="38" spans="2:22" ht="15" customHeight="1" x14ac:dyDescent="0.25">
      <c r="B38" s="54">
        <v>33</v>
      </c>
      <c r="C38" s="55">
        <v>42917</v>
      </c>
      <c r="D38" s="7" t="s">
        <v>88</v>
      </c>
      <c r="E38" s="8">
        <v>3672025</v>
      </c>
      <c r="F38" s="8">
        <v>215688</v>
      </c>
      <c r="G38" s="8">
        <v>3456338</v>
      </c>
      <c r="H38" s="7">
        <v>35</v>
      </c>
      <c r="I38" s="7">
        <v>3</v>
      </c>
      <c r="J38" s="7">
        <v>32</v>
      </c>
      <c r="N38" s="54">
        <v>33</v>
      </c>
      <c r="O38" s="55">
        <v>43282</v>
      </c>
      <c r="P38" s="7" t="s">
        <v>88</v>
      </c>
      <c r="Q38" s="8">
        <v>1180725</v>
      </c>
      <c r="R38" s="7">
        <v>0</v>
      </c>
      <c r="S38" s="8">
        <v>1180725</v>
      </c>
      <c r="T38" s="7">
        <v>13</v>
      </c>
      <c r="U38" s="7">
        <v>0</v>
      </c>
      <c r="V38" s="7">
        <v>13</v>
      </c>
    </row>
    <row r="39" spans="2:22" ht="15" customHeight="1" x14ac:dyDescent="0.25">
      <c r="B39" s="54">
        <v>34</v>
      </c>
      <c r="C39" s="55">
        <v>42917</v>
      </c>
      <c r="D39" s="7" t="s">
        <v>115</v>
      </c>
      <c r="E39" s="8">
        <v>4846450</v>
      </c>
      <c r="F39" s="7">
        <v>0</v>
      </c>
      <c r="G39" s="8">
        <v>4846450</v>
      </c>
      <c r="H39" s="7">
        <v>46</v>
      </c>
      <c r="I39" s="7">
        <v>0</v>
      </c>
      <c r="J39" s="7">
        <v>46</v>
      </c>
      <c r="N39" s="54">
        <v>34</v>
      </c>
      <c r="O39" s="55">
        <v>43282</v>
      </c>
      <c r="P39" s="7" t="s">
        <v>115</v>
      </c>
      <c r="Q39" s="8">
        <v>110075</v>
      </c>
      <c r="R39" s="7">
        <v>0</v>
      </c>
      <c r="S39" s="8">
        <v>110075</v>
      </c>
      <c r="T39" s="7">
        <v>1</v>
      </c>
      <c r="U39" s="7">
        <v>0</v>
      </c>
      <c r="V39" s="7">
        <v>1</v>
      </c>
    </row>
    <row r="40" spans="2:22" ht="15" customHeight="1" x14ac:dyDescent="0.25">
      <c r="B40" s="54">
        <v>35</v>
      </c>
      <c r="C40" s="55">
        <v>42917</v>
      </c>
      <c r="D40" s="7" t="s">
        <v>92</v>
      </c>
      <c r="E40" s="8">
        <v>7154875</v>
      </c>
      <c r="F40" s="8">
        <v>4911638</v>
      </c>
      <c r="G40" s="8">
        <v>2243238</v>
      </c>
      <c r="H40" s="7">
        <v>68</v>
      </c>
      <c r="I40" s="7">
        <v>43</v>
      </c>
      <c r="J40" s="7">
        <v>25</v>
      </c>
      <c r="N40" s="54">
        <v>35</v>
      </c>
      <c r="O40" s="55">
        <v>43282</v>
      </c>
      <c r="P40" s="7" t="s">
        <v>92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2:22" ht="15" customHeight="1" x14ac:dyDescent="0.25">
      <c r="B41" s="54">
        <v>36</v>
      </c>
      <c r="C41" s="55">
        <v>42917</v>
      </c>
      <c r="D41" s="7" t="s">
        <v>94</v>
      </c>
      <c r="E41" s="8">
        <v>7912800</v>
      </c>
      <c r="F41" s="8">
        <v>-187263</v>
      </c>
      <c r="G41" s="8">
        <v>8100063</v>
      </c>
      <c r="H41" s="7">
        <v>50</v>
      </c>
      <c r="I41" s="7">
        <v>0</v>
      </c>
      <c r="J41" s="7">
        <v>50</v>
      </c>
      <c r="N41" s="54">
        <v>36</v>
      </c>
      <c r="O41" s="55">
        <v>43282</v>
      </c>
      <c r="P41" s="7" t="s">
        <v>94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2:22" ht="15" customHeight="1" x14ac:dyDescent="0.25">
      <c r="B42" s="54">
        <v>37</v>
      </c>
      <c r="C42" s="55">
        <v>42917</v>
      </c>
      <c r="D42" s="7" t="s">
        <v>99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N42" s="54">
        <v>37</v>
      </c>
      <c r="O42" s="55">
        <v>43282</v>
      </c>
      <c r="P42" s="7" t="s">
        <v>99</v>
      </c>
      <c r="Q42" s="8">
        <v>679613</v>
      </c>
      <c r="R42" s="8">
        <v>679613</v>
      </c>
      <c r="S42" s="7">
        <v>0</v>
      </c>
      <c r="T42" s="7">
        <v>6</v>
      </c>
      <c r="U42" s="7">
        <v>2</v>
      </c>
      <c r="V42" s="7">
        <v>4</v>
      </c>
    </row>
    <row r="43" spans="2:22" ht="15" customHeight="1" x14ac:dyDescent="0.25">
      <c r="B43" s="54">
        <v>38</v>
      </c>
      <c r="C43" s="55">
        <v>42917</v>
      </c>
      <c r="D43" s="7" t="s">
        <v>103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N43" s="54">
        <v>38</v>
      </c>
      <c r="O43" s="55">
        <v>43282</v>
      </c>
      <c r="P43" s="7" t="s">
        <v>103</v>
      </c>
      <c r="Q43" s="8">
        <v>420000</v>
      </c>
      <c r="R43" s="7">
        <v>0</v>
      </c>
      <c r="S43" s="8">
        <v>420000</v>
      </c>
      <c r="T43" s="7">
        <v>4</v>
      </c>
      <c r="U43" s="7">
        <v>0</v>
      </c>
      <c r="V43" s="7">
        <v>4</v>
      </c>
    </row>
    <row r="44" spans="2:22" ht="15" customHeight="1" x14ac:dyDescent="0.25">
      <c r="B44" s="54">
        <v>39</v>
      </c>
      <c r="C44" s="55">
        <v>42917</v>
      </c>
      <c r="D44" s="7" t="s">
        <v>137</v>
      </c>
      <c r="E44" s="8">
        <v>8735738</v>
      </c>
      <c r="F44" s="8">
        <v>3283788</v>
      </c>
      <c r="G44" s="8">
        <v>5451950</v>
      </c>
      <c r="H44" s="7">
        <v>87</v>
      </c>
      <c r="I44" s="7">
        <v>31</v>
      </c>
      <c r="J44" s="7">
        <v>56</v>
      </c>
      <c r="N44" s="54">
        <v>39</v>
      </c>
      <c r="O44" s="55">
        <v>43282</v>
      </c>
      <c r="P44" s="7" t="s">
        <v>137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</row>
    <row r="45" spans="2:22" ht="15" customHeight="1" x14ac:dyDescent="0.25">
      <c r="B45" s="54">
        <v>40</v>
      </c>
      <c r="C45" s="55">
        <v>42917</v>
      </c>
      <c r="D45" s="7" t="s">
        <v>110</v>
      </c>
      <c r="E45" s="8">
        <v>17132588</v>
      </c>
      <c r="F45" s="8">
        <v>1930163</v>
      </c>
      <c r="G45" s="8">
        <v>15202425</v>
      </c>
      <c r="H45" s="7">
        <v>181</v>
      </c>
      <c r="I45" s="7">
        <v>0</v>
      </c>
      <c r="J45" s="7">
        <v>181</v>
      </c>
      <c r="N45" s="54">
        <v>40</v>
      </c>
      <c r="O45" s="55">
        <v>43282</v>
      </c>
      <c r="P45" s="7" t="s">
        <v>110</v>
      </c>
      <c r="Q45" s="8">
        <v>1990275</v>
      </c>
      <c r="R45" s="8">
        <v>1990275</v>
      </c>
      <c r="S45" s="7">
        <v>0</v>
      </c>
      <c r="T45" s="7">
        <v>18</v>
      </c>
      <c r="U45" s="7">
        <v>0</v>
      </c>
      <c r="V45" s="7">
        <v>18</v>
      </c>
    </row>
    <row r="46" spans="2:22" ht="15" customHeight="1" x14ac:dyDescent="0.25">
      <c r="B46" s="54">
        <v>41</v>
      </c>
      <c r="C46" s="55">
        <v>42917</v>
      </c>
      <c r="D46" s="7" t="s">
        <v>119</v>
      </c>
      <c r="E46" s="8">
        <v>25251500</v>
      </c>
      <c r="F46" s="8">
        <v>7826825</v>
      </c>
      <c r="G46" s="8">
        <v>17424675</v>
      </c>
      <c r="H46" s="7">
        <v>224</v>
      </c>
      <c r="I46" s="7">
        <v>75</v>
      </c>
      <c r="J46" s="7">
        <v>149</v>
      </c>
      <c r="N46" s="54">
        <v>41</v>
      </c>
      <c r="O46" s="55">
        <v>43282</v>
      </c>
      <c r="P46" s="7" t="s">
        <v>119</v>
      </c>
      <c r="Q46" s="8">
        <v>6838100</v>
      </c>
      <c r="R46" s="8">
        <v>2604975</v>
      </c>
      <c r="S46" s="8">
        <v>4233125</v>
      </c>
      <c r="T46" s="7">
        <v>59</v>
      </c>
      <c r="U46" s="7">
        <v>15</v>
      </c>
      <c r="V46" s="7">
        <v>44</v>
      </c>
    </row>
    <row r="47" spans="2:22" ht="15" customHeight="1" x14ac:dyDescent="0.25">
      <c r="B47" s="54">
        <v>42</v>
      </c>
      <c r="C47" s="55">
        <v>42917</v>
      </c>
      <c r="D47" s="7" t="s">
        <v>123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N47" s="54">
        <v>42</v>
      </c>
      <c r="O47" s="55">
        <v>43282</v>
      </c>
      <c r="P47" s="7" t="s">
        <v>123</v>
      </c>
      <c r="Q47" s="8">
        <v>2743125</v>
      </c>
      <c r="R47" s="8">
        <v>1188513</v>
      </c>
      <c r="S47" s="8">
        <v>1554613</v>
      </c>
      <c r="T47" s="7">
        <v>27</v>
      </c>
      <c r="U47" s="7">
        <v>6</v>
      </c>
      <c r="V47" s="7">
        <v>21</v>
      </c>
    </row>
    <row r="48" spans="2:22" ht="15" customHeight="1" x14ac:dyDescent="0.25">
      <c r="B48" s="54">
        <v>43</v>
      </c>
      <c r="C48" s="55">
        <v>42917</v>
      </c>
      <c r="D48" s="7" t="s">
        <v>124</v>
      </c>
      <c r="E48" s="8">
        <v>2303875</v>
      </c>
      <c r="F48" s="8">
        <v>1621900</v>
      </c>
      <c r="G48" s="8">
        <v>681975</v>
      </c>
      <c r="H48" s="7">
        <v>23</v>
      </c>
      <c r="I48" s="7">
        <v>14</v>
      </c>
      <c r="J48" s="7">
        <v>9</v>
      </c>
      <c r="N48" s="54">
        <v>43</v>
      </c>
      <c r="O48" s="55">
        <v>43282</v>
      </c>
      <c r="P48" s="7" t="s">
        <v>124</v>
      </c>
      <c r="Q48" s="8">
        <v>852425</v>
      </c>
      <c r="R48" s="7">
        <v>0</v>
      </c>
      <c r="S48" s="8">
        <v>852425</v>
      </c>
      <c r="T48" s="7">
        <v>9</v>
      </c>
      <c r="U48" s="7">
        <v>10</v>
      </c>
      <c r="V48" s="7">
        <v>-1</v>
      </c>
    </row>
    <row r="49" spans="2:22" ht="15" customHeight="1" x14ac:dyDescent="0.25">
      <c r="B49" s="54">
        <v>44</v>
      </c>
      <c r="C49" s="55">
        <v>42917</v>
      </c>
      <c r="D49" s="7" t="s">
        <v>125</v>
      </c>
      <c r="E49" s="8">
        <v>4278138</v>
      </c>
      <c r="F49" s="8">
        <v>920588</v>
      </c>
      <c r="G49" s="8">
        <v>3357550</v>
      </c>
      <c r="H49" s="7">
        <v>41</v>
      </c>
      <c r="I49" s="7">
        <v>9</v>
      </c>
      <c r="J49" s="7">
        <v>32</v>
      </c>
      <c r="N49" s="54">
        <v>44</v>
      </c>
      <c r="O49" s="55">
        <v>43282</v>
      </c>
      <c r="P49" s="7" t="s">
        <v>125</v>
      </c>
      <c r="Q49" s="8">
        <v>2111375</v>
      </c>
      <c r="R49" s="8">
        <v>910350</v>
      </c>
      <c r="S49" s="8">
        <v>1201025</v>
      </c>
      <c r="T49" s="7">
        <v>23</v>
      </c>
      <c r="U49" s="7">
        <v>7</v>
      </c>
      <c r="V49" s="7">
        <v>16</v>
      </c>
    </row>
    <row r="50" spans="2:22" ht="15" customHeight="1" x14ac:dyDescent="0.25">
      <c r="B50" s="54">
        <v>45</v>
      </c>
      <c r="C50" s="55">
        <v>42917</v>
      </c>
      <c r="D50" s="7" t="s">
        <v>126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N50" s="54">
        <v>45</v>
      </c>
      <c r="O50" s="55">
        <v>43282</v>
      </c>
      <c r="P50" s="7" t="s">
        <v>126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</row>
    <row r="51" spans="2:22" ht="15" customHeight="1" x14ac:dyDescent="0.25">
      <c r="B51" s="54">
        <v>46</v>
      </c>
      <c r="C51" s="55">
        <v>42917</v>
      </c>
      <c r="D51" s="7" t="s">
        <v>127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N51" s="54">
        <v>46</v>
      </c>
      <c r="O51" s="55">
        <v>43282</v>
      </c>
      <c r="P51" s="7" t="s">
        <v>127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</row>
    <row r="52" spans="2:22" ht="15" customHeight="1" x14ac:dyDescent="0.25">
      <c r="B52" s="54">
        <v>47</v>
      </c>
      <c r="C52" s="55">
        <v>42917</v>
      </c>
      <c r="D52" s="7" t="s">
        <v>128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N52" s="54">
        <v>47</v>
      </c>
      <c r="O52" s="55">
        <v>43282</v>
      </c>
      <c r="P52" s="7" t="s">
        <v>128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</row>
    <row r="53" spans="2:22" ht="15" customHeight="1" x14ac:dyDescent="0.25">
      <c r="B53" s="54">
        <v>48</v>
      </c>
      <c r="C53" s="55">
        <v>42917</v>
      </c>
      <c r="D53" s="7" t="s">
        <v>129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N53" s="54">
        <v>48</v>
      </c>
      <c r="O53" s="55">
        <v>43282</v>
      </c>
      <c r="P53" s="7" t="s">
        <v>129</v>
      </c>
      <c r="Q53" s="8">
        <v>2608988</v>
      </c>
      <c r="R53" s="8">
        <v>938175</v>
      </c>
      <c r="S53" s="8">
        <v>1670813</v>
      </c>
      <c r="T53" s="7">
        <v>25</v>
      </c>
      <c r="U53" s="7">
        <v>9</v>
      </c>
      <c r="V53" s="7">
        <v>16</v>
      </c>
    </row>
    <row r="54" spans="2:22" ht="15" customHeight="1" x14ac:dyDescent="0.25">
      <c r="B54" s="54">
        <v>49</v>
      </c>
      <c r="C54" s="55">
        <v>42917</v>
      </c>
      <c r="D54" s="7" t="s">
        <v>130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N54" s="54">
        <v>49</v>
      </c>
      <c r="O54" s="55">
        <v>43282</v>
      </c>
      <c r="P54" s="7" t="s">
        <v>130</v>
      </c>
      <c r="Q54" s="8">
        <v>353150</v>
      </c>
      <c r="R54" s="8">
        <v>82075</v>
      </c>
      <c r="S54" s="8">
        <v>271075</v>
      </c>
      <c r="T54" s="7">
        <v>3</v>
      </c>
      <c r="U54" s="7">
        <v>1</v>
      </c>
      <c r="V54" s="7">
        <v>2</v>
      </c>
    </row>
    <row r="55" spans="2:22" ht="15" customHeight="1" x14ac:dyDescent="0.25">
      <c r="B55" s="54">
        <v>50</v>
      </c>
      <c r="C55" s="55">
        <v>42917</v>
      </c>
      <c r="D55" s="7" t="s">
        <v>131</v>
      </c>
      <c r="E55" s="8">
        <v>1513138</v>
      </c>
      <c r="F55" s="8">
        <v>313950</v>
      </c>
      <c r="G55" s="8">
        <v>1199188</v>
      </c>
      <c r="H55" s="7">
        <v>15</v>
      </c>
      <c r="I55" s="7">
        <v>3</v>
      </c>
      <c r="J55" s="7">
        <v>12</v>
      </c>
      <c r="N55" s="54">
        <v>50</v>
      </c>
      <c r="O55" s="55">
        <v>43282</v>
      </c>
      <c r="P55" s="7" t="s">
        <v>131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</row>
    <row r="56" spans="2:22" ht="15" customHeight="1" x14ac:dyDescent="0.25">
      <c r="B56" s="54">
        <v>51</v>
      </c>
      <c r="C56" s="55">
        <v>42917</v>
      </c>
      <c r="D56" s="7" t="s">
        <v>142</v>
      </c>
      <c r="E56" s="8">
        <v>3669925</v>
      </c>
      <c r="F56" s="8">
        <v>232050</v>
      </c>
      <c r="G56" s="8">
        <v>3437875</v>
      </c>
      <c r="H56" s="7">
        <v>41</v>
      </c>
      <c r="I56" s="7">
        <v>2</v>
      </c>
      <c r="J56" s="7">
        <v>39</v>
      </c>
      <c r="N56" s="54">
        <v>51</v>
      </c>
      <c r="O56" s="55">
        <v>43282</v>
      </c>
      <c r="P56" s="7" t="s">
        <v>142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</row>
    <row r="57" spans="2:22" ht="15" customHeight="1" x14ac:dyDescent="0.25">
      <c r="B57" s="54">
        <v>52</v>
      </c>
      <c r="C57" s="55">
        <v>42917</v>
      </c>
      <c r="D57" s="7" t="s">
        <v>132</v>
      </c>
      <c r="E57" s="8">
        <v>1824200</v>
      </c>
      <c r="F57" s="8">
        <v>213588</v>
      </c>
      <c r="G57" s="8">
        <v>1610613</v>
      </c>
      <c r="H57" s="7">
        <v>18</v>
      </c>
      <c r="I57" s="7">
        <v>2</v>
      </c>
      <c r="J57" s="7">
        <v>16</v>
      </c>
      <c r="N57" s="54">
        <v>52</v>
      </c>
      <c r="O57" s="55">
        <v>43282</v>
      </c>
      <c r="P57" s="7" t="s">
        <v>132</v>
      </c>
      <c r="Q57" s="8">
        <v>1352138</v>
      </c>
      <c r="R57" s="8">
        <v>1059975</v>
      </c>
      <c r="S57" s="8">
        <v>292163</v>
      </c>
      <c r="T57" s="7">
        <v>12</v>
      </c>
      <c r="U57" s="7">
        <v>9</v>
      </c>
      <c r="V57" s="7">
        <v>3</v>
      </c>
    </row>
    <row r="58" spans="2:22" ht="15" customHeight="1" x14ac:dyDescent="0.25">
      <c r="B58" s="54">
        <v>53</v>
      </c>
      <c r="C58" s="55">
        <v>42917</v>
      </c>
      <c r="D58" s="7" t="s">
        <v>133</v>
      </c>
      <c r="E58" s="8">
        <v>3559325</v>
      </c>
      <c r="F58" s="8">
        <v>715150</v>
      </c>
      <c r="G58" s="8">
        <v>2844175</v>
      </c>
      <c r="H58" s="7">
        <v>31</v>
      </c>
      <c r="I58" s="7">
        <v>2</v>
      </c>
      <c r="J58" s="7">
        <v>29</v>
      </c>
      <c r="N58" s="54">
        <v>53</v>
      </c>
      <c r="O58" s="55">
        <v>43282</v>
      </c>
      <c r="P58" s="7" t="s">
        <v>133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</row>
    <row r="59" spans="2:22" ht="15" customHeight="1" x14ac:dyDescent="0.25">
      <c r="B59" s="54">
        <v>54</v>
      </c>
      <c r="C59" s="55">
        <v>42917</v>
      </c>
      <c r="D59" s="7" t="s">
        <v>134</v>
      </c>
      <c r="E59" s="8">
        <v>541713</v>
      </c>
      <c r="F59" s="7">
        <v>0</v>
      </c>
      <c r="G59" s="8">
        <v>541713</v>
      </c>
      <c r="H59" s="7">
        <v>6</v>
      </c>
      <c r="I59" s="7">
        <v>0</v>
      </c>
      <c r="J59" s="7">
        <v>6</v>
      </c>
      <c r="N59" s="54">
        <v>54</v>
      </c>
      <c r="O59" s="55">
        <v>43282</v>
      </c>
      <c r="P59" s="7" t="s">
        <v>134</v>
      </c>
      <c r="Q59" s="8">
        <v>199063</v>
      </c>
      <c r="R59" s="7">
        <v>0</v>
      </c>
      <c r="S59" s="8">
        <v>199063</v>
      </c>
      <c r="T59" s="7">
        <v>2</v>
      </c>
      <c r="U59" s="7">
        <v>0</v>
      </c>
      <c r="V59" s="7">
        <v>2</v>
      </c>
    </row>
    <row r="60" spans="2:22" ht="15" customHeight="1" x14ac:dyDescent="0.25">
      <c r="B60" s="54">
        <v>55</v>
      </c>
      <c r="C60" s="55">
        <v>42917</v>
      </c>
      <c r="D60" s="7" t="s">
        <v>135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N60" s="54">
        <v>55</v>
      </c>
      <c r="O60" s="55">
        <v>43282</v>
      </c>
      <c r="P60" s="7" t="s">
        <v>135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</row>
    <row r="61" spans="2:22" ht="15" customHeight="1" x14ac:dyDescent="0.25">
      <c r="B61" s="54">
        <v>56</v>
      </c>
      <c r="C61" s="55">
        <v>42917</v>
      </c>
      <c r="D61" s="7" t="s">
        <v>138</v>
      </c>
      <c r="E61" s="8">
        <v>498925</v>
      </c>
      <c r="F61" s="7">
        <v>0</v>
      </c>
      <c r="G61" s="8">
        <v>498925</v>
      </c>
      <c r="H61" s="7">
        <v>5</v>
      </c>
      <c r="I61" s="7">
        <v>0</v>
      </c>
      <c r="J61" s="7">
        <v>5</v>
      </c>
      <c r="N61" s="54">
        <v>56</v>
      </c>
      <c r="O61" s="55">
        <v>43282</v>
      </c>
      <c r="P61" s="7" t="s">
        <v>138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</row>
    <row r="62" spans="2:22" ht="15" customHeight="1" x14ac:dyDescent="0.25">
      <c r="B62" s="54">
        <v>57</v>
      </c>
      <c r="C62" s="55">
        <v>42917</v>
      </c>
      <c r="D62" s="7" t="s">
        <v>139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N62" s="54">
        <v>57</v>
      </c>
      <c r="O62" s="55">
        <v>43282</v>
      </c>
      <c r="P62" s="7" t="s">
        <v>139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</row>
    <row r="63" spans="2:22" ht="15" customHeight="1" x14ac:dyDescent="0.25">
      <c r="B63" s="54">
        <v>58</v>
      </c>
      <c r="C63" s="55">
        <v>42917</v>
      </c>
      <c r="D63" s="7" t="s">
        <v>143</v>
      </c>
      <c r="E63" s="8">
        <v>1395100</v>
      </c>
      <c r="F63" s="7">
        <v>0</v>
      </c>
      <c r="G63" s="8">
        <v>1395100</v>
      </c>
      <c r="H63" s="7">
        <v>13</v>
      </c>
      <c r="I63" s="7">
        <v>0</v>
      </c>
      <c r="J63" s="7">
        <v>13</v>
      </c>
      <c r="N63" s="54">
        <v>58</v>
      </c>
      <c r="O63" s="55">
        <v>43282</v>
      </c>
      <c r="P63" s="7" t="s">
        <v>143</v>
      </c>
      <c r="Q63" s="8">
        <v>2448700</v>
      </c>
      <c r="R63" s="8">
        <v>206900</v>
      </c>
      <c r="S63" s="8">
        <v>2241800</v>
      </c>
      <c r="T63" s="7">
        <v>22</v>
      </c>
      <c r="U63" s="7">
        <v>2</v>
      </c>
      <c r="V63" s="7">
        <v>20</v>
      </c>
    </row>
  </sheetData>
  <mergeCells count="2">
    <mergeCell ref="B3:K3"/>
    <mergeCell ref="N3:W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5" bestFit="1" customWidth="1"/>
    <col min="2" max="2" width="12.285156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285156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x14ac:dyDescent="0.25">
      <c r="A1" s="18" t="s">
        <v>12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17313450</v>
      </c>
      <c r="D4" s="4">
        <v>204050</v>
      </c>
      <c r="E4" s="4">
        <v>17109400</v>
      </c>
      <c r="F4" s="3">
        <v>178</v>
      </c>
      <c r="G4" s="3">
        <v>3</v>
      </c>
      <c r="H4" s="3">
        <v>175</v>
      </c>
      <c r="K4" s="2">
        <v>43101</v>
      </c>
      <c r="L4" s="4">
        <v>8423450</v>
      </c>
      <c r="M4" s="4">
        <v>312375</v>
      </c>
      <c r="N4" s="4">
        <v>8111075</v>
      </c>
      <c r="O4" s="3">
        <v>87</v>
      </c>
      <c r="P4" s="3">
        <v>2</v>
      </c>
      <c r="Q4" s="3">
        <v>85</v>
      </c>
    </row>
    <row r="5" spans="1:17" ht="15" customHeight="1" x14ac:dyDescent="0.25">
      <c r="B5" s="2">
        <v>42767</v>
      </c>
      <c r="C5" s="4">
        <v>8825775</v>
      </c>
      <c r="D5" s="4">
        <v>2173767</v>
      </c>
      <c r="E5" s="4">
        <v>6652008</v>
      </c>
      <c r="F5" s="3">
        <v>88</v>
      </c>
      <c r="G5" s="3">
        <v>0</v>
      </c>
      <c r="H5" s="3">
        <v>88</v>
      </c>
      <c r="K5" s="2">
        <v>43132</v>
      </c>
      <c r="L5" s="4">
        <v>8149313</v>
      </c>
      <c r="M5" s="3">
        <v>0</v>
      </c>
      <c r="N5" s="4">
        <v>8149313</v>
      </c>
      <c r="O5" s="3">
        <v>87</v>
      </c>
      <c r="P5" s="3">
        <v>0</v>
      </c>
      <c r="Q5" s="3">
        <v>87</v>
      </c>
    </row>
    <row r="6" spans="1:17" ht="15" customHeight="1" x14ac:dyDescent="0.25">
      <c r="B6" s="2">
        <v>42795</v>
      </c>
      <c r="C6" s="4">
        <v>18430388</v>
      </c>
      <c r="D6" s="4">
        <v>670689</v>
      </c>
      <c r="E6" s="4">
        <v>17759699</v>
      </c>
      <c r="F6" s="3">
        <v>174</v>
      </c>
      <c r="G6" s="3">
        <v>7</v>
      </c>
      <c r="H6" s="3">
        <v>167</v>
      </c>
      <c r="K6" s="2">
        <v>43160</v>
      </c>
      <c r="L6" s="4">
        <v>8955450</v>
      </c>
      <c r="M6" s="3">
        <v>0</v>
      </c>
      <c r="N6" s="4">
        <v>8955450</v>
      </c>
      <c r="O6" s="3">
        <v>96</v>
      </c>
      <c r="P6" s="3">
        <v>0</v>
      </c>
      <c r="Q6" s="3">
        <v>96</v>
      </c>
    </row>
    <row r="7" spans="1:17" ht="15" customHeight="1" x14ac:dyDescent="0.25">
      <c r="B7" s="30"/>
      <c r="C7" s="4">
        <f>SUBTOTAL(109,Table5[Nilai Jual])</f>
        <v>44569613</v>
      </c>
      <c r="D7" s="4">
        <f>SUBTOTAL(109,Table5[Nilai Retur])</f>
        <v>3048506</v>
      </c>
      <c r="E7" s="4">
        <f>SUBTOTAL(109,Table5[Jual Net])</f>
        <v>41521107</v>
      </c>
      <c r="F7" s="4">
        <f>SUBTOTAL(109,Table5[Jumlah Jual])</f>
        <v>440</v>
      </c>
      <c r="G7" s="4">
        <f>SUBTOTAL(109,Table5[Jumlah Retur])</f>
        <v>10</v>
      </c>
      <c r="H7" s="4">
        <f>SUBTOTAL(109,Table5[Jual Net2])</f>
        <v>430</v>
      </c>
      <c r="K7" s="30"/>
      <c r="L7" s="4">
        <f>SUBTOTAL(109,Table6[Nilai Jual])</f>
        <v>25528213</v>
      </c>
      <c r="M7" s="4">
        <f>SUBTOTAL(109,Table6[Nilai Retur])</f>
        <v>312375</v>
      </c>
      <c r="N7" s="4">
        <f>SUBTOTAL(109,Table6[Jual Net])</f>
        <v>25215838</v>
      </c>
      <c r="O7" s="4">
        <f>SUBTOTAL(109,Table6[Jumlah Jual])</f>
        <v>270</v>
      </c>
      <c r="P7" s="4">
        <f>SUBTOTAL(109,Table6[Jumlah Retur])</f>
        <v>2</v>
      </c>
      <c r="Q7" s="4">
        <f>SUBTOTAL(109,Table6[Jual Net2])</f>
        <v>268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R1" sqref="R1:T1048576"/>
    </sheetView>
  </sheetViews>
  <sheetFormatPr defaultRowHeight="15" x14ac:dyDescent="0.25"/>
  <cols>
    <col min="1" max="1" width="12.7109375" customWidth="1"/>
    <col min="2" max="2" width="12.28515625" bestFit="1" customWidth="1"/>
    <col min="3" max="3" width="13.5703125" bestFit="1" customWidth="1"/>
    <col min="4" max="4" width="15" bestFit="1" customWidth="1"/>
    <col min="5" max="5" width="12.7109375" bestFit="1" customWidth="1"/>
    <col min="6" max="6" width="15.7109375" bestFit="1" customWidth="1"/>
    <col min="7" max="7" width="17.140625" bestFit="1" customWidth="1"/>
    <col min="8" max="8" width="13.7109375" bestFit="1" customWidth="1"/>
    <col min="11" max="11" width="12.28515625" bestFit="1" customWidth="1"/>
    <col min="12" max="12" width="13.5703125" bestFit="1" customWidth="1"/>
    <col min="13" max="13" width="15" bestFit="1" customWidth="1"/>
    <col min="14" max="14" width="12.7109375" bestFit="1" customWidth="1"/>
    <col min="15" max="15" width="15.7109375" bestFit="1" customWidth="1"/>
    <col min="16" max="16" width="17.140625" bestFit="1" customWidth="1"/>
    <col min="17" max="17" width="13.7109375" bestFit="1" customWidth="1"/>
  </cols>
  <sheetData>
    <row r="1" spans="1:17" ht="30" x14ac:dyDescent="0.25">
      <c r="A1" s="28" t="s">
        <v>21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16590613</v>
      </c>
      <c r="D4" s="4">
        <v>577063</v>
      </c>
      <c r="E4" s="4">
        <v>16013550</v>
      </c>
      <c r="F4" s="3">
        <v>144</v>
      </c>
      <c r="G4" s="3">
        <v>5</v>
      </c>
      <c r="H4" s="3">
        <v>139</v>
      </c>
      <c r="K4" s="2">
        <v>43101</v>
      </c>
      <c r="L4" s="4">
        <v>23343950</v>
      </c>
      <c r="M4" s="4">
        <v>328125</v>
      </c>
      <c r="N4" s="4">
        <v>23015825</v>
      </c>
      <c r="O4" s="3">
        <v>211</v>
      </c>
      <c r="P4" s="3">
        <v>4</v>
      </c>
      <c r="Q4" s="3">
        <v>207</v>
      </c>
    </row>
    <row r="5" spans="1:17" ht="15" customHeight="1" x14ac:dyDescent="0.25">
      <c r="B5" s="2">
        <v>42767</v>
      </c>
      <c r="C5" s="4">
        <v>23860200</v>
      </c>
      <c r="D5" s="4">
        <v>371925</v>
      </c>
      <c r="E5" s="4">
        <v>23488275</v>
      </c>
      <c r="F5" s="3">
        <v>197</v>
      </c>
      <c r="G5" s="3">
        <v>3</v>
      </c>
      <c r="H5" s="3">
        <v>194</v>
      </c>
      <c r="K5" s="2">
        <v>43132</v>
      </c>
      <c r="L5" s="4">
        <v>19204238</v>
      </c>
      <c r="M5" s="4">
        <v>1678838</v>
      </c>
      <c r="N5" s="4">
        <v>17525400</v>
      </c>
      <c r="O5" s="3">
        <v>167</v>
      </c>
      <c r="P5" s="3">
        <v>13</v>
      </c>
      <c r="Q5" s="3">
        <v>154</v>
      </c>
    </row>
    <row r="6" spans="1:17" ht="15" customHeight="1" x14ac:dyDescent="0.25">
      <c r="B6" s="2">
        <v>42795</v>
      </c>
      <c r="C6" s="4">
        <v>24631250</v>
      </c>
      <c r="D6" s="4">
        <v>609700</v>
      </c>
      <c r="E6" s="4">
        <v>24021550</v>
      </c>
      <c r="F6" s="3">
        <v>214</v>
      </c>
      <c r="G6" s="3">
        <v>5</v>
      </c>
      <c r="H6" s="3">
        <v>209</v>
      </c>
      <c r="K6" s="2">
        <v>43160</v>
      </c>
      <c r="L6" s="4">
        <v>13209700</v>
      </c>
      <c r="M6" s="4">
        <v>1058925</v>
      </c>
      <c r="N6" s="4">
        <v>12150775</v>
      </c>
      <c r="O6" s="3">
        <v>118</v>
      </c>
      <c r="P6" s="3">
        <v>14</v>
      </c>
      <c r="Q6" s="3">
        <v>104</v>
      </c>
    </row>
    <row r="7" spans="1:17" ht="15" customHeight="1" x14ac:dyDescent="0.25">
      <c r="B7" s="30"/>
      <c r="C7" s="4">
        <f>SUBTOTAL(109,Table7[Nilai Jual])</f>
        <v>65082063</v>
      </c>
      <c r="D7" s="4">
        <f>SUBTOTAL(109,Table7[Nilai Retur])</f>
        <v>1558688</v>
      </c>
      <c r="E7" s="4">
        <f>SUBTOTAL(109,Table7[Jual Net])</f>
        <v>63523375</v>
      </c>
      <c r="F7" s="4">
        <f>SUBTOTAL(109,Table7[Jumlah Jual])</f>
        <v>555</v>
      </c>
      <c r="G7" s="4">
        <f>SUBTOTAL(109,Table7[Jumlah Retur])</f>
        <v>13</v>
      </c>
      <c r="H7" s="4">
        <f>SUBTOTAL(109,Table7[Jual Net2])</f>
        <v>542</v>
      </c>
      <c r="K7" s="30"/>
      <c r="L7" s="4">
        <f>SUBTOTAL(109,Table8[Nilai Jual])</f>
        <v>55757888</v>
      </c>
      <c r="M7" s="4">
        <f>SUBTOTAL(109,Table8[Nilai Retur])</f>
        <v>3065888</v>
      </c>
      <c r="N7" s="4">
        <f>SUBTOTAL(109,Table8[Jual Net])</f>
        <v>52692000</v>
      </c>
      <c r="O7" s="4">
        <f>SUBTOTAL(109,Table8[Jumlah Jual])</f>
        <v>496</v>
      </c>
      <c r="P7" s="4">
        <f>SUBTOTAL(109,Table8[Jumlah Retur])</f>
        <v>31</v>
      </c>
      <c r="Q7" s="4">
        <f>SUBTOTAL(109,Table8[Jual Net2])</f>
        <v>465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L7" sqref="L7:Q7"/>
    </sheetView>
  </sheetViews>
  <sheetFormatPr defaultRowHeight="15" x14ac:dyDescent="0.25"/>
  <cols>
    <col min="1" max="1" width="17.710937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ht="30" x14ac:dyDescent="0.25">
      <c r="A1" s="28" t="s">
        <v>13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26015700</v>
      </c>
      <c r="D4" s="4">
        <v>10835988</v>
      </c>
      <c r="E4" s="4">
        <v>15179713</v>
      </c>
      <c r="F4" s="3">
        <v>247</v>
      </c>
      <c r="G4" s="3">
        <v>94</v>
      </c>
      <c r="H4" s="3">
        <v>153</v>
      </c>
      <c r="K4" s="2">
        <v>43101</v>
      </c>
      <c r="L4" s="4">
        <v>12627400</v>
      </c>
      <c r="M4" s="4">
        <v>4059800</v>
      </c>
      <c r="N4" s="4">
        <v>8567600</v>
      </c>
      <c r="O4" s="3">
        <v>101</v>
      </c>
      <c r="P4" s="3">
        <v>33</v>
      </c>
      <c r="Q4" s="3">
        <v>68</v>
      </c>
    </row>
    <row r="5" spans="1:17" ht="15" customHeight="1" x14ac:dyDescent="0.25">
      <c r="B5" s="2">
        <v>42767</v>
      </c>
      <c r="C5" s="4">
        <v>16264900</v>
      </c>
      <c r="D5" s="4">
        <v>5119900</v>
      </c>
      <c r="E5" s="4">
        <v>11145000</v>
      </c>
      <c r="F5" s="3">
        <v>130</v>
      </c>
      <c r="G5" s="3">
        <v>40</v>
      </c>
      <c r="H5" s="3">
        <v>90</v>
      </c>
      <c r="K5" s="2">
        <v>43132</v>
      </c>
      <c r="L5" s="4">
        <v>6292400</v>
      </c>
      <c r="M5" s="4">
        <v>1817600</v>
      </c>
      <c r="N5" s="4">
        <v>4474800</v>
      </c>
      <c r="O5" s="3">
        <v>53</v>
      </c>
      <c r="P5" s="3">
        <v>15</v>
      </c>
      <c r="Q5" s="3">
        <v>38</v>
      </c>
    </row>
    <row r="6" spans="1:17" ht="15" customHeight="1" x14ac:dyDescent="0.25">
      <c r="B6" s="2">
        <v>42795</v>
      </c>
      <c r="C6" s="4">
        <v>54977000</v>
      </c>
      <c r="D6" s="4">
        <v>7856800</v>
      </c>
      <c r="E6" s="4">
        <v>47120200</v>
      </c>
      <c r="F6" s="3">
        <v>464</v>
      </c>
      <c r="G6" s="3">
        <v>61</v>
      </c>
      <c r="H6" s="3">
        <v>403</v>
      </c>
      <c r="K6" s="2">
        <v>43160</v>
      </c>
      <c r="L6" s="4">
        <v>10672200</v>
      </c>
      <c r="M6" s="4">
        <v>2341688</v>
      </c>
      <c r="N6" s="4">
        <v>8330513</v>
      </c>
      <c r="O6" s="3">
        <v>89</v>
      </c>
      <c r="P6" s="3">
        <v>20</v>
      </c>
      <c r="Q6" s="3">
        <v>69</v>
      </c>
    </row>
    <row r="7" spans="1:17" ht="15" customHeight="1" x14ac:dyDescent="0.25">
      <c r="B7" s="30"/>
      <c r="C7" s="4">
        <f>SUBTOTAL(109,Table9[Nilai Jual])</f>
        <v>97257600</v>
      </c>
      <c r="D7" s="4">
        <f>SUBTOTAL(109,Table9[Nilai Retur])</f>
        <v>23812688</v>
      </c>
      <c r="E7" s="4">
        <f>SUBTOTAL(109,Table9[Jual Net])</f>
        <v>73444913</v>
      </c>
      <c r="F7" s="4">
        <f>SUBTOTAL(109,Table9[Jumlah Jual])</f>
        <v>841</v>
      </c>
      <c r="G7" s="4">
        <f>SUBTOTAL(109,Table9[Jumlah Retur])</f>
        <v>195</v>
      </c>
      <c r="H7" s="4">
        <f>SUBTOTAL(109,Table9[Jual Net2])</f>
        <v>646</v>
      </c>
      <c r="K7" s="30"/>
      <c r="L7" s="4">
        <f>SUBTOTAL(109,Table10[Nilai Jual])</f>
        <v>29592000</v>
      </c>
      <c r="M7" s="4">
        <f>SUBTOTAL(109,Table10[Nilai Retur])</f>
        <v>8219088</v>
      </c>
      <c r="N7" s="4">
        <f>SUBTOTAL(109,Table10[Jual Net])</f>
        <v>21372913</v>
      </c>
      <c r="O7" s="4">
        <f>SUBTOTAL(109,Table10[Jumlah Jual])</f>
        <v>243</v>
      </c>
      <c r="P7" s="4">
        <f>SUBTOTAL(109,Table10[Jumlah Retur])</f>
        <v>68</v>
      </c>
      <c r="Q7" s="4">
        <f>SUBTOTAL(109,Table10[Jual Net2])</f>
        <v>175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5" x14ac:dyDescent="0.25"/>
  <cols>
    <col min="1" max="1" width="18.42578125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</cols>
  <sheetData>
    <row r="1" spans="1:19" ht="30" x14ac:dyDescent="0.25">
      <c r="A1" s="28" t="s">
        <v>14</v>
      </c>
      <c r="B1" s="68">
        <v>2017</v>
      </c>
      <c r="C1" s="68"/>
      <c r="D1" s="68"/>
      <c r="E1" s="68"/>
      <c r="F1" s="68"/>
      <c r="G1" s="68"/>
      <c r="H1" s="68"/>
    </row>
    <row r="3" spans="1:19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</row>
    <row r="4" spans="1:19" ht="15" customHeight="1" x14ac:dyDescent="0.25">
      <c r="B4" s="2">
        <v>42736</v>
      </c>
      <c r="C4" s="4">
        <v>19274238</v>
      </c>
      <c r="D4" s="4">
        <v>5105800</v>
      </c>
      <c r="E4" s="4">
        <v>14168438</v>
      </c>
      <c r="F4" s="3">
        <v>194</v>
      </c>
      <c r="G4" s="3">
        <v>53</v>
      </c>
      <c r="H4" s="3">
        <v>141</v>
      </c>
      <c r="K4" s="1" t="s">
        <v>1</v>
      </c>
      <c r="L4" s="2"/>
      <c r="M4" s="3"/>
      <c r="N4" s="4"/>
      <c r="O4" s="4"/>
      <c r="P4" s="4"/>
      <c r="Q4" s="3"/>
      <c r="R4" s="3"/>
      <c r="S4" s="3"/>
    </row>
    <row r="5" spans="1:19" ht="15" customHeight="1" x14ac:dyDescent="0.25">
      <c r="B5" s="2">
        <v>42767</v>
      </c>
      <c r="C5" s="4">
        <v>27351363</v>
      </c>
      <c r="D5" s="4">
        <v>5133713</v>
      </c>
      <c r="E5" s="4">
        <v>22217650</v>
      </c>
      <c r="F5" s="3">
        <v>276</v>
      </c>
      <c r="G5" s="3">
        <v>50</v>
      </c>
      <c r="H5" s="3">
        <v>226</v>
      </c>
      <c r="K5" s="1" t="s">
        <v>1</v>
      </c>
    </row>
    <row r="6" spans="1:19" ht="15" customHeight="1" x14ac:dyDescent="0.25">
      <c r="B6" s="2">
        <v>42795</v>
      </c>
      <c r="C6" s="4">
        <v>56435925</v>
      </c>
      <c r="D6" s="4">
        <v>6790613</v>
      </c>
      <c r="E6" s="4">
        <v>49645313</v>
      </c>
      <c r="F6" s="3">
        <v>539</v>
      </c>
      <c r="G6" s="3">
        <v>67</v>
      </c>
      <c r="H6" s="3">
        <v>472</v>
      </c>
      <c r="K6" s="1" t="s">
        <v>1</v>
      </c>
    </row>
  </sheetData>
  <mergeCells count="1">
    <mergeCell ref="B1:H1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11" sqref="P11"/>
    </sheetView>
  </sheetViews>
  <sheetFormatPr defaultRowHeight="15" x14ac:dyDescent="0.25"/>
  <cols>
    <col min="1" max="1" width="14" bestFit="1" customWidth="1"/>
    <col min="2" max="2" width="9.85546875" customWidth="1"/>
    <col min="3" max="3" width="11.140625" customWidth="1"/>
    <col min="4" max="4" width="12.5703125" customWidth="1"/>
    <col min="5" max="5" width="10.28515625" customWidth="1"/>
    <col min="6" max="6" width="13.28515625" customWidth="1"/>
    <col min="7" max="7" width="14.7109375" customWidth="1"/>
    <col min="8" max="8" width="11.28515625" customWidth="1"/>
    <col min="11" max="11" width="9.85546875" customWidth="1"/>
    <col min="12" max="12" width="11.140625" customWidth="1"/>
    <col min="13" max="13" width="12.5703125" customWidth="1"/>
    <col min="14" max="14" width="10.28515625" customWidth="1"/>
    <col min="15" max="15" width="13.28515625" customWidth="1"/>
    <col min="16" max="16" width="14.7109375" customWidth="1"/>
    <col min="17" max="17" width="11.28515625" customWidth="1"/>
  </cols>
  <sheetData>
    <row r="1" spans="1:17" x14ac:dyDescent="0.25">
      <c r="A1" s="18" t="s">
        <v>15</v>
      </c>
      <c r="B1" s="68">
        <v>2017</v>
      </c>
      <c r="C1" s="68"/>
      <c r="D1" s="68"/>
      <c r="E1" s="68"/>
      <c r="F1" s="68"/>
      <c r="G1" s="68"/>
      <c r="H1" s="68"/>
      <c r="K1" s="68">
        <v>2018</v>
      </c>
      <c r="L1" s="68"/>
      <c r="M1" s="68"/>
      <c r="N1" s="68"/>
      <c r="O1" s="68"/>
      <c r="P1" s="68"/>
      <c r="Q1" s="68"/>
    </row>
    <row r="3" spans="1:17" x14ac:dyDescent="0.25"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11</v>
      </c>
      <c r="K3" s="5" t="s">
        <v>2</v>
      </c>
      <c r="L3" s="5" t="s">
        <v>4</v>
      </c>
      <c r="M3" s="5" t="s">
        <v>5</v>
      </c>
      <c r="N3" s="5" t="s">
        <v>6</v>
      </c>
      <c r="O3" s="5" t="s">
        <v>7</v>
      </c>
      <c r="P3" s="5" t="s">
        <v>8</v>
      </c>
      <c r="Q3" s="5" t="s">
        <v>11</v>
      </c>
    </row>
    <row r="4" spans="1:17" ht="15" customHeight="1" x14ac:dyDescent="0.25">
      <c r="B4" s="2">
        <v>42736</v>
      </c>
      <c r="C4" s="4">
        <v>13187475</v>
      </c>
      <c r="D4" s="4">
        <v>422800</v>
      </c>
      <c r="E4" s="4">
        <v>12764675</v>
      </c>
      <c r="F4" s="3">
        <v>115</v>
      </c>
      <c r="G4" s="3">
        <v>4</v>
      </c>
      <c r="H4" s="3">
        <v>111</v>
      </c>
      <c r="K4" s="2">
        <v>43101</v>
      </c>
      <c r="L4" s="4">
        <v>11544925</v>
      </c>
      <c r="M4" s="3">
        <v>0</v>
      </c>
      <c r="N4" s="4">
        <v>11544925</v>
      </c>
      <c r="O4" s="3">
        <v>109</v>
      </c>
      <c r="P4" s="3">
        <v>0</v>
      </c>
      <c r="Q4" s="3">
        <v>109</v>
      </c>
    </row>
    <row r="5" spans="1:17" ht="15" customHeight="1" x14ac:dyDescent="0.25">
      <c r="B5" s="2">
        <v>42767</v>
      </c>
      <c r="C5" s="4">
        <v>27518313</v>
      </c>
      <c r="D5" s="4">
        <v>497875</v>
      </c>
      <c r="E5" s="4">
        <v>27020438</v>
      </c>
      <c r="F5" s="3">
        <v>240</v>
      </c>
      <c r="G5" s="3">
        <v>5</v>
      </c>
      <c r="H5" s="3">
        <v>235</v>
      </c>
      <c r="K5" s="2">
        <v>43132</v>
      </c>
      <c r="L5" s="4">
        <v>19589850</v>
      </c>
      <c r="M5" s="4">
        <v>498663</v>
      </c>
      <c r="N5" s="4">
        <v>19091188</v>
      </c>
      <c r="O5" s="3">
        <v>179</v>
      </c>
      <c r="P5" s="3">
        <v>5</v>
      </c>
      <c r="Q5" s="3">
        <v>174</v>
      </c>
    </row>
    <row r="6" spans="1:17" ht="15" customHeight="1" x14ac:dyDescent="0.25">
      <c r="B6" s="2">
        <v>42795</v>
      </c>
      <c r="C6" s="4">
        <v>42126000</v>
      </c>
      <c r="D6" s="4">
        <v>1024013</v>
      </c>
      <c r="E6" s="4">
        <v>41101988</v>
      </c>
      <c r="F6" s="3">
        <v>371</v>
      </c>
      <c r="G6" s="3">
        <v>10</v>
      </c>
      <c r="H6" s="3">
        <v>361</v>
      </c>
      <c r="K6" s="2">
        <v>43160</v>
      </c>
      <c r="L6" s="4">
        <v>20616138</v>
      </c>
      <c r="M6" s="4">
        <v>0</v>
      </c>
      <c r="N6" s="4">
        <v>20616138</v>
      </c>
      <c r="O6" s="3">
        <v>186</v>
      </c>
      <c r="P6" s="3">
        <v>0</v>
      </c>
      <c r="Q6" s="3">
        <v>186</v>
      </c>
    </row>
    <row r="7" spans="1:17" ht="15" customHeight="1" x14ac:dyDescent="0.25">
      <c r="B7" s="30"/>
      <c r="C7" s="4">
        <f>SUBTOTAL(109,Table12[Nilai Jual])</f>
        <v>82831788</v>
      </c>
      <c r="D7" s="4">
        <f>SUBTOTAL(109,Table12[Nilai Retur])</f>
        <v>1944688</v>
      </c>
      <c r="E7" s="4">
        <f>SUBTOTAL(109,Table12[Jual Net])</f>
        <v>80887101</v>
      </c>
      <c r="F7" s="4">
        <f>SUBTOTAL(109,Table12[Jumlah Jual])</f>
        <v>726</v>
      </c>
      <c r="G7" s="4">
        <f>SUBTOTAL(109,Table12[Jumlah Retur])</f>
        <v>19</v>
      </c>
      <c r="H7" s="4">
        <f>SUBTOTAL(109,Table12[Jual Net2])</f>
        <v>707</v>
      </c>
      <c r="K7" s="30"/>
      <c r="L7" s="4">
        <f>SUBTOTAL(109,Table13[Nilai Jual])</f>
        <v>51750913</v>
      </c>
      <c r="M7" s="4">
        <f>SUBTOTAL(109,Table13[Nilai Retur])</f>
        <v>498663</v>
      </c>
      <c r="N7" s="4">
        <f>SUBTOTAL(109,Table13[Jual Net])</f>
        <v>51252251</v>
      </c>
      <c r="O7" s="4">
        <f>SUBTOTAL(109,Table13[Jumlah Jual])</f>
        <v>474</v>
      </c>
      <c r="P7" s="4">
        <f>SUBTOTAL(109,Table13[Jumlah Retur])</f>
        <v>5</v>
      </c>
      <c r="Q7" s="4">
        <f>SUBTOTAL(109,Table13[Jual Net2])</f>
        <v>469</v>
      </c>
    </row>
  </sheetData>
  <mergeCells count="2">
    <mergeCell ref="B1:H1"/>
    <mergeCell ref="K1:Q1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Atlantis</vt:lpstr>
      <vt:lpstr>Bandros</vt:lpstr>
      <vt:lpstr>Taufik</vt:lpstr>
      <vt:lpstr>Anip</vt:lpstr>
      <vt:lpstr>Puja</vt:lpstr>
      <vt:lpstr>Ade Gilang</vt:lpstr>
      <vt:lpstr>JM</vt:lpstr>
      <vt:lpstr>Kurnia Eka Jaya</vt:lpstr>
      <vt:lpstr>Wenpi</vt:lpstr>
      <vt:lpstr>Samsul Bahri</vt:lpstr>
      <vt:lpstr>Imas Jub</vt:lpstr>
      <vt:lpstr>Dedi K</vt:lpstr>
      <vt:lpstr>Muh Irfan</vt:lpstr>
      <vt:lpstr>Indra F</vt:lpstr>
      <vt:lpstr>Yuan</vt:lpstr>
      <vt:lpstr>Martin</vt:lpstr>
      <vt:lpstr>Misbah</vt:lpstr>
      <vt:lpstr>Chandra</vt:lpstr>
      <vt:lpstr>Asep Fahmi</vt:lpstr>
      <vt:lpstr>Takur</vt:lpstr>
      <vt:lpstr>Meki</vt:lpstr>
      <vt:lpstr>Dede M</vt:lpstr>
      <vt:lpstr>Mulana R</vt:lpstr>
      <vt:lpstr>Nillam</vt:lpstr>
      <vt:lpstr>Agus And</vt:lpstr>
      <vt:lpstr>Ligart</vt:lpstr>
      <vt:lpstr>Narnia</vt:lpstr>
      <vt:lpstr>Irmayanti</vt:lpstr>
      <vt:lpstr>Gunanjar</vt:lpstr>
      <vt:lpstr>Dirwan</vt:lpstr>
      <vt:lpstr>Asep Jenal</vt:lpstr>
      <vt:lpstr>LPM</vt:lpstr>
      <vt:lpstr>Bojes</vt:lpstr>
      <vt:lpstr>Mulyana</vt:lpstr>
      <vt:lpstr>Feri D</vt:lpstr>
      <vt:lpstr>Ttl 2017-2018</vt:lpstr>
      <vt:lpstr>Total</vt:lpstr>
      <vt:lpstr>April</vt:lpstr>
      <vt:lpstr>Mei</vt:lpstr>
      <vt:lpstr>Juni</vt:lpstr>
      <vt:lpstr>Juli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2018-03-15T07:31:59Z</dcterms:created>
  <dcterms:modified xsi:type="dcterms:W3CDTF">2018-07-07T08:32:30Z</dcterms:modified>
</cp:coreProperties>
</file>