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INF " sheetId="1" r:id="rId1"/>
    <sheet name="Sheet1" sheetId="3" r:id="rId2"/>
  </sheets>
  <definedNames>
    <definedName name="_xlnm._FilterDatabase" localSheetId="0" hidden="1">'Harga Jual INF '!$A$4:$AA$519</definedName>
  </definedNames>
  <calcPr calcId="124519"/>
  <fileRecoveryPr autoRecover="0"/>
</workbook>
</file>

<file path=xl/calcChain.xml><?xml version="1.0" encoding="utf-8"?>
<calcChain xmlns="http://schemas.openxmlformats.org/spreadsheetml/2006/main">
  <c r="D326" i="1"/>
  <c r="F326"/>
  <c r="M326"/>
  <c r="O326" s="1"/>
  <c r="S326" s="1"/>
  <c r="T326" s="1"/>
  <c r="K283"/>
  <c r="N200"/>
  <c r="O188"/>
  <c r="N494"/>
  <c r="M494" s="1"/>
  <c r="N344"/>
  <c r="M344" s="1"/>
  <c r="N5"/>
  <c r="M5"/>
  <c r="K5" s="1"/>
  <c r="N479"/>
  <c r="M479"/>
  <c r="O479" s="1"/>
  <c r="M200"/>
  <c r="O200" s="1"/>
  <c r="N191"/>
  <c r="M191"/>
  <c r="O191" s="1"/>
  <c r="N188"/>
  <c r="M188"/>
  <c r="N280"/>
  <c r="M280"/>
  <c r="O280" s="1"/>
  <c r="N498"/>
  <c r="M498"/>
  <c r="O498" s="1"/>
  <c r="N304"/>
  <c r="M304" s="1"/>
  <c r="N213"/>
  <c r="M213" s="1"/>
  <c r="N86"/>
  <c r="M86"/>
  <c r="K86" s="1"/>
  <c r="N88"/>
  <c r="M88"/>
  <c r="O88" s="1"/>
  <c r="N84"/>
  <c r="M84"/>
  <c r="O84" s="1"/>
  <c r="N285"/>
  <c r="M285"/>
  <c r="O285" s="1"/>
  <c r="N406"/>
  <c r="M406"/>
  <c r="O406" s="1"/>
  <c r="N248"/>
  <c r="M248"/>
  <c r="O248" s="1"/>
  <c r="N236"/>
  <c r="M236"/>
  <c r="O236" s="1"/>
  <c r="N342"/>
  <c r="M342" s="1"/>
  <c r="N131"/>
  <c r="N456"/>
  <c r="M456" s="1"/>
  <c r="N283"/>
  <c r="M283"/>
  <c r="O283" s="1"/>
  <c r="N80"/>
  <c r="M80"/>
  <c r="K80" s="1"/>
  <c r="N96"/>
  <c r="M96"/>
  <c r="K96" s="1"/>
  <c r="N471"/>
  <c r="M471"/>
  <c r="K471" s="1"/>
  <c r="N439"/>
  <c r="M439"/>
  <c r="K439" s="1"/>
  <c r="N410"/>
  <c r="M410"/>
  <c r="O410" s="1"/>
  <c r="N399"/>
  <c r="M399"/>
  <c r="K399" s="1"/>
  <c r="N180"/>
  <c r="M180"/>
  <c r="O180" s="1"/>
  <c r="N257"/>
  <c r="M257"/>
  <c r="K257" s="1"/>
  <c r="N221"/>
  <c r="M221"/>
  <c r="O221" s="1"/>
  <c r="N274"/>
  <c r="M274" s="1"/>
  <c r="N325"/>
  <c r="M325" s="1"/>
  <c r="N449"/>
  <c r="N223"/>
  <c r="M223"/>
  <c r="O223" s="1"/>
  <c r="N463"/>
  <c r="M463" s="1"/>
  <c r="M358"/>
  <c r="N206"/>
  <c r="J206"/>
  <c r="K206" s="1"/>
  <c r="O206"/>
  <c r="K326" l="1"/>
  <c r="Z326"/>
  <c r="AA326" s="1"/>
  <c r="U326"/>
  <c r="X326"/>
  <c r="O494"/>
  <c r="K494"/>
  <c r="O344"/>
  <c r="K344"/>
  <c r="O5"/>
  <c r="K479"/>
  <c r="K200"/>
  <c r="K191"/>
  <c r="K188"/>
  <c r="K280"/>
  <c r="K498"/>
  <c r="K304"/>
  <c r="O304"/>
  <c r="O213"/>
  <c r="K213"/>
  <c r="O86"/>
  <c r="O96"/>
  <c r="K88"/>
  <c r="K84"/>
  <c r="K285"/>
  <c r="K406"/>
  <c r="K248"/>
  <c r="K236"/>
  <c r="O342"/>
  <c r="K342"/>
  <c r="M131"/>
  <c r="K131" s="1"/>
  <c r="O456"/>
  <c r="K456"/>
  <c r="O257"/>
  <c r="O399"/>
  <c r="O439"/>
  <c r="O80"/>
  <c r="O471"/>
  <c r="K410"/>
  <c r="K180"/>
  <c r="K221"/>
  <c r="O274"/>
  <c r="K274"/>
  <c r="O325"/>
  <c r="K325"/>
  <c r="M449"/>
  <c r="K449" s="1"/>
  <c r="K223"/>
  <c r="K463"/>
  <c r="O463"/>
  <c r="V326" l="1"/>
  <c r="W326"/>
  <c r="O131"/>
  <c r="O449"/>
  <c r="AH272" l="1"/>
  <c r="F433" l="1"/>
  <c r="N387"/>
  <c r="N395"/>
  <c r="N390"/>
  <c r="N392"/>
  <c r="M392"/>
  <c r="J392" s="1"/>
  <c r="K392" s="1"/>
  <c r="N403"/>
  <c r="M403"/>
  <c r="J403" s="1"/>
  <c r="K403" s="1"/>
  <c r="N402"/>
  <c r="N398"/>
  <c r="N417"/>
  <c r="N415"/>
  <c r="N438"/>
  <c r="N389"/>
  <c r="N423"/>
  <c r="N434"/>
  <c r="N436"/>
  <c r="N394"/>
  <c r="N405"/>
  <c r="N408"/>
  <c r="N396"/>
  <c r="N400"/>
  <c r="N412"/>
  <c r="N393"/>
  <c r="N397"/>
  <c r="J397"/>
  <c r="K397" s="1"/>
  <c r="N381"/>
  <c r="N404"/>
  <c r="O438"/>
  <c r="J438"/>
  <c r="K438" s="1"/>
  <c r="O436"/>
  <c r="J436"/>
  <c r="K436" s="1"/>
  <c r="O434"/>
  <c r="J434"/>
  <c r="K434" s="1"/>
  <c r="O433"/>
  <c r="J433"/>
  <c r="K433" s="1"/>
  <c r="O425"/>
  <c r="J425"/>
  <c r="K425" s="1"/>
  <c r="O424"/>
  <c r="J424"/>
  <c r="K424" s="1"/>
  <c r="O423"/>
  <c r="J423"/>
  <c r="K423" s="1"/>
  <c r="O421"/>
  <c r="J421"/>
  <c r="K421" s="1"/>
  <c r="O417"/>
  <c r="J417"/>
  <c r="K417" s="1"/>
  <c r="O415"/>
  <c r="J415"/>
  <c r="K415" s="1"/>
  <c r="O412"/>
  <c r="J412"/>
  <c r="K412" s="1"/>
  <c r="O408"/>
  <c r="J408"/>
  <c r="K408" s="1"/>
  <c r="O405"/>
  <c r="J405"/>
  <c r="K405" s="1"/>
  <c r="O404"/>
  <c r="J404"/>
  <c r="K404" s="1"/>
  <c r="O402"/>
  <c r="J402"/>
  <c r="K402" s="1"/>
  <c r="O400"/>
  <c r="J400"/>
  <c r="K400" s="1"/>
  <c r="O398"/>
  <c r="J398"/>
  <c r="K398" s="1"/>
  <c r="O397"/>
  <c r="O396"/>
  <c r="J396"/>
  <c r="K396" s="1"/>
  <c r="O395"/>
  <c r="J395"/>
  <c r="K395" s="1"/>
  <c r="O394"/>
  <c r="J394"/>
  <c r="K394" s="1"/>
  <c r="O393"/>
  <c r="J393"/>
  <c r="K393" s="1"/>
  <c r="O392"/>
  <c r="O390"/>
  <c r="J390"/>
  <c r="K390" s="1"/>
  <c r="O389"/>
  <c r="J389"/>
  <c r="K389" s="1"/>
  <c r="O387"/>
  <c r="J387"/>
  <c r="K387" s="1"/>
  <c r="O381"/>
  <c r="J381"/>
  <c r="K381" s="1"/>
  <c r="N429"/>
  <c r="O429"/>
  <c r="N448"/>
  <c r="N445"/>
  <c r="N310"/>
  <c r="M310" s="1"/>
  <c r="M110"/>
  <c r="O110" s="1"/>
  <c r="N110"/>
  <c r="O403" l="1"/>
  <c r="J429"/>
  <c r="K429" s="1"/>
  <c r="K110"/>
  <c r="O310"/>
  <c r="K310"/>
  <c r="N75" l="1"/>
  <c r="D132"/>
  <c r="N357" l="1"/>
  <c r="N488"/>
  <c r="N487"/>
  <c r="N169" l="1"/>
  <c r="N328"/>
  <c r="N37"/>
  <c r="M37"/>
  <c r="J37" s="1"/>
  <c r="K37" s="1"/>
  <c r="N14"/>
  <c r="N68"/>
  <c r="O68"/>
  <c r="S68" s="1"/>
  <c r="T68" s="1"/>
  <c r="J68"/>
  <c r="K68" s="1"/>
  <c r="O14"/>
  <c r="S14" s="1"/>
  <c r="T14" s="1"/>
  <c r="J14"/>
  <c r="K14" s="1"/>
  <c r="N411"/>
  <c r="N470"/>
  <c r="J470"/>
  <c r="K470" s="1"/>
  <c r="J411"/>
  <c r="K411" s="1"/>
  <c r="N209"/>
  <c r="O209" s="1"/>
  <c r="S209" s="1"/>
  <c r="T209" s="1"/>
  <c r="J209"/>
  <c r="K209" s="1"/>
  <c r="N364"/>
  <c r="N91"/>
  <c r="J364"/>
  <c r="N365"/>
  <c r="N363"/>
  <c r="N360"/>
  <c r="N361"/>
  <c r="N362"/>
  <c r="J361"/>
  <c r="K361" s="1"/>
  <c r="O365"/>
  <c r="S365" s="1"/>
  <c r="T365" s="1"/>
  <c r="J365"/>
  <c r="K365" s="1"/>
  <c r="O363"/>
  <c r="S363" s="1"/>
  <c r="T363" s="1"/>
  <c r="J363"/>
  <c r="K363" s="1"/>
  <c r="O362"/>
  <c r="S362" s="1"/>
  <c r="T362" s="1"/>
  <c r="J362"/>
  <c r="K362" s="1"/>
  <c r="O361"/>
  <c r="S361" s="1"/>
  <c r="T361" s="1"/>
  <c r="O360"/>
  <c r="S360" s="1"/>
  <c r="T360" s="1"/>
  <c r="J360"/>
  <c r="K360" s="1"/>
  <c r="N451"/>
  <c r="N256"/>
  <c r="J256"/>
  <c r="J162"/>
  <c r="N162"/>
  <c r="N158"/>
  <c r="J158"/>
  <c r="N186"/>
  <c r="N165"/>
  <c r="J165"/>
  <c r="N170"/>
  <c r="J170"/>
  <c r="J182"/>
  <c r="N182"/>
  <c r="N175"/>
  <c r="J175"/>
  <c r="N461"/>
  <c r="O112"/>
  <c r="S112" s="1"/>
  <c r="T112" s="1"/>
  <c r="O322"/>
  <c r="S322" s="1"/>
  <c r="T322" s="1"/>
  <c r="O350"/>
  <c r="S350" s="1"/>
  <c r="T350" s="1"/>
  <c r="O428"/>
  <c r="S428" s="1"/>
  <c r="T428" s="1"/>
  <c r="S429"/>
  <c r="T429" s="1"/>
  <c r="M510"/>
  <c r="O510" s="1"/>
  <c r="S510" s="1"/>
  <c r="T510" s="1"/>
  <c r="M507"/>
  <c r="O507" s="1"/>
  <c r="S507" s="1"/>
  <c r="T507" s="1"/>
  <c r="M505"/>
  <c r="O505" s="1"/>
  <c r="S505" s="1"/>
  <c r="T505" s="1"/>
  <c r="M504"/>
  <c r="O504" s="1"/>
  <c r="S504" s="1"/>
  <c r="T504" s="1"/>
  <c r="M503"/>
  <c r="K503" s="1"/>
  <c r="M499"/>
  <c r="K499" s="1"/>
  <c r="S498"/>
  <c r="T498" s="1"/>
  <c r="M497"/>
  <c r="O497" s="1"/>
  <c r="S497" s="1"/>
  <c r="T497" s="1"/>
  <c r="S494"/>
  <c r="T494" s="1"/>
  <c r="M493"/>
  <c r="O493" s="1"/>
  <c r="S493" s="1"/>
  <c r="T493" s="1"/>
  <c r="M492"/>
  <c r="O492" s="1"/>
  <c r="S492" s="1"/>
  <c r="T492" s="1"/>
  <c r="M491"/>
  <c r="K491" s="1"/>
  <c r="M488"/>
  <c r="O488" s="1"/>
  <c r="S488" s="1"/>
  <c r="T488" s="1"/>
  <c r="M487"/>
  <c r="K487" s="1"/>
  <c r="M485"/>
  <c r="O485" s="1"/>
  <c r="S485" s="1"/>
  <c r="T485" s="1"/>
  <c r="M484"/>
  <c r="O484" s="1"/>
  <c r="S484" s="1"/>
  <c r="T484" s="1"/>
  <c r="M482"/>
  <c r="K482" s="1"/>
  <c r="M480"/>
  <c r="O480" s="1"/>
  <c r="S480" s="1"/>
  <c r="T480" s="1"/>
  <c r="S479"/>
  <c r="T479" s="1"/>
  <c r="O470"/>
  <c r="S470" s="1"/>
  <c r="T470" s="1"/>
  <c r="M461"/>
  <c r="K461" s="1"/>
  <c r="M459"/>
  <c r="O459" s="1"/>
  <c r="S459" s="1"/>
  <c r="T459" s="1"/>
  <c r="M451"/>
  <c r="O451" s="1"/>
  <c r="S451" s="1"/>
  <c r="T451" s="1"/>
  <c r="M448"/>
  <c r="O448" s="1"/>
  <c r="S448" s="1"/>
  <c r="T448" s="1"/>
  <c r="M445"/>
  <c r="K445" s="1"/>
  <c r="M441"/>
  <c r="K441" s="1"/>
  <c r="M440"/>
  <c r="O440" s="1"/>
  <c r="S440" s="1"/>
  <c r="T440" s="1"/>
  <c r="S438"/>
  <c r="T438" s="1"/>
  <c r="M437"/>
  <c r="K437" s="1"/>
  <c r="S436"/>
  <c r="T436" s="1"/>
  <c r="M435"/>
  <c r="O435" s="1"/>
  <c r="S435" s="1"/>
  <c r="T435" s="1"/>
  <c r="S434"/>
  <c r="T434" s="1"/>
  <c r="M432"/>
  <c r="O432" s="1"/>
  <c r="S432" s="1"/>
  <c r="T432" s="1"/>
  <c r="S425"/>
  <c r="T425" s="1"/>
  <c r="S424"/>
  <c r="T424" s="1"/>
  <c r="S423"/>
  <c r="T423" s="1"/>
  <c r="S421"/>
  <c r="T421" s="1"/>
  <c r="M420"/>
  <c r="O420" s="1"/>
  <c r="S420" s="1"/>
  <c r="T420" s="1"/>
  <c r="S417"/>
  <c r="T417" s="1"/>
  <c r="S415"/>
  <c r="T415" s="1"/>
  <c r="M413"/>
  <c r="O413" s="1"/>
  <c r="S413" s="1"/>
  <c r="T413" s="1"/>
  <c r="S412"/>
  <c r="T412" s="1"/>
  <c r="S408"/>
  <c r="T408" s="1"/>
  <c r="S405"/>
  <c r="T405" s="1"/>
  <c r="S404"/>
  <c r="T404" s="1"/>
  <c r="S403"/>
  <c r="T403" s="1"/>
  <c r="S400"/>
  <c r="T400" s="1"/>
  <c r="S397"/>
  <c r="T397" s="1"/>
  <c r="S396"/>
  <c r="T396" s="1"/>
  <c r="S395"/>
  <c r="T395" s="1"/>
  <c r="S393"/>
  <c r="T393" s="1"/>
  <c r="S392"/>
  <c r="T392" s="1"/>
  <c r="S390"/>
  <c r="T390" s="1"/>
  <c r="S389"/>
  <c r="T389" s="1"/>
  <c r="S387"/>
  <c r="T387" s="1"/>
  <c r="M385"/>
  <c r="O385" s="1"/>
  <c r="S385" s="1"/>
  <c r="T385" s="1"/>
  <c r="M383"/>
  <c r="O383" s="1"/>
  <c r="S383" s="1"/>
  <c r="T383" s="1"/>
  <c r="S381"/>
  <c r="T381" s="1"/>
  <c r="M380"/>
  <c r="O380" s="1"/>
  <c r="S380" s="1"/>
  <c r="T380" s="1"/>
  <c r="M379"/>
  <c r="O379" s="1"/>
  <c r="S379" s="1"/>
  <c r="T379" s="1"/>
  <c r="M378"/>
  <c r="O378" s="1"/>
  <c r="S378" s="1"/>
  <c r="T378" s="1"/>
  <c r="M376"/>
  <c r="O376" s="1"/>
  <c r="S376" s="1"/>
  <c r="T376" s="1"/>
  <c r="M373"/>
  <c r="O373" s="1"/>
  <c r="S373" s="1"/>
  <c r="T373" s="1"/>
  <c r="M370"/>
  <c r="O370" s="1"/>
  <c r="S370" s="1"/>
  <c r="T370" s="1"/>
  <c r="M368"/>
  <c r="O368" s="1"/>
  <c r="S368" s="1"/>
  <c r="T368" s="1"/>
  <c r="M367"/>
  <c r="K367" s="1"/>
  <c r="M366"/>
  <c r="O366" s="1"/>
  <c r="S366" s="1"/>
  <c r="T366" s="1"/>
  <c r="O364"/>
  <c r="S364" s="1"/>
  <c r="T364" s="1"/>
  <c r="O358"/>
  <c r="M357"/>
  <c r="O357" s="1"/>
  <c r="S357" s="1"/>
  <c r="T357" s="1"/>
  <c r="M356"/>
  <c r="O356" s="1"/>
  <c r="S356" s="1"/>
  <c r="T356" s="1"/>
  <c r="M354"/>
  <c r="O354" s="1"/>
  <c r="S354" s="1"/>
  <c r="T354" s="1"/>
  <c r="M347"/>
  <c r="O347" s="1"/>
  <c r="S347" s="1"/>
  <c r="T347" s="1"/>
  <c r="M346"/>
  <c r="O346" s="1"/>
  <c r="S346" s="1"/>
  <c r="T346" s="1"/>
  <c r="M345"/>
  <c r="O345" s="1"/>
  <c r="S345" s="1"/>
  <c r="T345" s="1"/>
  <c r="S344"/>
  <c r="T344" s="1"/>
  <c r="M343"/>
  <c r="O343" s="1"/>
  <c r="S343" s="1"/>
  <c r="T343" s="1"/>
  <c r="M337"/>
  <c r="O337" s="1"/>
  <c r="S337" s="1"/>
  <c r="T337" s="1"/>
  <c r="M335"/>
  <c r="O335" s="1"/>
  <c r="S335" s="1"/>
  <c r="T335" s="1"/>
  <c r="M332"/>
  <c r="O332" s="1"/>
  <c r="S332" s="1"/>
  <c r="T332" s="1"/>
  <c r="M328"/>
  <c r="O328" s="1"/>
  <c r="S328" s="1"/>
  <c r="T328" s="1"/>
  <c r="M324"/>
  <c r="O324" s="1"/>
  <c r="S324" s="1"/>
  <c r="T324" s="1"/>
  <c r="M317"/>
  <c r="O317" s="1"/>
  <c r="S317" s="1"/>
  <c r="T317" s="1"/>
  <c r="M316"/>
  <c r="K316" s="1"/>
  <c r="M315"/>
  <c r="O315" s="1"/>
  <c r="S315" s="1"/>
  <c r="T315" s="1"/>
  <c r="M308"/>
  <c r="O308" s="1"/>
  <c r="S308" s="1"/>
  <c r="T308" s="1"/>
  <c r="M307"/>
  <c r="O307" s="1"/>
  <c r="S307" s="1"/>
  <c r="T307" s="1"/>
  <c r="M306"/>
  <c r="O306" s="1"/>
  <c r="S306" s="1"/>
  <c r="T306" s="1"/>
  <c r="M305"/>
  <c r="O305" s="1"/>
  <c r="S305" s="1"/>
  <c r="T305" s="1"/>
  <c r="S304"/>
  <c r="T304" s="1"/>
  <c r="M302"/>
  <c r="O302" s="1"/>
  <c r="S302" s="1"/>
  <c r="T302" s="1"/>
  <c r="M301"/>
  <c r="K301" s="1"/>
  <c r="M300"/>
  <c r="O300" s="1"/>
  <c r="S300" s="1"/>
  <c r="T300" s="1"/>
  <c r="M299"/>
  <c r="O299" s="1"/>
  <c r="S299" s="1"/>
  <c r="T299" s="1"/>
  <c r="M297"/>
  <c r="K297" s="1"/>
  <c r="M296"/>
  <c r="O296" s="1"/>
  <c r="S296" s="1"/>
  <c r="T296" s="1"/>
  <c r="M291"/>
  <c r="O291" s="1"/>
  <c r="S291" s="1"/>
  <c r="T291" s="1"/>
  <c r="M289"/>
  <c r="K289" s="1"/>
  <c r="M287"/>
  <c r="O287" s="1"/>
  <c r="S287" s="1"/>
  <c r="T287" s="1"/>
  <c r="M286"/>
  <c r="O286" s="1"/>
  <c r="S286" s="1"/>
  <c r="T286" s="1"/>
  <c r="M240"/>
  <c r="O240" s="1"/>
  <c r="S240" s="1"/>
  <c r="T240" s="1"/>
  <c r="M246"/>
  <c r="O246" s="1"/>
  <c r="S246" s="1"/>
  <c r="T246" s="1"/>
  <c r="S248"/>
  <c r="T248" s="1"/>
  <c r="M251"/>
  <c r="O251" s="1"/>
  <c r="S251" s="1"/>
  <c r="T251" s="1"/>
  <c r="M256"/>
  <c r="O256" s="1"/>
  <c r="S256" s="1"/>
  <c r="T256" s="1"/>
  <c r="M263"/>
  <c r="O263" s="1"/>
  <c r="S263" s="1"/>
  <c r="T263" s="1"/>
  <c r="M265"/>
  <c r="O265" s="1"/>
  <c r="S265" s="1"/>
  <c r="T265" s="1"/>
  <c r="M273"/>
  <c r="O273" s="1"/>
  <c r="S273" s="1"/>
  <c r="T273" s="1"/>
  <c r="M275"/>
  <c r="O275" s="1"/>
  <c r="S275" s="1"/>
  <c r="T275" s="1"/>
  <c r="M276"/>
  <c r="O276" s="1"/>
  <c r="S276" s="1"/>
  <c r="T276" s="1"/>
  <c r="M277"/>
  <c r="O277" s="1"/>
  <c r="S277" s="1"/>
  <c r="T277" s="1"/>
  <c r="M278"/>
  <c r="O278" s="1"/>
  <c r="S278" s="1"/>
  <c r="T278" s="1"/>
  <c r="M279"/>
  <c r="O279" s="1"/>
  <c r="S279" s="1"/>
  <c r="T279" s="1"/>
  <c r="S280"/>
  <c r="T280" s="1"/>
  <c r="M281"/>
  <c r="O281" s="1"/>
  <c r="S281" s="1"/>
  <c r="T281" s="1"/>
  <c r="M237"/>
  <c r="K237" s="1"/>
  <c r="M228"/>
  <c r="O228" s="1"/>
  <c r="S228" s="1"/>
  <c r="T228" s="1"/>
  <c r="M227"/>
  <c r="O227" s="1"/>
  <c r="S227" s="1"/>
  <c r="T227" s="1"/>
  <c r="M220"/>
  <c r="O220" s="1"/>
  <c r="S220" s="1"/>
  <c r="T220" s="1"/>
  <c r="M215"/>
  <c r="O215" s="1"/>
  <c r="S215" s="1"/>
  <c r="T215" s="1"/>
  <c r="S213"/>
  <c r="T213" s="1"/>
  <c r="M208"/>
  <c r="O208" s="1"/>
  <c r="S208" s="1"/>
  <c r="T208" s="1"/>
  <c r="M207"/>
  <c r="O207" s="1"/>
  <c r="S207" s="1"/>
  <c r="T207" s="1"/>
  <c r="M205"/>
  <c r="M202"/>
  <c r="K202" s="1"/>
  <c r="S200"/>
  <c r="T200" s="1"/>
  <c r="M198"/>
  <c r="O198" s="1"/>
  <c r="S198" s="1"/>
  <c r="T198" s="1"/>
  <c r="S191"/>
  <c r="T191" s="1"/>
  <c r="M169"/>
  <c r="O169" s="1"/>
  <c r="S169" s="1"/>
  <c r="T169" s="1"/>
  <c r="M170"/>
  <c r="K170" s="1"/>
  <c r="M171"/>
  <c r="O171" s="1"/>
  <c r="S171" s="1"/>
  <c r="T171" s="1"/>
  <c r="M173"/>
  <c r="O173" s="1"/>
  <c r="S173" s="1"/>
  <c r="T173" s="1"/>
  <c r="M174"/>
  <c r="K174" s="1"/>
  <c r="M175"/>
  <c r="K175" s="1"/>
  <c r="M176"/>
  <c r="O176" s="1"/>
  <c r="S176" s="1"/>
  <c r="T176" s="1"/>
  <c r="M177"/>
  <c r="O177" s="1"/>
  <c r="S177" s="1"/>
  <c r="T177" s="1"/>
  <c r="M182"/>
  <c r="O182" s="1"/>
  <c r="S182" s="1"/>
  <c r="T182" s="1"/>
  <c r="M186"/>
  <c r="O186" s="1"/>
  <c r="S186" s="1"/>
  <c r="T186" s="1"/>
  <c r="M165"/>
  <c r="O165" s="1"/>
  <c r="S165" s="1"/>
  <c r="T165" s="1"/>
  <c r="M166"/>
  <c r="K166" s="1"/>
  <c r="M151"/>
  <c r="O151" s="1"/>
  <c r="S151" s="1"/>
  <c r="T151" s="1"/>
  <c r="M153"/>
  <c r="O153" s="1"/>
  <c r="S153" s="1"/>
  <c r="T153" s="1"/>
  <c r="M154"/>
  <c r="O154" s="1"/>
  <c r="S154" s="1"/>
  <c r="T154" s="1"/>
  <c r="M155"/>
  <c r="O155" s="1"/>
  <c r="S155" s="1"/>
  <c r="T155" s="1"/>
  <c r="M158"/>
  <c r="O158" s="1"/>
  <c r="S158" s="1"/>
  <c r="T158" s="1"/>
  <c r="M159"/>
  <c r="O159" s="1"/>
  <c r="S159" s="1"/>
  <c r="T159" s="1"/>
  <c r="M161"/>
  <c r="K161" s="1"/>
  <c r="M162"/>
  <c r="O162" s="1"/>
  <c r="S162" s="1"/>
  <c r="T162" s="1"/>
  <c r="M149"/>
  <c r="O149" s="1"/>
  <c r="S149" s="1"/>
  <c r="T149" s="1"/>
  <c r="M148"/>
  <c r="K148" s="1"/>
  <c r="M146"/>
  <c r="O146" s="1"/>
  <c r="S146" s="1"/>
  <c r="T146" s="1"/>
  <c r="M145"/>
  <c r="O145" s="1"/>
  <c r="S145" s="1"/>
  <c r="T145" s="1"/>
  <c r="M144"/>
  <c r="O144" s="1"/>
  <c r="S144" s="1"/>
  <c r="T144" s="1"/>
  <c r="M138"/>
  <c r="O138" s="1"/>
  <c r="S138" s="1"/>
  <c r="T138" s="1"/>
  <c r="M136"/>
  <c r="O136" s="1"/>
  <c r="S136" s="1"/>
  <c r="T136" s="1"/>
  <c r="M129"/>
  <c r="O129" s="1"/>
  <c r="S129" s="1"/>
  <c r="T129" s="1"/>
  <c r="M126"/>
  <c r="O126" s="1"/>
  <c r="S126" s="1"/>
  <c r="T126" s="1"/>
  <c r="M121"/>
  <c r="O121" s="1"/>
  <c r="S121" s="1"/>
  <c r="T121" s="1"/>
  <c r="M120"/>
  <c r="O120" s="1"/>
  <c r="S120" s="1"/>
  <c r="T120" s="1"/>
  <c r="M119"/>
  <c r="O119" s="1"/>
  <c r="S119" s="1"/>
  <c r="T119" s="1"/>
  <c r="M116"/>
  <c r="O116" s="1"/>
  <c r="S116" s="1"/>
  <c r="T116" s="1"/>
  <c r="S110"/>
  <c r="T110" s="1"/>
  <c r="M108"/>
  <c r="O108" s="1"/>
  <c r="S108" s="1"/>
  <c r="T108" s="1"/>
  <c r="M102"/>
  <c r="O102" s="1"/>
  <c r="S102" s="1"/>
  <c r="T102" s="1"/>
  <c r="M100"/>
  <c r="O100" s="1"/>
  <c r="S100" s="1"/>
  <c r="T100" s="1"/>
  <c r="M99"/>
  <c r="K99" s="1"/>
  <c r="M98"/>
  <c r="K98" s="1"/>
  <c r="M97"/>
  <c r="O97" s="1"/>
  <c r="S97" s="1"/>
  <c r="T97" s="1"/>
  <c r="M95"/>
  <c r="K95" s="1"/>
  <c r="M91"/>
  <c r="O91" s="1"/>
  <c r="S91" s="1"/>
  <c r="T91" s="1"/>
  <c r="S88"/>
  <c r="T88" s="1"/>
  <c r="S86"/>
  <c r="T86" s="1"/>
  <c r="S84"/>
  <c r="T84" s="1"/>
  <c r="M83"/>
  <c r="K83" s="1"/>
  <c r="M82"/>
  <c r="K82" s="1"/>
  <c r="M81"/>
  <c r="O81" s="1"/>
  <c r="S81" s="1"/>
  <c r="T81" s="1"/>
  <c r="M79"/>
  <c r="O79" s="1"/>
  <c r="S79" s="1"/>
  <c r="T79" s="1"/>
  <c r="M76"/>
  <c r="O76" s="1"/>
  <c r="S76" s="1"/>
  <c r="T76" s="1"/>
  <c r="M75"/>
  <c r="K75" s="1"/>
  <c r="M74"/>
  <c r="K74" s="1"/>
  <c r="M73"/>
  <c r="O73" s="1"/>
  <c r="S73" s="1"/>
  <c r="T73" s="1"/>
  <c r="M72"/>
  <c r="O72" s="1"/>
  <c r="S72" s="1"/>
  <c r="T72" s="1"/>
  <c r="M71"/>
  <c r="O71" s="1"/>
  <c r="S71" s="1"/>
  <c r="T71" s="1"/>
  <c r="M70"/>
  <c r="K70" s="1"/>
  <c r="M69"/>
  <c r="O69" s="1"/>
  <c r="S69" s="1"/>
  <c r="T69" s="1"/>
  <c r="M67"/>
  <c r="O67" s="1"/>
  <c r="S67" s="1"/>
  <c r="T67" s="1"/>
  <c r="M66"/>
  <c r="K66" s="1"/>
  <c r="M65"/>
  <c r="O65" s="1"/>
  <c r="S65" s="1"/>
  <c r="T65" s="1"/>
  <c r="M64"/>
  <c r="O64" s="1"/>
  <c r="S64" s="1"/>
  <c r="T64" s="1"/>
  <c r="M63"/>
  <c r="O63" s="1"/>
  <c r="S63" s="1"/>
  <c r="T63" s="1"/>
  <c r="M62"/>
  <c r="K62" s="1"/>
  <c r="M61"/>
  <c r="O61" s="1"/>
  <c r="S61" s="1"/>
  <c r="T61" s="1"/>
  <c r="M59"/>
  <c r="O59" s="1"/>
  <c r="S59" s="1"/>
  <c r="T59" s="1"/>
  <c r="M46"/>
  <c r="O46" s="1"/>
  <c r="S46" s="1"/>
  <c r="T46" s="1"/>
  <c r="M45"/>
  <c r="O45" s="1"/>
  <c r="S45" s="1"/>
  <c r="T45" s="1"/>
  <c r="M44"/>
  <c r="O44" s="1"/>
  <c r="S44" s="1"/>
  <c r="T44" s="1"/>
  <c r="M43"/>
  <c r="O43" s="1"/>
  <c r="S43" s="1"/>
  <c r="T43" s="1"/>
  <c r="M42"/>
  <c r="O42" s="1"/>
  <c r="S42" s="1"/>
  <c r="T42" s="1"/>
  <c r="M41"/>
  <c r="O41" s="1"/>
  <c r="S41" s="1"/>
  <c r="T41" s="1"/>
  <c r="M40"/>
  <c r="O40" s="1"/>
  <c r="S40" s="1"/>
  <c r="T40" s="1"/>
  <c r="M39"/>
  <c r="O39" s="1"/>
  <c r="S39" s="1"/>
  <c r="T39" s="1"/>
  <c r="M38"/>
  <c r="O38" s="1"/>
  <c r="S38" s="1"/>
  <c r="T38" s="1"/>
  <c r="M34"/>
  <c r="O34" s="1"/>
  <c r="S34" s="1"/>
  <c r="T34" s="1"/>
  <c r="M33"/>
  <c r="O33" s="1"/>
  <c r="S33" s="1"/>
  <c r="T33" s="1"/>
  <c r="M32"/>
  <c r="O32" s="1"/>
  <c r="S32" s="1"/>
  <c r="T32" s="1"/>
  <c r="M31"/>
  <c r="O31" s="1"/>
  <c r="S31" s="1"/>
  <c r="T31" s="1"/>
  <c r="M29"/>
  <c r="O29" s="1"/>
  <c r="S29" s="1"/>
  <c r="T29" s="1"/>
  <c r="M15"/>
  <c r="O15" s="1"/>
  <c r="S15" s="1"/>
  <c r="T15" s="1"/>
  <c r="M16"/>
  <c r="K16" s="1"/>
  <c r="M17"/>
  <c r="O17" s="1"/>
  <c r="S17" s="1"/>
  <c r="T17" s="1"/>
  <c r="M18"/>
  <c r="O18" s="1"/>
  <c r="S18" s="1"/>
  <c r="T18" s="1"/>
  <c r="M19"/>
  <c r="O19" s="1"/>
  <c r="S19" s="1"/>
  <c r="T19" s="1"/>
  <c r="M20"/>
  <c r="K20" s="1"/>
  <c r="M21"/>
  <c r="O21" s="1"/>
  <c r="S21" s="1"/>
  <c r="T21" s="1"/>
  <c r="M22"/>
  <c r="O22" s="1"/>
  <c r="S22" s="1"/>
  <c r="T22" s="1"/>
  <c r="M23"/>
  <c r="O23" s="1"/>
  <c r="S23" s="1"/>
  <c r="T23" s="1"/>
  <c r="M24"/>
  <c r="K24" s="1"/>
  <c r="M25"/>
  <c r="O25" s="1"/>
  <c r="S25" s="1"/>
  <c r="T25" s="1"/>
  <c r="M26"/>
  <c r="O26" s="1"/>
  <c r="S26" s="1"/>
  <c r="T26" s="1"/>
  <c r="M27"/>
  <c r="O27" s="1"/>
  <c r="S27" s="1"/>
  <c r="T27" s="1"/>
  <c r="M77"/>
  <c r="K77" s="1"/>
  <c r="M318"/>
  <c r="O318" s="1"/>
  <c r="S318" s="1"/>
  <c r="T318" s="1"/>
  <c r="M339"/>
  <c r="O339" s="1"/>
  <c r="S339" s="1"/>
  <c r="T339" s="1"/>
  <c r="M351"/>
  <c r="O351" s="1"/>
  <c r="S351" s="1"/>
  <c r="T351" s="1"/>
  <c r="S5"/>
  <c r="T5" s="1"/>
  <c r="U5" s="1"/>
  <c r="M6"/>
  <c r="K6" s="1"/>
  <c r="M7"/>
  <c r="K7" s="1"/>
  <c r="M8"/>
  <c r="O8" s="1"/>
  <c r="S8" s="1"/>
  <c r="T8" s="1"/>
  <c r="M9"/>
  <c r="O9" s="1"/>
  <c r="S9" s="1"/>
  <c r="T9" s="1"/>
  <c r="M10"/>
  <c r="K10" s="1"/>
  <c r="M11"/>
  <c r="M12"/>
  <c r="O12" s="1"/>
  <c r="S12" s="1"/>
  <c r="T12" s="1"/>
  <c r="K112"/>
  <c r="K317"/>
  <c r="K322"/>
  <c r="K341"/>
  <c r="K350"/>
  <c r="K364"/>
  <c r="K485"/>
  <c r="D484"/>
  <c r="F484"/>
  <c r="D370"/>
  <c r="F370"/>
  <c r="D248"/>
  <c r="F248"/>
  <c r="D128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D174"/>
  <c r="D175"/>
  <c r="D155"/>
  <c r="F155"/>
  <c r="D154"/>
  <c r="F154"/>
  <c r="D153"/>
  <c r="F153"/>
  <c r="D151"/>
  <c r="F151"/>
  <c r="D112"/>
  <c r="D373"/>
  <c r="D215"/>
  <c r="D209"/>
  <c r="F112"/>
  <c r="K275" l="1"/>
  <c r="K315"/>
  <c r="K356"/>
  <c r="K440"/>
  <c r="S283"/>
  <c r="T283" s="1"/>
  <c r="S456"/>
  <c r="T456" s="1"/>
  <c r="S342"/>
  <c r="T342" s="1"/>
  <c r="K11"/>
  <c r="O11"/>
  <c r="S96"/>
  <c r="T96" s="1"/>
  <c r="O205"/>
  <c r="S205" s="1"/>
  <c r="T205" s="1"/>
  <c r="S399"/>
  <c r="T399" s="1"/>
  <c r="S131"/>
  <c r="T131" s="1"/>
  <c r="S236"/>
  <c r="T236" s="1"/>
  <c r="S410"/>
  <c r="T410" s="1"/>
  <c r="S439"/>
  <c r="T439" s="1"/>
  <c r="S471"/>
  <c r="T471" s="1"/>
  <c r="S80"/>
  <c r="T80" s="1"/>
  <c r="S358"/>
  <c r="T358" s="1"/>
  <c r="S463"/>
  <c r="T463" s="1"/>
  <c r="S221"/>
  <c r="T221" s="1"/>
  <c r="S274"/>
  <c r="T274" s="1"/>
  <c r="S325"/>
  <c r="T325" s="1"/>
  <c r="K251"/>
  <c r="K378"/>
  <c r="K432"/>
  <c r="K346"/>
  <c r="K287"/>
  <c r="K335"/>
  <c r="K379"/>
  <c r="K169"/>
  <c r="U339"/>
  <c r="X339"/>
  <c r="U26"/>
  <c r="X26"/>
  <c r="U22"/>
  <c r="X22"/>
  <c r="U18"/>
  <c r="X18"/>
  <c r="U29"/>
  <c r="X29"/>
  <c r="U34"/>
  <c r="X34"/>
  <c r="U41"/>
  <c r="X41"/>
  <c r="U45"/>
  <c r="X45"/>
  <c r="U71"/>
  <c r="X71"/>
  <c r="U81"/>
  <c r="X81"/>
  <c r="U86"/>
  <c r="X86"/>
  <c r="U100"/>
  <c r="X100"/>
  <c r="U116"/>
  <c r="X116"/>
  <c r="U126"/>
  <c r="X126"/>
  <c r="U138"/>
  <c r="X138"/>
  <c r="U159"/>
  <c r="X159"/>
  <c r="U153"/>
  <c r="X153"/>
  <c r="U177"/>
  <c r="X177"/>
  <c r="U173"/>
  <c r="X173"/>
  <c r="U191"/>
  <c r="X191"/>
  <c r="U213"/>
  <c r="X213"/>
  <c r="U278"/>
  <c r="X278"/>
  <c r="U246"/>
  <c r="X246"/>
  <c r="U286"/>
  <c r="X286"/>
  <c r="U296"/>
  <c r="X296"/>
  <c r="U306"/>
  <c r="X306"/>
  <c r="U337"/>
  <c r="X337"/>
  <c r="U345"/>
  <c r="X345"/>
  <c r="U356"/>
  <c r="X356"/>
  <c r="U366"/>
  <c r="X366"/>
  <c r="U373"/>
  <c r="X373"/>
  <c r="U380"/>
  <c r="X380"/>
  <c r="U387"/>
  <c r="X387"/>
  <c r="U393"/>
  <c r="X393"/>
  <c r="U397"/>
  <c r="X397"/>
  <c r="U412"/>
  <c r="X412"/>
  <c r="U420"/>
  <c r="X420"/>
  <c r="U425"/>
  <c r="X425"/>
  <c r="U435"/>
  <c r="X435"/>
  <c r="U448"/>
  <c r="X448"/>
  <c r="U459"/>
  <c r="X459"/>
  <c r="X484"/>
  <c r="U484"/>
  <c r="U497"/>
  <c r="X497"/>
  <c r="X504"/>
  <c r="U504"/>
  <c r="U429"/>
  <c r="X429"/>
  <c r="U360"/>
  <c r="X360"/>
  <c r="U14"/>
  <c r="X14"/>
  <c r="X12"/>
  <c r="U12"/>
  <c r="U8"/>
  <c r="X8"/>
  <c r="U351"/>
  <c r="X351"/>
  <c r="U27"/>
  <c r="X27"/>
  <c r="U23"/>
  <c r="X23"/>
  <c r="U19"/>
  <c r="X19"/>
  <c r="U15"/>
  <c r="X15"/>
  <c r="U33"/>
  <c r="X33"/>
  <c r="U40"/>
  <c r="X40"/>
  <c r="U44"/>
  <c r="X44"/>
  <c r="U61"/>
  <c r="X61"/>
  <c r="U65"/>
  <c r="X65"/>
  <c r="U84"/>
  <c r="X84"/>
  <c r="U110"/>
  <c r="X110"/>
  <c r="U121"/>
  <c r="X121"/>
  <c r="U146"/>
  <c r="X146"/>
  <c r="U154"/>
  <c r="X154"/>
  <c r="U165"/>
  <c r="X165"/>
  <c r="U169"/>
  <c r="X169"/>
  <c r="U208"/>
  <c r="X208"/>
  <c r="U279"/>
  <c r="X279"/>
  <c r="U275"/>
  <c r="X275"/>
  <c r="U263"/>
  <c r="X263"/>
  <c r="U248"/>
  <c r="X248"/>
  <c r="U291"/>
  <c r="X291"/>
  <c r="U300"/>
  <c r="X300"/>
  <c r="U305"/>
  <c r="X305"/>
  <c r="U315"/>
  <c r="X315"/>
  <c r="U335"/>
  <c r="X335"/>
  <c r="U344"/>
  <c r="X344"/>
  <c r="U354"/>
  <c r="X354"/>
  <c r="U364"/>
  <c r="X364"/>
  <c r="U370"/>
  <c r="X370"/>
  <c r="U379"/>
  <c r="X379"/>
  <c r="U385"/>
  <c r="X385"/>
  <c r="U392"/>
  <c r="X392"/>
  <c r="U396"/>
  <c r="X396"/>
  <c r="U400"/>
  <c r="X400"/>
  <c r="U405"/>
  <c r="X405"/>
  <c r="U417"/>
  <c r="X417"/>
  <c r="U424"/>
  <c r="X424"/>
  <c r="U434"/>
  <c r="X434"/>
  <c r="U438"/>
  <c r="X438"/>
  <c r="X470"/>
  <c r="U470"/>
  <c r="X488"/>
  <c r="U488"/>
  <c r="X494"/>
  <c r="U494"/>
  <c r="X510"/>
  <c r="U510"/>
  <c r="U322"/>
  <c r="X322"/>
  <c r="U362"/>
  <c r="X362"/>
  <c r="U365"/>
  <c r="X365"/>
  <c r="U9"/>
  <c r="X9"/>
  <c r="V5"/>
  <c r="W5"/>
  <c r="U32"/>
  <c r="X32"/>
  <c r="U39"/>
  <c r="X39"/>
  <c r="U43"/>
  <c r="X43"/>
  <c r="U59"/>
  <c r="X59"/>
  <c r="U64"/>
  <c r="X64"/>
  <c r="U69"/>
  <c r="X69"/>
  <c r="U73"/>
  <c r="X73"/>
  <c r="U79"/>
  <c r="X79"/>
  <c r="U91"/>
  <c r="X91"/>
  <c r="U108"/>
  <c r="X108"/>
  <c r="U120"/>
  <c r="X120"/>
  <c r="U136"/>
  <c r="X136"/>
  <c r="U145"/>
  <c r="X145"/>
  <c r="U162"/>
  <c r="X162"/>
  <c r="U155"/>
  <c r="X155"/>
  <c r="X182"/>
  <c r="U182"/>
  <c r="U200"/>
  <c r="X200"/>
  <c r="U207"/>
  <c r="X207"/>
  <c r="U220"/>
  <c r="X220"/>
  <c r="U228"/>
  <c r="X228"/>
  <c r="U280"/>
  <c r="X280"/>
  <c r="U276"/>
  <c r="X276"/>
  <c r="U265"/>
  <c r="X265"/>
  <c r="U251"/>
  <c r="X251"/>
  <c r="U299"/>
  <c r="X299"/>
  <c r="U304"/>
  <c r="X304"/>
  <c r="U308"/>
  <c r="X308"/>
  <c r="U324"/>
  <c r="X324"/>
  <c r="U332"/>
  <c r="X332"/>
  <c r="U343"/>
  <c r="X343"/>
  <c r="U347"/>
  <c r="X347"/>
  <c r="U368"/>
  <c r="X368"/>
  <c r="U378"/>
  <c r="X378"/>
  <c r="U383"/>
  <c r="X383"/>
  <c r="U390"/>
  <c r="X390"/>
  <c r="U395"/>
  <c r="X395"/>
  <c r="U404"/>
  <c r="X404"/>
  <c r="U415"/>
  <c r="X415"/>
  <c r="U423"/>
  <c r="X423"/>
  <c r="U451"/>
  <c r="X451"/>
  <c r="X480"/>
  <c r="U480"/>
  <c r="U493"/>
  <c r="X493"/>
  <c r="U507"/>
  <c r="X507"/>
  <c r="U350"/>
  <c r="X350"/>
  <c r="U209"/>
  <c r="X209"/>
  <c r="U68"/>
  <c r="X68"/>
  <c r="U318"/>
  <c r="X318"/>
  <c r="U25"/>
  <c r="X25"/>
  <c r="U21"/>
  <c r="X21"/>
  <c r="U17"/>
  <c r="X17"/>
  <c r="U31"/>
  <c r="X31"/>
  <c r="U38"/>
  <c r="X38"/>
  <c r="U42"/>
  <c r="X42"/>
  <c r="U46"/>
  <c r="X46"/>
  <c r="U63"/>
  <c r="X63"/>
  <c r="U67"/>
  <c r="X67"/>
  <c r="U72"/>
  <c r="X72"/>
  <c r="U76"/>
  <c r="X76"/>
  <c r="U88"/>
  <c r="X88"/>
  <c r="U97"/>
  <c r="X97"/>
  <c r="U102"/>
  <c r="X102"/>
  <c r="U119"/>
  <c r="X119"/>
  <c r="U129"/>
  <c r="X129"/>
  <c r="U144"/>
  <c r="X144"/>
  <c r="U149"/>
  <c r="X149"/>
  <c r="U158"/>
  <c r="X158"/>
  <c r="U151"/>
  <c r="X151"/>
  <c r="U186"/>
  <c r="X186"/>
  <c r="U176"/>
  <c r="X176"/>
  <c r="U171"/>
  <c r="X171"/>
  <c r="X198"/>
  <c r="U198"/>
  <c r="U215"/>
  <c r="X215"/>
  <c r="U227"/>
  <c r="X227"/>
  <c r="U281"/>
  <c r="X281"/>
  <c r="U277"/>
  <c r="X277"/>
  <c r="U273"/>
  <c r="X273"/>
  <c r="U256"/>
  <c r="X256"/>
  <c r="U240"/>
  <c r="X240"/>
  <c r="U287"/>
  <c r="X287"/>
  <c r="U302"/>
  <c r="X302"/>
  <c r="U307"/>
  <c r="X307"/>
  <c r="U317"/>
  <c r="X317"/>
  <c r="U328"/>
  <c r="X328"/>
  <c r="U346"/>
  <c r="X346"/>
  <c r="U357"/>
  <c r="X357"/>
  <c r="U376"/>
  <c r="X376"/>
  <c r="U381"/>
  <c r="X381"/>
  <c r="U389"/>
  <c r="X389"/>
  <c r="U403"/>
  <c r="X403"/>
  <c r="U408"/>
  <c r="X408"/>
  <c r="U413"/>
  <c r="X413"/>
  <c r="U421"/>
  <c r="X421"/>
  <c r="U432"/>
  <c r="X432"/>
  <c r="U436"/>
  <c r="X436"/>
  <c r="U440"/>
  <c r="X440"/>
  <c r="U479"/>
  <c r="X479"/>
  <c r="U485"/>
  <c r="X485"/>
  <c r="X492"/>
  <c r="U492"/>
  <c r="X498"/>
  <c r="U498"/>
  <c r="U505"/>
  <c r="X505"/>
  <c r="U428"/>
  <c r="X428"/>
  <c r="U112"/>
  <c r="X112"/>
  <c r="U361"/>
  <c r="X361"/>
  <c r="U363"/>
  <c r="X363"/>
  <c r="O75"/>
  <c r="S75" s="1"/>
  <c r="T75" s="1"/>
  <c r="K497"/>
  <c r="K448"/>
  <c r="K504"/>
  <c r="K420"/>
  <c r="K366"/>
  <c r="K484"/>
  <c r="K459"/>
  <c r="Z296"/>
  <c r="AA296" s="1"/>
  <c r="Z339"/>
  <c r="AA339" s="1"/>
  <c r="Z26"/>
  <c r="AA26" s="1"/>
  <c r="Z22"/>
  <c r="AA22" s="1"/>
  <c r="Z34"/>
  <c r="AA34" s="1"/>
  <c r="Z45"/>
  <c r="AA45" s="1"/>
  <c r="Z86"/>
  <c r="AA86" s="1"/>
  <c r="Z153"/>
  <c r="AA153" s="1"/>
  <c r="Z177"/>
  <c r="AA177" s="1"/>
  <c r="Z191"/>
  <c r="Z213"/>
  <c r="AA213" s="1"/>
  <c r="Z306"/>
  <c r="AA306" s="1"/>
  <c r="Z337"/>
  <c r="AA337" s="1"/>
  <c r="Z345"/>
  <c r="AA345" s="1"/>
  <c r="Z356"/>
  <c r="AA356" s="1"/>
  <c r="Z393"/>
  <c r="AA393" s="1"/>
  <c r="Z397"/>
  <c r="AA397" s="1"/>
  <c r="Z412"/>
  <c r="AA412" s="1"/>
  <c r="Z484"/>
  <c r="AA484" s="1"/>
  <c r="Z504"/>
  <c r="AA504" s="1"/>
  <c r="Z429"/>
  <c r="AA429" s="1"/>
  <c r="Z360"/>
  <c r="AA360" s="1"/>
  <c r="Z14"/>
  <c r="AA14" s="1"/>
  <c r="Z23"/>
  <c r="AA23" s="1"/>
  <c r="Z44"/>
  <c r="AA44" s="1"/>
  <c r="Z84"/>
  <c r="AA84" s="1"/>
  <c r="Z110"/>
  <c r="AA110" s="1"/>
  <c r="Z165"/>
  <c r="AA165" s="1"/>
  <c r="Z263"/>
  <c r="AA263" s="1"/>
  <c r="Z248"/>
  <c r="AA248" s="1"/>
  <c r="Z291"/>
  <c r="AA291" s="1"/>
  <c r="Z305"/>
  <c r="AA305" s="1"/>
  <c r="Z344"/>
  <c r="AA344" s="1"/>
  <c r="Z354"/>
  <c r="AA354" s="1"/>
  <c r="Z370"/>
  <c r="AA370" s="1"/>
  <c r="Z379"/>
  <c r="AA379" s="1"/>
  <c r="Z396"/>
  <c r="AA396" s="1"/>
  <c r="Z400"/>
  <c r="AA400" s="1"/>
  <c r="Z405"/>
  <c r="AA405" s="1"/>
  <c r="Z434"/>
  <c r="AA434" s="1"/>
  <c r="Z470"/>
  <c r="AA470" s="1"/>
  <c r="Z494"/>
  <c r="AA494" s="1"/>
  <c r="Z510"/>
  <c r="AA510" s="1"/>
  <c r="Z322"/>
  <c r="AA322" s="1"/>
  <c r="Z362"/>
  <c r="AA362" s="1"/>
  <c r="Z365"/>
  <c r="AA365" s="1"/>
  <c r="X5"/>
  <c r="Z5"/>
  <c r="AA5" s="1"/>
  <c r="Z79"/>
  <c r="AA79" s="1"/>
  <c r="Z136"/>
  <c r="AA136" s="1"/>
  <c r="Z162"/>
  <c r="AA162" s="1"/>
  <c r="Z155"/>
  <c r="AA155" s="1"/>
  <c r="Z182"/>
  <c r="AA182" s="1"/>
  <c r="Z200"/>
  <c r="AA200" s="1"/>
  <c r="Z280"/>
  <c r="AA280" s="1"/>
  <c r="Z251"/>
  <c r="AA251" s="1"/>
  <c r="Z304"/>
  <c r="AA304" s="1"/>
  <c r="Z308"/>
  <c r="AA308" s="1"/>
  <c r="Z332"/>
  <c r="AA332" s="1"/>
  <c r="Z343"/>
  <c r="AA343" s="1"/>
  <c r="Z347"/>
  <c r="AA347" s="1"/>
  <c r="Z404"/>
  <c r="AA404" s="1"/>
  <c r="Z423"/>
  <c r="AA423" s="1"/>
  <c r="Z451"/>
  <c r="AA451" s="1"/>
  <c r="Z507"/>
  <c r="AA507" s="1"/>
  <c r="Z350"/>
  <c r="AA350" s="1"/>
  <c r="Z25"/>
  <c r="AA25" s="1"/>
  <c r="Z21"/>
  <c r="AA21" s="1"/>
  <c r="Z31"/>
  <c r="AA31" s="1"/>
  <c r="Z38"/>
  <c r="AA38" s="1"/>
  <c r="Z46"/>
  <c r="AA46" s="1"/>
  <c r="Z63"/>
  <c r="AA63" s="1"/>
  <c r="Z72"/>
  <c r="AA72" s="1"/>
  <c r="Z76"/>
  <c r="AA76" s="1"/>
  <c r="Z88"/>
  <c r="AA88" s="1"/>
  <c r="Z119"/>
  <c r="AA119" s="1"/>
  <c r="Z144"/>
  <c r="AA144" s="1"/>
  <c r="Z149"/>
  <c r="AA149" s="1"/>
  <c r="Z158"/>
  <c r="AA158" s="1"/>
  <c r="Z198"/>
  <c r="Z215"/>
  <c r="AA215" s="1"/>
  <c r="Z273"/>
  <c r="AA273" s="1"/>
  <c r="Z240"/>
  <c r="AA240" s="1"/>
  <c r="Z307"/>
  <c r="AA307" s="1"/>
  <c r="Z376"/>
  <c r="AA376" s="1"/>
  <c r="Z381"/>
  <c r="AA381" s="1"/>
  <c r="Z389"/>
  <c r="AA389" s="1"/>
  <c r="Z408"/>
  <c r="AA408" s="1"/>
  <c r="Z436"/>
  <c r="AA436" s="1"/>
  <c r="Z479"/>
  <c r="AA479" s="1"/>
  <c r="Z485"/>
  <c r="AA485" s="1"/>
  <c r="Z498"/>
  <c r="AA498" s="1"/>
  <c r="Z505"/>
  <c r="AA505" s="1"/>
  <c r="Z428"/>
  <c r="AA428" s="1"/>
  <c r="Z361"/>
  <c r="AA361" s="1"/>
  <c r="K413"/>
  <c r="K357"/>
  <c r="K240"/>
  <c r="K67"/>
  <c r="K307"/>
  <c r="K256"/>
  <c r="K376"/>
  <c r="K227"/>
  <c r="K343"/>
  <c r="K308"/>
  <c r="K207"/>
  <c r="K507"/>
  <c r="K493"/>
  <c r="K368"/>
  <c r="K332"/>
  <c r="K220"/>
  <c r="K480"/>
  <c r="K383"/>
  <c r="K358"/>
  <c r="K347"/>
  <c r="K276"/>
  <c r="K370"/>
  <c r="K510"/>
  <c r="K291"/>
  <c r="K279"/>
  <c r="K208"/>
  <c r="K17"/>
  <c r="K385"/>
  <c r="K300"/>
  <c r="K144"/>
  <c r="K215"/>
  <c r="O37"/>
  <c r="S37" s="1"/>
  <c r="T37" s="1"/>
  <c r="K328"/>
  <c r="K246"/>
  <c r="K186"/>
  <c r="K32"/>
  <c r="K121"/>
  <c r="K26"/>
  <c r="K302"/>
  <c r="K171"/>
  <c r="K18"/>
  <c r="K146"/>
  <c r="K102"/>
  <c r="K23"/>
  <c r="K380"/>
  <c r="K373"/>
  <c r="K354"/>
  <c r="K345"/>
  <c r="K286"/>
  <c r="K278"/>
  <c r="K129"/>
  <c r="K22"/>
  <c r="K198"/>
  <c r="K151"/>
  <c r="K29"/>
  <c r="K21"/>
  <c r="K159"/>
  <c r="K12"/>
  <c r="K64"/>
  <c r="K97"/>
  <c r="K76"/>
  <c r="K8"/>
  <c r="K25"/>
  <c r="K19"/>
  <c r="K337"/>
  <c r="K306"/>
  <c r="K296"/>
  <c r="K205"/>
  <c r="K182"/>
  <c r="K155"/>
  <c r="K136"/>
  <c r="K119"/>
  <c r="K72"/>
  <c r="K59"/>
  <c r="K39"/>
  <c r="K40"/>
  <c r="K9"/>
  <c r="K27"/>
  <c r="K324"/>
  <c r="K305"/>
  <c r="K299"/>
  <c r="K263"/>
  <c r="K177"/>
  <c r="K15"/>
  <c r="K154"/>
  <c r="K138"/>
  <c r="K126"/>
  <c r="K34"/>
  <c r="K73"/>
  <c r="K69"/>
  <c r="K42"/>
  <c r="K451"/>
  <c r="K71"/>
  <c r="K351"/>
  <c r="K46"/>
  <c r="K116"/>
  <c r="K100"/>
  <c r="K173"/>
  <c r="K91"/>
  <c r="K65"/>
  <c r="K44"/>
  <c r="K339"/>
  <c r="K488"/>
  <c r="K435"/>
  <c r="K505"/>
  <c r="K492"/>
  <c r="K63"/>
  <c r="K43"/>
  <c r="K38"/>
  <c r="K33"/>
  <c r="K81"/>
  <c r="K162"/>
  <c r="K158"/>
  <c r="K165"/>
  <c r="O461"/>
  <c r="S461" s="1"/>
  <c r="T461" s="1"/>
  <c r="K318"/>
  <c r="K228"/>
  <c r="K149"/>
  <c r="K108"/>
  <c r="K61"/>
  <c r="K45"/>
  <c r="K41"/>
  <c r="O482"/>
  <c r="S482" s="1"/>
  <c r="T482" s="1"/>
  <c r="S406"/>
  <c r="T406" s="1"/>
  <c r="S402"/>
  <c r="T402" s="1"/>
  <c r="S398"/>
  <c r="T398" s="1"/>
  <c r="S394"/>
  <c r="T394" s="1"/>
  <c r="S206"/>
  <c r="T206" s="1"/>
  <c r="O202"/>
  <c r="S202" s="1"/>
  <c r="T202" s="1"/>
  <c r="O174"/>
  <c r="S174" s="1"/>
  <c r="T174" s="1"/>
  <c r="O170"/>
  <c r="S170" s="1"/>
  <c r="T170" s="1"/>
  <c r="O166"/>
  <c r="S166" s="1"/>
  <c r="T166" s="1"/>
  <c r="O98"/>
  <c r="S98" s="1"/>
  <c r="T98" s="1"/>
  <c r="O82"/>
  <c r="S82" s="1"/>
  <c r="T82" s="1"/>
  <c r="O74"/>
  <c r="S74" s="1"/>
  <c r="T74" s="1"/>
  <c r="O70"/>
  <c r="S70" s="1"/>
  <c r="T70" s="1"/>
  <c r="O66"/>
  <c r="S66" s="1"/>
  <c r="T66" s="1"/>
  <c r="O62"/>
  <c r="S62" s="1"/>
  <c r="T62" s="1"/>
  <c r="O10"/>
  <c r="S10" s="1"/>
  <c r="T10" s="1"/>
  <c r="O6"/>
  <c r="S6" s="1"/>
  <c r="T6" s="1"/>
  <c r="K31"/>
  <c r="K281"/>
  <c r="K277"/>
  <c r="K273"/>
  <c r="K265"/>
  <c r="K176"/>
  <c r="K145"/>
  <c r="K120"/>
  <c r="K79"/>
  <c r="O503"/>
  <c r="S503" s="1"/>
  <c r="T503" s="1"/>
  <c r="O499"/>
  <c r="S499" s="1"/>
  <c r="T499" s="1"/>
  <c r="O491"/>
  <c r="S491" s="1"/>
  <c r="T491" s="1"/>
  <c r="O487"/>
  <c r="S487" s="1"/>
  <c r="T487" s="1"/>
  <c r="O411"/>
  <c r="S411" s="1"/>
  <c r="T411" s="1"/>
  <c r="O367"/>
  <c r="S367" s="1"/>
  <c r="T367" s="1"/>
  <c r="S223"/>
  <c r="T223" s="1"/>
  <c r="O175"/>
  <c r="S175" s="1"/>
  <c r="T175" s="1"/>
  <c r="O99"/>
  <c r="S99" s="1"/>
  <c r="T99" s="1"/>
  <c r="O95"/>
  <c r="S95" s="1"/>
  <c r="T95" s="1"/>
  <c r="O83"/>
  <c r="S83" s="1"/>
  <c r="T83" s="1"/>
  <c r="S11"/>
  <c r="T11" s="1"/>
  <c r="O7"/>
  <c r="S7" s="1"/>
  <c r="T7" s="1"/>
  <c r="O316"/>
  <c r="S316" s="1"/>
  <c r="T316" s="1"/>
  <c r="S188"/>
  <c r="T188" s="1"/>
  <c r="S180"/>
  <c r="T180" s="1"/>
  <c r="O148"/>
  <c r="S148" s="1"/>
  <c r="T148" s="1"/>
  <c r="O24"/>
  <c r="S24" s="1"/>
  <c r="T24" s="1"/>
  <c r="O20"/>
  <c r="S20" s="1"/>
  <c r="T20" s="1"/>
  <c r="O16"/>
  <c r="S16" s="1"/>
  <c r="T16" s="1"/>
  <c r="K153"/>
  <c r="S449"/>
  <c r="T449" s="1"/>
  <c r="O445"/>
  <c r="S445" s="1"/>
  <c r="T445" s="1"/>
  <c r="O441"/>
  <c r="S441" s="1"/>
  <c r="T441" s="1"/>
  <c r="O437"/>
  <c r="S437" s="1"/>
  <c r="T437" s="1"/>
  <c r="S433"/>
  <c r="T433" s="1"/>
  <c r="O301"/>
  <c r="S301" s="1"/>
  <c r="T301" s="1"/>
  <c r="O297"/>
  <c r="S297" s="1"/>
  <c r="T297" s="1"/>
  <c r="O289"/>
  <c r="S289" s="1"/>
  <c r="T289" s="1"/>
  <c r="S285"/>
  <c r="T285" s="1"/>
  <c r="S257"/>
  <c r="T257" s="1"/>
  <c r="O237"/>
  <c r="S237" s="1"/>
  <c r="T237" s="1"/>
  <c r="O161"/>
  <c r="S161" s="1"/>
  <c r="T161" s="1"/>
  <c r="O77"/>
  <c r="S77" s="1"/>
  <c r="T77" s="1"/>
  <c r="F463"/>
  <c r="D463"/>
  <c r="F470"/>
  <c r="F471"/>
  <c r="D470"/>
  <c r="D471"/>
  <c r="F479"/>
  <c r="F480"/>
  <c r="D479"/>
  <c r="D480"/>
  <c r="F482"/>
  <c r="D482"/>
  <c r="F487"/>
  <c r="F488"/>
  <c r="D487"/>
  <c r="D488"/>
  <c r="F492"/>
  <c r="F493"/>
  <c r="F494"/>
  <c r="D492"/>
  <c r="D493"/>
  <c r="D494"/>
  <c r="F497"/>
  <c r="F498"/>
  <c r="F499"/>
  <c r="D497"/>
  <c r="D498"/>
  <c r="D499"/>
  <c r="F461"/>
  <c r="D461"/>
  <c r="F459"/>
  <c r="D459"/>
  <c r="F445"/>
  <c r="D445"/>
  <c r="F448"/>
  <c r="F449"/>
  <c r="D448"/>
  <c r="D449"/>
  <c r="F456"/>
  <c r="F451"/>
  <c r="D451"/>
  <c r="D456"/>
  <c r="F432"/>
  <c r="F434"/>
  <c r="F435"/>
  <c r="F436"/>
  <c r="F437"/>
  <c r="F438"/>
  <c r="F439"/>
  <c r="F440"/>
  <c r="F441"/>
  <c r="D432"/>
  <c r="D433"/>
  <c r="D434"/>
  <c r="D435"/>
  <c r="D436"/>
  <c r="D437"/>
  <c r="D438"/>
  <c r="D439"/>
  <c r="D440"/>
  <c r="D441"/>
  <c r="F429"/>
  <c r="D429"/>
  <c r="F423"/>
  <c r="F424"/>
  <c r="F425"/>
  <c r="D423"/>
  <c r="D424"/>
  <c r="D425"/>
  <c r="F420"/>
  <c r="F421"/>
  <c r="D420"/>
  <c r="D421"/>
  <c r="F417"/>
  <c r="D417"/>
  <c r="F360"/>
  <c r="F361"/>
  <c r="F362"/>
  <c r="F363"/>
  <c r="F364"/>
  <c r="F365"/>
  <c r="F366"/>
  <c r="F367"/>
  <c r="F368"/>
  <c r="D360"/>
  <c r="D361"/>
  <c r="D362"/>
  <c r="D363"/>
  <c r="D364"/>
  <c r="D365"/>
  <c r="D366"/>
  <c r="D367"/>
  <c r="D368"/>
  <c r="F373"/>
  <c r="F376"/>
  <c r="D376"/>
  <c r="F378"/>
  <c r="F379"/>
  <c r="F380"/>
  <c r="F381"/>
  <c r="D378"/>
  <c r="D379"/>
  <c r="D380"/>
  <c r="D381"/>
  <c r="F383"/>
  <c r="D383"/>
  <c r="F385"/>
  <c r="D385"/>
  <c r="F387"/>
  <c r="D387"/>
  <c r="F389"/>
  <c r="F390"/>
  <c r="D389"/>
  <c r="D390"/>
  <c r="F392"/>
  <c r="F393"/>
  <c r="F394"/>
  <c r="F395"/>
  <c r="F396"/>
  <c r="F397"/>
  <c r="F398"/>
  <c r="F399"/>
  <c r="F400"/>
  <c r="D392"/>
  <c r="D393"/>
  <c r="D394"/>
  <c r="D395"/>
  <c r="D396"/>
  <c r="D397"/>
  <c r="D398"/>
  <c r="D399"/>
  <c r="D400"/>
  <c r="F402"/>
  <c r="F403"/>
  <c r="F404"/>
  <c r="F405"/>
  <c r="F406"/>
  <c r="D402"/>
  <c r="D403"/>
  <c r="D404"/>
  <c r="D405"/>
  <c r="D406"/>
  <c r="F408"/>
  <c r="D408"/>
  <c r="F410"/>
  <c r="F411"/>
  <c r="F412"/>
  <c r="F413"/>
  <c r="D410"/>
  <c r="D411"/>
  <c r="D412"/>
  <c r="D413"/>
  <c r="F415"/>
  <c r="D415"/>
  <c r="D407"/>
  <c r="F407"/>
  <c r="N407"/>
  <c r="O407" s="1"/>
  <c r="S407" s="1"/>
  <c r="T407" s="1"/>
  <c r="F357"/>
  <c r="F358"/>
  <c r="D357"/>
  <c r="D358"/>
  <c r="F354"/>
  <c r="F342"/>
  <c r="F343"/>
  <c r="F344"/>
  <c r="F345"/>
  <c r="F346"/>
  <c r="F347"/>
  <c r="D354"/>
  <c r="D342"/>
  <c r="D343"/>
  <c r="D344"/>
  <c r="D345"/>
  <c r="D346"/>
  <c r="D347"/>
  <c r="F337"/>
  <c r="D337"/>
  <c r="F335"/>
  <c r="D335"/>
  <c r="F332"/>
  <c r="D332"/>
  <c r="F328"/>
  <c r="F324"/>
  <c r="F325"/>
  <c r="D324"/>
  <c r="D325"/>
  <c r="D328"/>
  <c r="F322"/>
  <c r="D322"/>
  <c r="F315"/>
  <c r="F316"/>
  <c r="F317"/>
  <c r="D315"/>
  <c r="D316"/>
  <c r="D317"/>
  <c r="F310"/>
  <c r="D310"/>
  <c r="F304"/>
  <c r="F305"/>
  <c r="F306"/>
  <c r="F307"/>
  <c r="D304"/>
  <c r="D305"/>
  <c r="D306"/>
  <c r="F299"/>
  <c r="F300"/>
  <c r="F301"/>
  <c r="F302"/>
  <c r="F297"/>
  <c r="F296"/>
  <c r="Z456" l="1"/>
  <c r="AA456" s="1"/>
  <c r="X456"/>
  <c r="U456"/>
  <c r="X439"/>
  <c r="U439"/>
  <c r="V439" s="1"/>
  <c r="Z439"/>
  <c r="AA439" s="1"/>
  <c r="U236"/>
  <c r="Z236"/>
  <c r="AA236" s="1"/>
  <c r="X236"/>
  <c r="U96"/>
  <c r="V96" s="1"/>
  <c r="Z96"/>
  <c r="AA96" s="1"/>
  <c r="X96"/>
  <c r="Z342"/>
  <c r="AA342" s="1"/>
  <c r="X342"/>
  <c r="U342"/>
  <c r="V342" s="1"/>
  <c r="X399"/>
  <c r="U399"/>
  <c r="V399" s="1"/>
  <c r="Z399"/>
  <c r="AA399" s="1"/>
  <c r="X410"/>
  <c r="U410"/>
  <c r="V410" s="1"/>
  <c r="Z410"/>
  <c r="AA410" s="1"/>
  <c r="X283"/>
  <c r="Z283"/>
  <c r="AA283" s="1"/>
  <c r="U283"/>
  <c r="V283" s="1"/>
  <c r="X131"/>
  <c r="Z131"/>
  <c r="AA131" s="1"/>
  <c r="U131"/>
  <c r="Z471"/>
  <c r="AA471" s="1"/>
  <c r="X471"/>
  <c r="U471"/>
  <c r="V471" s="1"/>
  <c r="X205"/>
  <c r="Z205"/>
  <c r="AA205" s="1"/>
  <c r="U205"/>
  <c r="X80"/>
  <c r="U80"/>
  <c r="V80" s="1"/>
  <c r="Z80"/>
  <c r="AA80" s="1"/>
  <c r="U358"/>
  <c r="W358" s="1"/>
  <c r="Z358"/>
  <c r="AA358" s="1"/>
  <c r="X358"/>
  <c r="Z463"/>
  <c r="AA463" s="1"/>
  <c r="X463"/>
  <c r="U463"/>
  <c r="V463" s="1"/>
  <c r="X221"/>
  <c r="U221"/>
  <c r="V221" s="1"/>
  <c r="Z221"/>
  <c r="AA221" s="1"/>
  <c r="Z325"/>
  <c r="AA325" s="1"/>
  <c r="X325"/>
  <c r="U325"/>
  <c r="W325" s="1"/>
  <c r="U274"/>
  <c r="X274"/>
  <c r="Z274"/>
  <c r="AA274" s="1"/>
  <c r="U407"/>
  <c r="X407"/>
  <c r="U237"/>
  <c r="X237"/>
  <c r="U297"/>
  <c r="X297"/>
  <c r="U441"/>
  <c r="X441"/>
  <c r="U16"/>
  <c r="X16"/>
  <c r="U180"/>
  <c r="X180"/>
  <c r="U11"/>
  <c r="X11"/>
  <c r="U175"/>
  <c r="X175"/>
  <c r="U487"/>
  <c r="X487"/>
  <c r="U66"/>
  <c r="X66"/>
  <c r="U98"/>
  <c r="X98"/>
  <c r="U202"/>
  <c r="X202"/>
  <c r="U402"/>
  <c r="X402"/>
  <c r="W361"/>
  <c r="V361"/>
  <c r="W428"/>
  <c r="V428"/>
  <c r="V485"/>
  <c r="W485"/>
  <c r="W440"/>
  <c r="V440"/>
  <c r="W432"/>
  <c r="V432"/>
  <c r="V413"/>
  <c r="W413"/>
  <c r="V403"/>
  <c r="W403"/>
  <c r="V381"/>
  <c r="W381"/>
  <c r="W357"/>
  <c r="V357"/>
  <c r="W342"/>
  <c r="W317"/>
  <c r="V317"/>
  <c r="W302"/>
  <c r="V302"/>
  <c r="W240"/>
  <c r="V240"/>
  <c r="W273"/>
  <c r="V273"/>
  <c r="W281"/>
  <c r="V281"/>
  <c r="W215"/>
  <c r="V215"/>
  <c r="W171"/>
  <c r="V171"/>
  <c r="W186"/>
  <c r="V186"/>
  <c r="W158"/>
  <c r="V158"/>
  <c r="W144"/>
  <c r="V144"/>
  <c r="W119"/>
  <c r="V119"/>
  <c r="V97"/>
  <c r="W97"/>
  <c r="V76"/>
  <c r="W76"/>
  <c r="V67"/>
  <c r="W67"/>
  <c r="W46"/>
  <c r="V46"/>
  <c r="W38"/>
  <c r="V38"/>
  <c r="V17"/>
  <c r="W17"/>
  <c r="V25"/>
  <c r="W25"/>
  <c r="V68"/>
  <c r="W68"/>
  <c r="W350"/>
  <c r="V350"/>
  <c r="V493"/>
  <c r="W493"/>
  <c r="V423"/>
  <c r="W423"/>
  <c r="W410"/>
  <c r="W390"/>
  <c r="V390"/>
  <c r="W378"/>
  <c r="V378"/>
  <c r="W343"/>
  <c r="V343"/>
  <c r="W324"/>
  <c r="V324"/>
  <c r="W304"/>
  <c r="V304"/>
  <c r="W283"/>
  <c r="W265"/>
  <c r="V265"/>
  <c r="W280"/>
  <c r="V280"/>
  <c r="W220"/>
  <c r="V220"/>
  <c r="V200"/>
  <c r="W200"/>
  <c r="V155"/>
  <c r="W155"/>
  <c r="V145"/>
  <c r="W145"/>
  <c r="W120"/>
  <c r="V120"/>
  <c r="V91"/>
  <c r="W91"/>
  <c r="V73"/>
  <c r="W73"/>
  <c r="V64"/>
  <c r="W64"/>
  <c r="V43"/>
  <c r="W43"/>
  <c r="V32"/>
  <c r="W32"/>
  <c r="V9"/>
  <c r="W9"/>
  <c r="W362"/>
  <c r="V362"/>
  <c r="W456"/>
  <c r="V456"/>
  <c r="V434"/>
  <c r="W434"/>
  <c r="W417"/>
  <c r="V417"/>
  <c r="W400"/>
  <c r="V400"/>
  <c r="W392"/>
  <c r="V392"/>
  <c r="W379"/>
  <c r="V379"/>
  <c r="W364"/>
  <c r="V364"/>
  <c r="W344"/>
  <c r="V344"/>
  <c r="W305"/>
  <c r="V305"/>
  <c r="W291"/>
  <c r="V291"/>
  <c r="W263"/>
  <c r="V263"/>
  <c r="W279"/>
  <c r="V279"/>
  <c r="W169"/>
  <c r="V169"/>
  <c r="W154"/>
  <c r="V154"/>
  <c r="W131"/>
  <c r="V131"/>
  <c r="W110"/>
  <c r="V110"/>
  <c r="V61"/>
  <c r="W61"/>
  <c r="V40"/>
  <c r="W40"/>
  <c r="V15"/>
  <c r="W15"/>
  <c r="V23"/>
  <c r="W23"/>
  <c r="W351"/>
  <c r="V351"/>
  <c r="W360"/>
  <c r="V360"/>
  <c r="V429"/>
  <c r="W429"/>
  <c r="V497"/>
  <c r="W497"/>
  <c r="W448"/>
  <c r="V448"/>
  <c r="V435"/>
  <c r="W435"/>
  <c r="W420"/>
  <c r="V420"/>
  <c r="V397"/>
  <c r="W397"/>
  <c r="V387"/>
  <c r="W387"/>
  <c r="W373"/>
  <c r="V373"/>
  <c r="W356"/>
  <c r="V356"/>
  <c r="W337"/>
  <c r="V337"/>
  <c r="W306"/>
  <c r="V306"/>
  <c r="W286"/>
  <c r="V286"/>
  <c r="W274"/>
  <c r="V274"/>
  <c r="W213"/>
  <c r="V213"/>
  <c r="W191"/>
  <c r="V191"/>
  <c r="W177"/>
  <c r="V177"/>
  <c r="W159"/>
  <c r="V159"/>
  <c r="W126"/>
  <c r="V126"/>
  <c r="W100"/>
  <c r="V100"/>
  <c r="W86"/>
  <c r="V86"/>
  <c r="V71"/>
  <c r="W71"/>
  <c r="V41"/>
  <c r="W41"/>
  <c r="V29"/>
  <c r="W29"/>
  <c r="W22"/>
  <c r="V22"/>
  <c r="W339"/>
  <c r="V339"/>
  <c r="U161"/>
  <c r="X161"/>
  <c r="U289"/>
  <c r="X289"/>
  <c r="U437"/>
  <c r="X437"/>
  <c r="U148"/>
  <c r="X148"/>
  <c r="U7"/>
  <c r="X7"/>
  <c r="U99"/>
  <c r="X99"/>
  <c r="U411"/>
  <c r="X411"/>
  <c r="U503"/>
  <c r="X503"/>
  <c r="U62"/>
  <c r="X62"/>
  <c r="U82"/>
  <c r="X82"/>
  <c r="X174"/>
  <c r="U174"/>
  <c r="U398"/>
  <c r="X398"/>
  <c r="U461"/>
  <c r="X461"/>
  <c r="W498"/>
  <c r="V498"/>
  <c r="V510"/>
  <c r="W510"/>
  <c r="V488"/>
  <c r="W488"/>
  <c r="W12"/>
  <c r="V12"/>
  <c r="U77"/>
  <c r="X77"/>
  <c r="U285"/>
  <c r="X285"/>
  <c r="U433"/>
  <c r="X433"/>
  <c r="U449"/>
  <c r="X449"/>
  <c r="U24"/>
  <c r="X24"/>
  <c r="U316"/>
  <c r="X316"/>
  <c r="U95"/>
  <c r="X95"/>
  <c r="U367"/>
  <c r="X367"/>
  <c r="U499"/>
  <c r="X499"/>
  <c r="U10"/>
  <c r="X10"/>
  <c r="U74"/>
  <c r="X74"/>
  <c r="U170"/>
  <c r="X170"/>
  <c r="U394"/>
  <c r="X394"/>
  <c r="X482"/>
  <c r="U482"/>
  <c r="W363"/>
  <c r="V363"/>
  <c r="W112"/>
  <c r="V112"/>
  <c r="V505"/>
  <c r="W505"/>
  <c r="V479"/>
  <c r="W479"/>
  <c r="W436"/>
  <c r="V436"/>
  <c r="W421"/>
  <c r="V421"/>
  <c r="W408"/>
  <c r="V408"/>
  <c r="V389"/>
  <c r="W389"/>
  <c r="W376"/>
  <c r="V376"/>
  <c r="W346"/>
  <c r="V346"/>
  <c r="W328"/>
  <c r="V328"/>
  <c r="W307"/>
  <c r="V307"/>
  <c r="W287"/>
  <c r="V287"/>
  <c r="W256"/>
  <c r="V256"/>
  <c r="W277"/>
  <c r="V277"/>
  <c r="W227"/>
  <c r="V227"/>
  <c r="V176"/>
  <c r="W176"/>
  <c r="W151"/>
  <c r="V151"/>
  <c r="V149"/>
  <c r="W149"/>
  <c r="V129"/>
  <c r="W129"/>
  <c r="W102"/>
  <c r="V102"/>
  <c r="W88"/>
  <c r="V88"/>
  <c r="V72"/>
  <c r="W72"/>
  <c r="V63"/>
  <c r="W63"/>
  <c r="W42"/>
  <c r="V42"/>
  <c r="V31"/>
  <c r="W31"/>
  <c r="V21"/>
  <c r="W21"/>
  <c r="W318"/>
  <c r="V318"/>
  <c r="W209"/>
  <c r="V209"/>
  <c r="W507"/>
  <c r="V507"/>
  <c r="V451"/>
  <c r="W451"/>
  <c r="V415"/>
  <c r="W415"/>
  <c r="W404"/>
  <c r="V404"/>
  <c r="V395"/>
  <c r="W395"/>
  <c r="V383"/>
  <c r="W383"/>
  <c r="W368"/>
  <c r="V368"/>
  <c r="W347"/>
  <c r="V347"/>
  <c r="W332"/>
  <c r="V332"/>
  <c r="W308"/>
  <c r="V308"/>
  <c r="W299"/>
  <c r="V299"/>
  <c r="W251"/>
  <c r="V251"/>
  <c r="W276"/>
  <c r="V276"/>
  <c r="W228"/>
  <c r="V228"/>
  <c r="W207"/>
  <c r="V207"/>
  <c r="W162"/>
  <c r="V162"/>
  <c r="W136"/>
  <c r="V136"/>
  <c r="W108"/>
  <c r="V108"/>
  <c r="V79"/>
  <c r="W79"/>
  <c r="V69"/>
  <c r="W69"/>
  <c r="V59"/>
  <c r="W59"/>
  <c r="V39"/>
  <c r="W39"/>
  <c r="W365"/>
  <c r="V365"/>
  <c r="W322"/>
  <c r="V322"/>
  <c r="W438"/>
  <c r="V438"/>
  <c r="W424"/>
  <c r="V424"/>
  <c r="W405"/>
  <c r="V405"/>
  <c r="W396"/>
  <c r="V396"/>
  <c r="W385"/>
  <c r="V385"/>
  <c r="W370"/>
  <c r="V370"/>
  <c r="W354"/>
  <c r="V354"/>
  <c r="W335"/>
  <c r="V335"/>
  <c r="W315"/>
  <c r="V315"/>
  <c r="W300"/>
  <c r="V300"/>
  <c r="W248"/>
  <c r="V248"/>
  <c r="W275"/>
  <c r="V275"/>
  <c r="W236"/>
  <c r="V236"/>
  <c r="V208"/>
  <c r="W208"/>
  <c r="V165"/>
  <c r="W165"/>
  <c r="W146"/>
  <c r="V146"/>
  <c r="V121"/>
  <c r="W121"/>
  <c r="V84"/>
  <c r="W84"/>
  <c r="V65"/>
  <c r="W65"/>
  <c r="V44"/>
  <c r="W44"/>
  <c r="V33"/>
  <c r="W33"/>
  <c r="V19"/>
  <c r="W19"/>
  <c r="V27"/>
  <c r="W27"/>
  <c r="V8"/>
  <c r="W8"/>
  <c r="V14"/>
  <c r="W14"/>
  <c r="V459"/>
  <c r="W459"/>
  <c r="V425"/>
  <c r="W425"/>
  <c r="W412"/>
  <c r="V412"/>
  <c r="V393"/>
  <c r="W393"/>
  <c r="W380"/>
  <c r="V380"/>
  <c r="W366"/>
  <c r="V366"/>
  <c r="W345"/>
  <c r="V345"/>
  <c r="W296"/>
  <c r="V296"/>
  <c r="V246"/>
  <c r="W246"/>
  <c r="W278"/>
  <c r="V278"/>
  <c r="V205"/>
  <c r="W205"/>
  <c r="V173"/>
  <c r="W173"/>
  <c r="V153"/>
  <c r="W153"/>
  <c r="W138"/>
  <c r="V138"/>
  <c r="W116"/>
  <c r="V116"/>
  <c r="V81"/>
  <c r="W81"/>
  <c r="V45"/>
  <c r="W45"/>
  <c r="W34"/>
  <c r="V34"/>
  <c r="W18"/>
  <c r="V18"/>
  <c r="W26"/>
  <c r="V26"/>
  <c r="U257"/>
  <c r="X257"/>
  <c r="U301"/>
  <c r="X301"/>
  <c r="U445"/>
  <c r="X445"/>
  <c r="U20"/>
  <c r="X20"/>
  <c r="U188"/>
  <c r="X188"/>
  <c r="U83"/>
  <c r="X83"/>
  <c r="U223"/>
  <c r="X223"/>
  <c r="U491"/>
  <c r="X491"/>
  <c r="U6"/>
  <c r="X6"/>
  <c r="U70"/>
  <c r="X70"/>
  <c r="X166"/>
  <c r="U166"/>
  <c r="X206"/>
  <c r="U206"/>
  <c r="U406"/>
  <c r="X406"/>
  <c r="U37"/>
  <c r="X37"/>
  <c r="V492"/>
  <c r="W492"/>
  <c r="W198"/>
  <c r="V198"/>
  <c r="V480"/>
  <c r="W480"/>
  <c r="W182"/>
  <c r="V182"/>
  <c r="W494"/>
  <c r="V494"/>
  <c r="W470"/>
  <c r="V470"/>
  <c r="V504"/>
  <c r="W504"/>
  <c r="V484"/>
  <c r="W484"/>
  <c r="U75"/>
  <c r="V75" s="1"/>
  <c r="X75"/>
  <c r="AA198"/>
  <c r="Z161"/>
  <c r="AA161" s="1"/>
  <c r="Z289"/>
  <c r="AA289" s="1"/>
  <c r="Z99"/>
  <c r="AA99" s="1"/>
  <c r="Z411"/>
  <c r="AA411" s="1"/>
  <c r="Z62"/>
  <c r="AA62" s="1"/>
  <c r="Z461"/>
  <c r="AA461" s="1"/>
  <c r="AA191"/>
  <c r="Z285"/>
  <c r="AA285" s="1"/>
  <c r="Z449"/>
  <c r="AA449" s="1"/>
  <c r="Z499"/>
  <c r="AA499" s="1"/>
  <c r="Z74"/>
  <c r="AA74" s="1"/>
  <c r="Z394"/>
  <c r="AA394" s="1"/>
  <c r="Z482"/>
  <c r="AA482" s="1"/>
  <c r="Z257"/>
  <c r="AA257" s="1"/>
  <c r="Z301"/>
  <c r="AA301" s="1"/>
  <c r="Z188"/>
  <c r="Z223"/>
  <c r="AA223" s="1"/>
  <c r="Z491"/>
  <c r="AA491" s="1"/>
  <c r="Z206"/>
  <c r="AA206" s="1"/>
  <c r="Z406"/>
  <c r="AA406" s="1"/>
  <c r="Z441"/>
  <c r="AA441" s="1"/>
  <c r="Z16"/>
  <c r="AA16" s="1"/>
  <c r="Z180"/>
  <c r="AA180" s="1"/>
  <c r="Z11"/>
  <c r="AA11" s="1"/>
  <c r="Z175"/>
  <c r="AA175" s="1"/>
  <c r="Z66"/>
  <c r="AA66" s="1"/>
  <c r="F291"/>
  <c r="F289"/>
  <c r="F285"/>
  <c r="F286"/>
  <c r="F287"/>
  <c r="F283"/>
  <c r="D307"/>
  <c r="D299"/>
  <c r="D300"/>
  <c r="D301"/>
  <c r="D302"/>
  <c r="D296"/>
  <c r="D297"/>
  <c r="D291"/>
  <c r="D289"/>
  <c r="D285"/>
  <c r="D286"/>
  <c r="D287"/>
  <c r="D283"/>
  <c r="F273"/>
  <c r="F274"/>
  <c r="F275"/>
  <c r="F276"/>
  <c r="F277"/>
  <c r="F278"/>
  <c r="F279"/>
  <c r="F280"/>
  <c r="F281"/>
  <c r="D273"/>
  <c r="D274"/>
  <c r="D275"/>
  <c r="D276"/>
  <c r="D277"/>
  <c r="D278"/>
  <c r="D279"/>
  <c r="D280"/>
  <c r="D281"/>
  <c r="F265"/>
  <c r="D265"/>
  <c r="F263"/>
  <c r="D263"/>
  <c r="F256"/>
  <c r="F257"/>
  <c r="D256"/>
  <c r="D257"/>
  <c r="F240"/>
  <c r="D240"/>
  <c r="F236"/>
  <c r="F237"/>
  <c r="D236"/>
  <c r="D237"/>
  <c r="F227"/>
  <c r="F228"/>
  <c r="D227"/>
  <c r="D228"/>
  <c r="F223"/>
  <c r="D223"/>
  <c r="F221"/>
  <c r="D221"/>
  <c r="F213"/>
  <c r="D213"/>
  <c r="F209"/>
  <c r="D208"/>
  <c r="D205"/>
  <c r="D206"/>
  <c r="D202"/>
  <c r="F169"/>
  <c r="F170"/>
  <c r="D169"/>
  <c r="D170"/>
  <c r="F165"/>
  <c r="F166"/>
  <c r="D165"/>
  <c r="D166"/>
  <c r="F161"/>
  <c r="F162"/>
  <c r="D161"/>
  <c r="D162"/>
  <c r="F158"/>
  <c r="F159"/>
  <c r="D158"/>
  <c r="D159"/>
  <c r="F148"/>
  <c r="F149"/>
  <c r="D148"/>
  <c r="D149"/>
  <c r="F144"/>
  <c r="F145"/>
  <c r="F146"/>
  <c r="D144"/>
  <c r="D145"/>
  <c r="D146"/>
  <c r="F136"/>
  <c r="D136"/>
  <c r="F131"/>
  <c r="D131"/>
  <c r="F129"/>
  <c r="D129"/>
  <c r="F126"/>
  <c r="D126"/>
  <c r="F119"/>
  <c r="F120"/>
  <c r="F121"/>
  <c r="D119"/>
  <c r="D120"/>
  <c r="D121"/>
  <c r="F116"/>
  <c r="D116"/>
  <c r="F110"/>
  <c r="D110"/>
  <c r="F102"/>
  <c r="D102"/>
  <c r="F95"/>
  <c r="F96"/>
  <c r="F97"/>
  <c r="F98"/>
  <c r="F99"/>
  <c r="F100"/>
  <c r="D95"/>
  <c r="D96"/>
  <c r="D97"/>
  <c r="D98"/>
  <c r="D99"/>
  <c r="D100"/>
  <c r="F91"/>
  <c r="D91"/>
  <c r="F88"/>
  <c r="D88"/>
  <c r="F86"/>
  <c r="D86"/>
  <c r="F84"/>
  <c r="D84"/>
  <c r="F79"/>
  <c r="F80"/>
  <c r="F81"/>
  <c r="F82"/>
  <c r="D79"/>
  <c r="D80"/>
  <c r="D81"/>
  <c r="D82"/>
  <c r="F61"/>
  <c r="F62"/>
  <c r="F63"/>
  <c r="F64"/>
  <c r="F65"/>
  <c r="F66"/>
  <c r="F67"/>
  <c r="F68"/>
  <c r="F69"/>
  <c r="F70"/>
  <c r="F71"/>
  <c r="F72"/>
  <c r="F73"/>
  <c r="F74"/>
  <c r="F75"/>
  <c r="F76"/>
  <c r="D61"/>
  <c r="D62"/>
  <c r="D63"/>
  <c r="D64"/>
  <c r="D65"/>
  <c r="D66"/>
  <c r="D67"/>
  <c r="D68"/>
  <c r="D69"/>
  <c r="D70"/>
  <c r="D71"/>
  <c r="D72"/>
  <c r="D73"/>
  <c r="D74"/>
  <c r="D75"/>
  <c r="D76"/>
  <c r="D77"/>
  <c r="F77"/>
  <c r="D78"/>
  <c r="F78"/>
  <c r="N78"/>
  <c r="M78" s="1"/>
  <c r="D83"/>
  <c r="F83"/>
  <c r="D85"/>
  <c r="F85"/>
  <c r="N85"/>
  <c r="M85" s="1"/>
  <c r="D87"/>
  <c r="F87"/>
  <c r="N87"/>
  <c r="M87" s="1"/>
  <c r="D89"/>
  <c r="F89"/>
  <c r="N89"/>
  <c r="M89" s="1"/>
  <c r="D90"/>
  <c r="F90"/>
  <c r="N90"/>
  <c r="M90" s="1"/>
  <c r="D92"/>
  <c r="F92"/>
  <c r="N92"/>
  <c r="M92" s="1"/>
  <c r="D93"/>
  <c r="F93"/>
  <c r="N93"/>
  <c r="M93" s="1"/>
  <c r="D94"/>
  <c r="F94"/>
  <c r="N94"/>
  <c r="M94" s="1"/>
  <c r="F59"/>
  <c r="D59"/>
  <c r="F44"/>
  <c r="F45"/>
  <c r="F46"/>
  <c r="D44"/>
  <c r="D45"/>
  <c r="D46"/>
  <c r="W96" l="1"/>
  <c r="W80"/>
  <c r="W439"/>
  <c r="W471"/>
  <c r="W399"/>
  <c r="V358"/>
  <c r="W463"/>
  <c r="W221"/>
  <c r="V325"/>
  <c r="V37"/>
  <c r="W37"/>
  <c r="W70"/>
  <c r="V70"/>
  <c r="V491"/>
  <c r="W491"/>
  <c r="V83"/>
  <c r="W83"/>
  <c r="V20"/>
  <c r="W20"/>
  <c r="W301"/>
  <c r="V301"/>
  <c r="W170"/>
  <c r="V170"/>
  <c r="V10"/>
  <c r="W10"/>
  <c r="W367"/>
  <c r="V367"/>
  <c r="W316"/>
  <c r="V316"/>
  <c r="W449"/>
  <c r="V449"/>
  <c r="W285"/>
  <c r="V285"/>
  <c r="V461"/>
  <c r="W461"/>
  <c r="W62"/>
  <c r="V62"/>
  <c r="V411"/>
  <c r="W411"/>
  <c r="V7"/>
  <c r="W7"/>
  <c r="V437"/>
  <c r="W437"/>
  <c r="V161"/>
  <c r="W161"/>
  <c r="V402"/>
  <c r="W402"/>
  <c r="W98"/>
  <c r="V98"/>
  <c r="V487"/>
  <c r="W487"/>
  <c r="V11"/>
  <c r="W11"/>
  <c r="W16"/>
  <c r="V16"/>
  <c r="W297"/>
  <c r="V297"/>
  <c r="V407"/>
  <c r="W407"/>
  <c r="W75"/>
  <c r="W206"/>
  <c r="V206"/>
  <c r="V482"/>
  <c r="W482"/>
  <c r="W174"/>
  <c r="V174"/>
  <c r="V406"/>
  <c r="W406"/>
  <c r="V6"/>
  <c r="W6"/>
  <c r="W223"/>
  <c r="V223"/>
  <c r="V188"/>
  <c r="W188"/>
  <c r="W445"/>
  <c r="V445"/>
  <c r="W257"/>
  <c r="V257"/>
  <c r="W394"/>
  <c r="V394"/>
  <c r="W74"/>
  <c r="V74"/>
  <c r="V499"/>
  <c r="W499"/>
  <c r="W95"/>
  <c r="V95"/>
  <c r="V24"/>
  <c r="W24"/>
  <c r="W433"/>
  <c r="V433"/>
  <c r="V77"/>
  <c r="W77"/>
  <c r="V398"/>
  <c r="W398"/>
  <c r="W82"/>
  <c r="V82"/>
  <c r="V503"/>
  <c r="W503"/>
  <c r="V99"/>
  <c r="W99"/>
  <c r="W148"/>
  <c r="V148"/>
  <c r="W289"/>
  <c r="V289"/>
  <c r="W202"/>
  <c r="V202"/>
  <c r="W66"/>
  <c r="V66"/>
  <c r="W175"/>
  <c r="V175"/>
  <c r="V180"/>
  <c r="W180"/>
  <c r="V441"/>
  <c r="W441"/>
  <c r="W237"/>
  <c r="V237"/>
  <c r="W166"/>
  <c r="V166"/>
  <c r="AA188"/>
  <c r="O90"/>
  <c r="S90" s="1"/>
  <c r="T90" s="1"/>
  <c r="K90"/>
  <c r="K89"/>
  <c r="O89"/>
  <c r="S89" s="1"/>
  <c r="T89" s="1"/>
  <c r="K94"/>
  <c r="O94"/>
  <c r="S94" s="1"/>
  <c r="T94" s="1"/>
  <c r="O93"/>
  <c r="S93" s="1"/>
  <c r="T93" s="1"/>
  <c r="K93"/>
  <c r="K87"/>
  <c r="O87"/>
  <c r="S87" s="1"/>
  <c r="T87" s="1"/>
  <c r="O78"/>
  <c r="S78" s="1"/>
  <c r="T78" s="1"/>
  <c r="K78"/>
  <c r="O92"/>
  <c r="S92" s="1"/>
  <c r="T92" s="1"/>
  <c r="K92"/>
  <c r="O85"/>
  <c r="S85" s="1"/>
  <c r="T85" s="1"/>
  <c r="K85"/>
  <c r="F37"/>
  <c r="F38"/>
  <c r="F39"/>
  <c r="F40"/>
  <c r="F41"/>
  <c r="F42"/>
  <c r="D37"/>
  <c r="D38"/>
  <c r="D39"/>
  <c r="D40"/>
  <c r="D41"/>
  <c r="D42"/>
  <c r="D43"/>
  <c r="F43"/>
  <c r="D47"/>
  <c r="F47"/>
  <c r="N47"/>
  <c r="M47" s="1"/>
  <c r="D48"/>
  <c r="F48"/>
  <c r="N48"/>
  <c r="M48" s="1"/>
  <c r="D49"/>
  <c r="F49"/>
  <c r="N49"/>
  <c r="M49" s="1"/>
  <c r="D50"/>
  <c r="F50"/>
  <c r="N50"/>
  <c r="M50" s="1"/>
  <c r="D51"/>
  <c r="F51"/>
  <c r="N51"/>
  <c r="M51" s="1"/>
  <c r="D52"/>
  <c r="F52"/>
  <c r="N52"/>
  <c r="M52" s="1"/>
  <c r="D53"/>
  <c r="F53"/>
  <c r="N53"/>
  <c r="M53" s="1"/>
  <c r="D54"/>
  <c r="F54"/>
  <c r="N54"/>
  <c r="M54" s="1"/>
  <c r="D55"/>
  <c r="F55"/>
  <c r="N55"/>
  <c r="M55" s="1"/>
  <c r="D36"/>
  <c r="F36"/>
  <c r="N36"/>
  <c r="M36" s="1"/>
  <c r="F31"/>
  <c r="F32"/>
  <c r="F33"/>
  <c r="F34"/>
  <c r="D31"/>
  <c r="D32"/>
  <c r="D33"/>
  <c r="D34"/>
  <c r="F29"/>
  <c r="D29"/>
  <c r="F16"/>
  <c r="F17"/>
  <c r="F18"/>
  <c r="F19"/>
  <c r="F20"/>
  <c r="F21"/>
  <c r="F22"/>
  <c r="F23"/>
  <c r="F24"/>
  <c r="F25"/>
  <c r="F26"/>
  <c r="F27"/>
  <c r="D16"/>
  <c r="D17"/>
  <c r="D18"/>
  <c r="D19"/>
  <c r="D20"/>
  <c r="D21"/>
  <c r="D22"/>
  <c r="D23"/>
  <c r="D24"/>
  <c r="D25"/>
  <c r="D26"/>
  <c r="D27"/>
  <c r="D13"/>
  <c r="D14"/>
  <c r="D15"/>
  <c r="F15"/>
  <c r="F14"/>
  <c r="F5"/>
  <c r="F6"/>
  <c r="F7"/>
  <c r="F8"/>
  <c r="F9"/>
  <c r="F10"/>
  <c r="F11"/>
  <c r="F12"/>
  <c r="D5"/>
  <c r="D6"/>
  <c r="D7"/>
  <c r="D8"/>
  <c r="D9"/>
  <c r="D10"/>
  <c r="D11"/>
  <c r="D12"/>
  <c r="F13"/>
  <c r="N13"/>
  <c r="M13" s="1"/>
  <c r="O13" s="1"/>
  <c r="D28"/>
  <c r="F28"/>
  <c r="N28"/>
  <c r="M28" s="1"/>
  <c r="D30"/>
  <c r="F30"/>
  <c r="N30"/>
  <c r="M30" s="1"/>
  <c r="D35"/>
  <c r="F35"/>
  <c r="N35"/>
  <c r="M35" s="1"/>
  <c r="U87" l="1"/>
  <c r="X87"/>
  <c r="U94"/>
  <c r="X94"/>
  <c r="U85"/>
  <c r="X85"/>
  <c r="U78"/>
  <c r="X78"/>
  <c r="U93"/>
  <c r="X93"/>
  <c r="U89"/>
  <c r="X89"/>
  <c r="U92"/>
  <c r="X92"/>
  <c r="U90"/>
  <c r="X90"/>
  <c r="O55"/>
  <c r="S55" s="1"/>
  <c r="T55" s="1"/>
  <c r="K55"/>
  <c r="O51"/>
  <c r="S51" s="1"/>
  <c r="T51" s="1"/>
  <c r="K51"/>
  <c r="O47"/>
  <c r="S47" s="1"/>
  <c r="T47" s="1"/>
  <c r="K47"/>
  <c r="O28"/>
  <c r="S28" s="1"/>
  <c r="T28" s="1"/>
  <c r="K28"/>
  <c r="O54"/>
  <c r="S54" s="1"/>
  <c r="T54" s="1"/>
  <c r="K54"/>
  <c r="O50"/>
  <c r="S50" s="1"/>
  <c r="T50" s="1"/>
  <c r="K50"/>
  <c r="O35"/>
  <c r="S35" s="1"/>
  <c r="T35" s="1"/>
  <c r="K35"/>
  <c r="K30"/>
  <c r="O30"/>
  <c r="S30" s="1"/>
  <c r="T30" s="1"/>
  <c r="O53"/>
  <c r="S53" s="1"/>
  <c r="T53" s="1"/>
  <c r="K53"/>
  <c r="O49"/>
  <c r="S49" s="1"/>
  <c r="T49" s="1"/>
  <c r="K49"/>
  <c r="O36"/>
  <c r="S36" s="1"/>
  <c r="T36" s="1"/>
  <c r="K36"/>
  <c r="O52"/>
  <c r="S52" s="1"/>
  <c r="T52" s="1"/>
  <c r="K52"/>
  <c r="O48"/>
  <c r="S48" s="1"/>
  <c r="T48" s="1"/>
  <c r="K48"/>
  <c r="Z85"/>
  <c r="AA85" s="1"/>
  <c r="Z94"/>
  <c r="AA94" s="1"/>
  <c r="K13"/>
  <c r="S13"/>
  <c r="T13" s="1"/>
  <c r="X13" s="1"/>
  <c r="F504"/>
  <c r="F505"/>
  <c r="D504"/>
  <c r="D505"/>
  <c r="N172"/>
  <c r="M172" s="1"/>
  <c r="N183"/>
  <c r="M183" s="1"/>
  <c r="Z138"/>
  <c r="AA138" s="1"/>
  <c r="U52" l="1"/>
  <c r="X52"/>
  <c r="U49"/>
  <c r="X49"/>
  <c r="U50"/>
  <c r="X50"/>
  <c r="U51"/>
  <c r="X51"/>
  <c r="W90"/>
  <c r="V90"/>
  <c r="W78"/>
  <c r="V78"/>
  <c r="W94"/>
  <c r="V94"/>
  <c r="U30"/>
  <c r="X30"/>
  <c r="U48"/>
  <c r="X48"/>
  <c r="U36"/>
  <c r="X36"/>
  <c r="U53"/>
  <c r="X53"/>
  <c r="U35"/>
  <c r="X35"/>
  <c r="U54"/>
  <c r="X54"/>
  <c r="U47"/>
  <c r="X47"/>
  <c r="U55"/>
  <c r="X55"/>
  <c r="W92"/>
  <c r="V92"/>
  <c r="V93"/>
  <c r="W93"/>
  <c r="V85"/>
  <c r="W85"/>
  <c r="V87"/>
  <c r="W87"/>
  <c r="U28"/>
  <c r="X28"/>
  <c r="V89"/>
  <c r="W89"/>
  <c r="O172"/>
  <c r="S172" s="1"/>
  <c r="T172" s="1"/>
  <c r="K172"/>
  <c r="K183"/>
  <c r="O183"/>
  <c r="S183" s="1"/>
  <c r="T183" s="1"/>
  <c r="Z55"/>
  <c r="AA55" s="1"/>
  <c r="U13"/>
  <c r="N252"/>
  <c r="M252" s="1"/>
  <c r="N254"/>
  <c r="M254" s="1"/>
  <c r="N204"/>
  <c r="M204" s="1"/>
  <c r="N264"/>
  <c r="M264" s="1"/>
  <c r="N160"/>
  <c r="M160" s="1"/>
  <c r="N156"/>
  <c r="M156" s="1"/>
  <c r="N270"/>
  <c r="M270" s="1"/>
  <c r="N255"/>
  <c r="M255" s="1"/>
  <c r="N192"/>
  <c r="M192" s="1"/>
  <c r="F251"/>
  <c r="D251"/>
  <c r="N258"/>
  <c r="M258" s="1"/>
  <c r="N260"/>
  <c r="M260" s="1"/>
  <c r="N261"/>
  <c r="M261" s="1"/>
  <c r="N267"/>
  <c r="M267" s="1"/>
  <c r="N272"/>
  <c r="M272" s="1"/>
  <c r="N271"/>
  <c r="M271" s="1"/>
  <c r="N266"/>
  <c r="M266" s="1"/>
  <c r="N268"/>
  <c r="M268" s="1"/>
  <c r="N458"/>
  <c r="O458" s="1"/>
  <c r="S458" s="1"/>
  <c r="T458" s="1"/>
  <c r="N233"/>
  <c r="O233" s="1"/>
  <c r="S233" s="1"/>
  <c r="T233" s="1"/>
  <c r="N212"/>
  <c r="O212" s="1"/>
  <c r="S212" s="1"/>
  <c r="T212" s="1"/>
  <c r="N189"/>
  <c r="O189" s="1"/>
  <c r="S189" s="1"/>
  <c r="T189" s="1"/>
  <c r="N464"/>
  <c r="O464" s="1"/>
  <c r="S464" s="1"/>
  <c r="T464" s="1"/>
  <c r="N123"/>
  <c r="O123" s="1"/>
  <c r="S123" s="1"/>
  <c r="T123" s="1"/>
  <c r="N101"/>
  <c r="O101" s="1"/>
  <c r="S101" s="1"/>
  <c r="T101" s="1"/>
  <c r="N106"/>
  <c r="O106" s="1"/>
  <c r="S106" s="1"/>
  <c r="T106" s="1"/>
  <c r="F503"/>
  <c r="D503"/>
  <c r="N115"/>
  <c r="M115" s="1"/>
  <c r="N142"/>
  <c r="M142" s="1"/>
  <c r="N143"/>
  <c r="M143" s="1"/>
  <c r="D442"/>
  <c r="F442"/>
  <c r="N442"/>
  <c r="M442" s="1"/>
  <c r="N124"/>
  <c r="M124" s="1"/>
  <c r="N104"/>
  <c r="M104" s="1"/>
  <c r="N107"/>
  <c r="M107" s="1"/>
  <c r="N496"/>
  <c r="M496" s="1"/>
  <c r="N489"/>
  <c r="M489" s="1"/>
  <c r="N490"/>
  <c r="M490" s="1"/>
  <c r="N486"/>
  <c r="M486" s="1"/>
  <c r="F124"/>
  <c r="D444"/>
  <c r="F444"/>
  <c r="N444"/>
  <c r="M444" s="1"/>
  <c r="N457"/>
  <c r="M457" s="1"/>
  <c r="N455"/>
  <c r="M455" s="1"/>
  <c r="N453"/>
  <c r="M453" s="1"/>
  <c r="N450"/>
  <c r="M450" s="1"/>
  <c r="N443"/>
  <c r="M443" s="1"/>
  <c r="N446"/>
  <c r="M446" s="1"/>
  <c r="N447"/>
  <c r="M447" s="1"/>
  <c r="N331"/>
  <c r="M331" s="1"/>
  <c r="N312"/>
  <c r="M312" s="1"/>
  <c r="N359"/>
  <c r="M359" s="1"/>
  <c r="N336"/>
  <c r="M336" s="1"/>
  <c r="N340"/>
  <c r="M340" s="1"/>
  <c r="N338"/>
  <c r="M338" s="1"/>
  <c r="F138"/>
  <c r="D138"/>
  <c r="F308"/>
  <c r="D308"/>
  <c r="F108"/>
  <c r="D108"/>
  <c r="N113"/>
  <c r="O113" s="1"/>
  <c r="S113" s="1"/>
  <c r="T113" s="1"/>
  <c r="N333"/>
  <c r="O333" s="1"/>
  <c r="S333" s="1"/>
  <c r="T333" s="1"/>
  <c r="N319"/>
  <c r="O319" s="1"/>
  <c r="S319" s="1"/>
  <c r="T319" s="1"/>
  <c r="N501"/>
  <c r="O501" s="1"/>
  <c r="S501" s="1"/>
  <c r="T501" s="1"/>
  <c r="N125"/>
  <c r="O125" s="1"/>
  <c r="S125" s="1"/>
  <c r="T125" s="1"/>
  <c r="N282"/>
  <c r="O282" s="1"/>
  <c r="S282" s="1"/>
  <c r="T282" s="1"/>
  <c r="N341"/>
  <c r="O341" s="1"/>
  <c r="S341" s="1"/>
  <c r="T341" s="1"/>
  <c r="N348"/>
  <c r="O348" s="1"/>
  <c r="S348" s="1"/>
  <c r="T348" s="1"/>
  <c r="N117"/>
  <c r="O117" s="1"/>
  <c r="S117" s="1"/>
  <c r="T117" s="1"/>
  <c r="N284"/>
  <c r="O284" s="1"/>
  <c r="S284" s="1"/>
  <c r="T284" s="1"/>
  <c r="N313"/>
  <c r="O313" s="1"/>
  <c r="S313" s="1"/>
  <c r="T313" s="1"/>
  <c r="N314"/>
  <c r="O314" s="1"/>
  <c r="S314" s="1"/>
  <c r="T314" s="1"/>
  <c r="N303"/>
  <c r="O303" s="1"/>
  <c r="S303" s="1"/>
  <c r="T303" s="1"/>
  <c r="N309"/>
  <c r="O309" s="1"/>
  <c r="S309" s="1"/>
  <c r="T309" s="1"/>
  <c r="N127"/>
  <c r="O127" s="1"/>
  <c r="S127" s="1"/>
  <c r="T127" s="1"/>
  <c r="N311"/>
  <c r="O311" s="1"/>
  <c r="S311" s="1"/>
  <c r="T311" s="1"/>
  <c r="N105"/>
  <c r="O105" s="1"/>
  <c r="S105" s="1"/>
  <c r="T105" s="1"/>
  <c r="U303" l="1"/>
  <c r="X303"/>
  <c r="U113"/>
  <c r="X113"/>
  <c r="U212"/>
  <c r="X212"/>
  <c r="U309"/>
  <c r="X309"/>
  <c r="U284"/>
  <c r="X284"/>
  <c r="U333"/>
  <c r="X333"/>
  <c r="U189"/>
  <c r="X189"/>
  <c r="V35"/>
  <c r="W35"/>
  <c r="W30"/>
  <c r="V30"/>
  <c r="U127"/>
  <c r="X127"/>
  <c r="U313"/>
  <c r="X313"/>
  <c r="U341"/>
  <c r="X341"/>
  <c r="U319"/>
  <c r="X319"/>
  <c r="U464"/>
  <c r="X464"/>
  <c r="U458"/>
  <c r="X458"/>
  <c r="U311"/>
  <c r="X311"/>
  <c r="U314"/>
  <c r="X314"/>
  <c r="U348"/>
  <c r="X348"/>
  <c r="U501"/>
  <c r="X501"/>
  <c r="U123"/>
  <c r="X123"/>
  <c r="U233"/>
  <c r="X233"/>
  <c r="V55"/>
  <c r="W55"/>
  <c r="W54"/>
  <c r="V54"/>
  <c r="V53"/>
  <c r="W53"/>
  <c r="W48"/>
  <c r="V48"/>
  <c r="W50"/>
  <c r="V50"/>
  <c r="V52"/>
  <c r="W52"/>
  <c r="U105"/>
  <c r="X105"/>
  <c r="U183"/>
  <c r="X183"/>
  <c r="U117"/>
  <c r="X117"/>
  <c r="U282"/>
  <c r="X282"/>
  <c r="U106"/>
  <c r="X106"/>
  <c r="V28"/>
  <c r="W28"/>
  <c r="V47"/>
  <c r="W47"/>
  <c r="V51"/>
  <c r="W51"/>
  <c r="V49"/>
  <c r="W49"/>
  <c r="U125"/>
  <c r="X125"/>
  <c r="U101"/>
  <c r="X101"/>
  <c r="U172"/>
  <c r="X172"/>
  <c r="W36"/>
  <c r="V36"/>
  <c r="Z311"/>
  <c r="AA311" s="1"/>
  <c r="Z233"/>
  <c r="AA233" s="1"/>
  <c r="Z458"/>
  <c r="AA458" s="1"/>
  <c r="Z314"/>
  <c r="AA314" s="1"/>
  <c r="Z303"/>
  <c r="AA303" s="1"/>
  <c r="O338"/>
  <c r="S338" s="1"/>
  <c r="T338" s="1"/>
  <c r="K338"/>
  <c r="O443"/>
  <c r="S443" s="1"/>
  <c r="T443" s="1"/>
  <c r="K443"/>
  <c r="O442"/>
  <c r="S442" s="1"/>
  <c r="T442" s="1"/>
  <c r="K442"/>
  <c r="K359"/>
  <c r="O359"/>
  <c r="S359" s="1"/>
  <c r="T359" s="1"/>
  <c r="O446"/>
  <c r="S446" s="1"/>
  <c r="T446" s="1"/>
  <c r="K446"/>
  <c r="O455"/>
  <c r="S455" s="1"/>
  <c r="T455" s="1"/>
  <c r="K455"/>
  <c r="O489"/>
  <c r="S489" s="1"/>
  <c r="T489" s="1"/>
  <c r="K489"/>
  <c r="K124"/>
  <c r="O124"/>
  <c r="S124" s="1"/>
  <c r="T124" s="1"/>
  <c r="K143"/>
  <c r="O143"/>
  <c r="S143" s="1"/>
  <c r="T143" s="1"/>
  <c r="O272"/>
  <c r="S272" s="1"/>
  <c r="T272" s="1"/>
  <c r="K272"/>
  <c r="K258"/>
  <c r="O258"/>
  <c r="S258" s="1"/>
  <c r="T258" s="1"/>
  <c r="O255"/>
  <c r="S255" s="1"/>
  <c r="T255" s="1"/>
  <c r="K255"/>
  <c r="O264"/>
  <c r="S264" s="1"/>
  <c r="T264" s="1"/>
  <c r="K264"/>
  <c r="K312"/>
  <c r="O312"/>
  <c r="S312" s="1"/>
  <c r="T312" s="1"/>
  <c r="O496"/>
  <c r="S496" s="1"/>
  <c r="T496" s="1"/>
  <c r="K496"/>
  <c r="O447"/>
  <c r="S447" s="1"/>
  <c r="T447" s="1"/>
  <c r="K447"/>
  <c r="O453"/>
  <c r="S453" s="1"/>
  <c r="T453" s="1"/>
  <c r="K453"/>
  <c r="O490"/>
  <c r="S490" s="1"/>
  <c r="T490" s="1"/>
  <c r="K490"/>
  <c r="O104"/>
  <c r="S104" s="1"/>
  <c r="T104" s="1"/>
  <c r="K104"/>
  <c r="O271"/>
  <c r="S271" s="1"/>
  <c r="T271" s="1"/>
  <c r="K271"/>
  <c r="O260"/>
  <c r="S260" s="1"/>
  <c r="T260" s="1"/>
  <c r="K260"/>
  <c r="O192"/>
  <c r="S192" s="1"/>
  <c r="T192" s="1"/>
  <c r="K192"/>
  <c r="O160"/>
  <c r="S160" s="1"/>
  <c r="T160" s="1"/>
  <c r="K160"/>
  <c r="O252"/>
  <c r="S252" s="1"/>
  <c r="T252" s="1"/>
  <c r="K252"/>
  <c r="O457"/>
  <c r="S457" s="1"/>
  <c r="T457" s="1"/>
  <c r="K457"/>
  <c r="O268"/>
  <c r="S268" s="1"/>
  <c r="T268" s="1"/>
  <c r="K268"/>
  <c r="O336"/>
  <c r="S336" s="1"/>
  <c r="T336" s="1"/>
  <c r="K336"/>
  <c r="K340"/>
  <c r="O340"/>
  <c r="S340" s="1"/>
  <c r="T340" s="1"/>
  <c r="O331"/>
  <c r="S331" s="1"/>
  <c r="T331" s="1"/>
  <c r="K331"/>
  <c r="O450"/>
  <c r="S450" s="1"/>
  <c r="T450" s="1"/>
  <c r="K450"/>
  <c r="O444"/>
  <c r="S444" s="1"/>
  <c r="T444" s="1"/>
  <c r="K444"/>
  <c r="O486"/>
  <c r="S486" s="1"/>
  <c r="T486" s="1"/>
  <c r="K486"/>
  <c r="O107"/>
  <c r="S107" s="1"/>
  <c r="T107" s="1"/>
  <c r="K107"/>
  <c r="O115"/>
  <c r="S115" s="1"/>
  <c r="T115" s="1"/>
  <c r="K115"/>
  <c r="O266"/>
  <c r="S266" s="1"/>
  <c r="T266" s="1"/>
  <c r="K266"/>
  <c r="O261"/>
  <c r="S261" s="1"/>
  <c r="T261" s="1"/>
  <c r="K261"/>
  <c r="K156"/>
  <c r="O156"/>
  <c r="S156" s="1"/>
  <c r="T156" s="1"/>
  <c r="O254"/>
  <c r="S254" s="1"/>
  <c r="T254" s="1"/>
  <c r="K254"/>
  <c r="O142"/>
  <c r="S142" s="1"/>
  <c r="T142" s="1"/>
  <c r="K142"/>
  <c r="O267"/>
  <c r="S267" s="1"/>
  <c r="T267" s="1"/>
  <c r="K267"/>
  <c r="O270"/>
  <c r="S270" s="1"/>
  <c r="T270" s="1"/>
  <c r="K270"/>
  <c r="O204"/>
  <c r="S204" s="1"/>
  <c r="T204" s="1"/>
  <c r="K204"/>
  <c r="V13"/>
  <c r="W13"/>
  <c r="N109"/>
  <c r="O109" s="1"/>
  <c r="S109" s="1"/>
  <c r="T109" s="1"/>
  <c r="N122"/>
  <c r="O122" s="1"/>
  <c r="S122" s="1"/>
  <c r="T122" s="1"/>
  <c r="N103"/>
  <c r="O103" s="1"/>
  <c r="S103" s="1"/>
  <c r="T103" s="1"/>
  <c r="U103" l="1"/>
  <c r="X103"/>
  <c r="U142"/>
  <c r="X142"/>
  <c r="U444"/>
  <c r="X444"/>
  <c r="U457"/>
  <c r="X457"/>
  <c r="U260"/>
  <c r="X260"/>
  <c r="X496"/>
  <c r="U496"/>
  <c r="U338"/>
  <c r="X338"/>
  <c r="U156"/>
  <c r="X156"/>
  <c r="U258"/>
  <c r="X258"/>
  <c r="W106"/>
  <c r="V106"/>
  <c r="V105"/>
  <c r="W105"/>
  <c r="U204"/>
  <c r="X204"/>
  <c r="U267"/>
  <c r="X267"/>
  <c r="U261"/>
  <c r="X261"/>
  <c r="X486"/>
  <c r="U486"/>
  <c r="U450"/>
  <c r="X450"/>
  <c r="U252"/>
  <c r="X252"/>
  <c r="U192"/>
  <c r="X192"/>
  <c r="X490"/>
  <c r="U490"/>
  <c r="U447"/>
  <c r="X447"/>
  <c r="U255"/>
  <c r="X255"/>
  <c r="U272"/>
  <c r="X272"/>
  <c r="U455"/>
  <c r="X455"/>
  <c r="U443"/>
  <c r="X443"/>
  <c r="U122"/>
  <c r="X122"/>
  <c r="U340"/>
  <c r="X340"/>
  <c r="U312"/>
  <c r="X312"/>
  <c r="U124"/>
  <c r="X124"/>
  <c r="U359"/>
  <c r="X359"/>
  <c r="V172"/>
  <c r="W172"/>
  <c r="V125"/>
  <c r="W125"/>
  <c r="W282"/>
  <c r="V282"/>
  <c r="W183"/>
  <c r="V183"/>
  <c r="W233"/>
  <c r="V233"/>
  <c r="V501"/>
  <c r="W501"/>
  <c r="W314"/>
  <c r="V314"/>
  <c r="W458"/>
  <c r="V458"/>
  <c r="W319"/>
  <c r="V319"/>
  <c r="W313"/>
  <c r="V313"/>
  <c r="V189"/>
  <c r="W189"/>
  <c r="W284"/>
  <c r="V284"/>
  <c r="W212"/>
  <c r="V212"/>
  <c r="W303"/>
  <c r="V303"/>
  <c r="U160"/>
  <c r="X160"/>
  <c r="U264"/>
  <c r="X264"/>
  <c r="U442"/>
  <c r="X442"/>
  <c r="U266"/>
  <c r="X266"/>
  <c r="U336"/>
  <c r="X336"/>
  <c r="U453"/>
  <c r="X453"/>
  <c r="U446"/>
  <c r="X446"/>
  <c r="V123"/>
  <c r="W123"/>
  <c r="W348"/>
  <c r="V348"/>
  <c r="W311"/>
  <c r="V311"/>
  <c r="W464"/>
  <c r="V464"/>
  <c r="W341"/>
  <c r="V341"/>
  <c r="W127"/>
  <c r="V127"/>
  <c r="W333"/>
  <c r="V333"/>
  <c r="W309"/>
  <c r="V309"/>
  <c r="V113"/>
  <c r="W113"/>
  <c r="U270"/>
  <c r="X270"/>
  <c r="U107"/>
  <c r="X107"/>
  <c r="U331"/>
  <c r="X331"/>
  <c r="U104"/>
  <c r="X104"/>
  <c r="U489"/>
  <c r="X489"/>
  <c r="U143"/>
  <c r="X143"/>
  <c r="V101"/>
  <c r="W101"/>
  <c r="V117"/>
  <c r="W117"/>
  <c r="U109"/>
  <c r="X109"/>
  <c r="U254"/>
  <c r="X254"/>
  <c r="U115"/>
  <c r="X115"/>
  <c r="U268"/>
  <c r="X268"/>
  <c r="U271"/>
  <c r="X271"/>
  <c r="Z267"/>
  <c r="AA267" s="1"/>
  <c r="Z266"/>
  <c r="AA266" s="1"/>
  <c r="Z442"/>
  <c r="AA442" s="1"/>
  <c r="Z261"/>
  <c r="AA261" s="1"/>
  <c r="Z359"/>
  <c r="AA359" s="1"/>
  <c r="Z260"/>
  <c r="AA260" s="1"/>
  <c r="N323"/>
  <c r="O323" s="1"/>
  <c r="S323" s="1"/>
  <c r="T323" s="1"/>
  <c r="N427"/>
  <c r="M427" s="1"/>
  <c r="N426"/>
  <c r="M426" s="1"/>
  <c r="N375"/>
  <c r="M375" s="1"/>
  <c r="N56"/>
  <c r="M56" s="1"/>
  <c r="N58"/>
  <c r="M58" s="1"/>
  <c r="N57"/>
  <c r="M57" s="1"/>
  <c r="N60"/>
  <c r="M60" s="1"/>
  <c r="N137"/>
  <c r="M137" s="1"/>
  <c r="N460"/>
  <c r="M460" s="1"/>
  <c r="N462"/>
  <c r="M462" s="1"/>
  <c r="N250"/>
  <c r="M250" s="1"/>
  <c r="N249"/>
  <c r="M249" s="1"/>
  <c r="N225"/>
  <c r="O225" s="1"/>
  <c r="S225" s="1"/>
  <c r="T225" s="1"/>
  <c r="N216"/>
  <c r="O216" s="1"/>
  <c r="S216" s="1"/>
  <c r="T216" s="1"/>
  <c r="N210"/>
  <c r="M210" s="1"/>
  <c r="N247"/>
  <c r="M247" s="1"/>
  <c r="N187"/>
  <c r="M187" s="1"/>
  <c r="N195"/>
  <c r="M195" s="1"/>
  <c r="N190"/>
  <c r="M190" s="1"/>
  <c r="N194"/>
  <c r="M194" s="1"/>
  <c r="N197"/>
  <c r="M197" s="1"/>
  <c r="N196"/>
  <c r="M196" s="1"/>
  <c r="N269"/>
  <c r="M269" s="1"/>
  <c r="N262"/>
  <c r="M262" s="1"/>
  <c r="N224"/>
  <c r="M224" s="1"/>
  <c r="N193"/>
  <c r="M193" s="1"/>
  <c r="N229"/>
  <c r="M229" s="1"/>
  <c r="W271" l="1"/>
  <c r="V271"/>
  <c r="W109"/>
  <c r="V109"/>
  <c r="V489"/>
  <c r="W489"/>
  <c r="W331"/>
  <c r="V331"/>
  <c r="W336"/>
  <c r="V336"/>
  <c r="V442"/>
  <c r="W442"/>
  <c r="W160"/>
  <c r="V160"/>
  <c r="W124"/>
  <c r="V124"/>
  <c r="V443"/>
  <c r="W443"/>
  <c r="V447"/>
  <c r="W447"/>
  <c r="V450"/>
  <c r="W450"/>
  <c r="U225"/>
  <c r="X225"/>
  <c r="U216"/>
  <c r="X216"/>
  <c r="W268"/>
  <c r="V268"/>
  <c r="V254"/>
  <c r="W254"/>
  <c r="W143"/>
  <c r="V143"/>
  <c r="W104"/>
  <c r="V104"/>
  <c r="V107"/>
  <c r="W107"/>
  <c r="V453"/>
  <c r="W453"/>
  <c r="V266"/>
  <c r="W266"/>
  <c r="W264"/>
  <c r="V264"/>
  <c r="W359"/>
  <c r="V359"/>
  <c r="W312"/>
  <c r="V312"/>
  <c r="W122"/>
  <c r="V122"/>
  <c r="V455"/>
  <c r="W455"/>
  <c r="W255"/>
  <c r="V255"/>
  <c r="W252"/>
  <c r="V252"/>
  <c r="W267"/>
  <c r="V267"/>
  <c r="V258"/>
  <c r="W258"/>
  <c r="W338"/>
  <c r="V338"/>
  <c r="W260"/>
  <c r="V260"/>
  <c r="W444"/>
  <c r="V444"/>
  <c r="V103"/>
  <c r="W103"/>
  <c r="W490"/>
  <c r="V490"/>
  <c r="W486"/>
  <c r="V486"/>
  <c r="W272"/>
  <c r="V272"/>
  <c r="V192"/>
  <c r="W192"/>
  <c r="W261"/>
  <c r="V261"/>
  <c r="V204"/>
  <c r="W204"/>
  <c r="W156"/>
  <c r="V156"/>
  <c r="V457"/>
  <c r="W457"/>
  <c r="W142"/>
  <c r="V142"/>
  <c r="U323"/>
  <c r="X323"/>
  <c r="W115"/>
  <c r="V115"/>
  <c r="W270"/>
  <c r="V270"/>
  <c r="V446"/>
  <c r="W446"/>
  <c r="W340"/>
  <c r="V340"/>
  <c r="V496"/>
  <c r="W496"/>
  <c r="Z323"/>
  <c r="AA323" s="1"/>
  <c r="O196"/>
  <c r="S196" s="1"/>
  <c r="T196" s="1"/>
  <c r="K196"/>
  <c r="O462"/>
  <c r="S462" s="1"/>
  <c r="T462" s="1"/>
  <c r="K462"/>
  <c r="K229"/>
  <c r="O229"/>
  <c r="S229" s="1"/>
  <c r="T229" s="1"/>
  <c r="O269"/>
  <c r="S269" s="1"/>
  <c r="T269" s="1"/>
  <c r="K269"/>
  <c r="O190"/>
  <c r="S190" s="1"/>
  <c r="T190" s="1"/>
  <c r="K190"/>
  <c r="K210"/>
  <c r="O210"/>
  <c r="S210" s="1"/>
  <c r="T210" s="1"/>
  <c r="O250"/>
  <c r="S250" s="1"/>
  <c r="T250" s="1"/>
  <c r="K250"/>
  <c r="K60"/>
  <c r="O60"/>
  <c r="S60" s="1"/>
  <c r="T60" s="1"/>
  <c r="O375"/>
  <c r="S375" s="1"/>
  <c r="T375" s="1"/>
  <c r="K375"/>
  <c r="O426"/>
  <c r="S426" s="1"/>
  <c r="T426" s="1"/>
  <c r="K426"/>
  <c r="K194"/>
  <c r="O194"/>
  <c r="S194" s="1"/>
  <c r="T194" s="1"/>
  <c r="O247"/>
  <c r="S247" s="1"/>
  <c r="T247" s="1"/>
  <c r="K247"/>
  <c r="K249"/>
  <c r="O249"/>
  <c r="S249" s="1"/>
  <c r="T249" s="1"/>
  <c r="O137"/>
  <c r="S137" s="1"/>
  <c r="T137" s="1"/>
  <c r="K137"/>
  <c r="O56"/>
  <c r="S56" s="1"/>
  <c r="T56" s="1"/>
  <c r="K56"/>
  <c r="O195"/>
  <c r="S195" s="1"/>
  <c r="T195" s="1"/>
  <c r="K195"/>
  <c r="O57"/>
  <c r="S57" s="1"/>
  <c r="T57" s="1"/>
  <c r="K57"/>
  <c r="O262"/>
  <c r="S262" s="1"/>
  <c r="T262" s="1"/>
  <c r="K262"/>
  <c r="O224"/>
  <c r="S224" s="1"/>
  <c r="T224" s="1"/>
  <c r="K224"/>
  <c r="O197"/>
  <c r="S197" s="1"/>
  <c r="T197" s="1"/>
  <c r="K197"/>
  <c r="K187"/>
  <c r="O187"/>
  <c r="S187" s="1"/>
  <c r="T187" s="1"/>
  <c r="O460"/>
  <c r="S460" s="1"/>
  <c r="T460" s="1"/>
  <c r="K460"/>
  <c r="O58"/>
  <c r="S58" s="1"/>
  <c r="T58" s="1"/>
  <c r="K58"/>
  <c r="O427"/>
  <c r="S427" s="1"/>
  <c r="T427" s="1"/>
  <c r="K427"/>
  <c r="O193"/>
  <c r="S193" s="1"/>
  <c r="T193" s="1"/>
  <c r="K193"/>
  <c r="D168"/>
  <c r="F168"/>
  <c r="N168"/>
  <c r="M168" s="1"/>
  <c r="N164"/>
  <c r="M164" s="1"/>
  <c r="N167"/>
  <c r="M167" s="1"/>
  <c r="N199"/>
  <c r="M199" s="1"/>
  <c r="N222"/>
  <c r="M222" s="1"/>
  <c r="N226"/>
  <c r="M226" s="1"/>
  <c r="N238"/>
  <c r="M238" s="1"/>
  <c r="N239"/>
  <c r="M239" s="1"/>
  <c r="N243"/>
  <c r="M243" s="1"/>
  <c r="N242"/>
  <c r="M242" s="1"/>
  <c r="N231"/>
  <c r="M231" s="1"/>
  <c r="N203"/>
  <c r="M203" s="1"/>
  <c r="N466"/>
  <c r="M466" s="1"/>
  <c r="N472"/>
  <c r="M472" s="1"/>
  <c r="N467"/>
  <c r="M467" s="1"/>
  <c r="N476"/>
  <c r="M476" s="1"/>
  <c r="N478"/>
  <c r="M478" s="1"/>
  <c r="N465"/>
  <c r="M465" s="1"/>
  <c r="N293"/>
  <c r="M293" s="1"/>
  <c r="N292"/>
  <c r="M292" s="1"/>
  <c r="N294"/>
  <c r="M294" s="1"/>
  <c r="N295"/>
  <c r="M295" s="1"/>
  <c r="N473"/>
  <c r="M473" s="1"/>
  <c r="N481"/>
  <c r="M481" s="1"/>
  <c r="N469"/>
  <c r="M469" s="1"/>
  <c r="N477"/>
  <c r="M477" s="1"/>
  <c r="N475"/>
  <c r="M475" s="1"/>
  <c r="N474"/>
  <c r="M474" s="1"/>
  <c r="N135"/>
  <c r="M135" s="1"/>
  <c r="N133"/>
  <c r="M133" s="1"/>
  <c r="N147"/>
  <c r="M147" s="1"/>
  <c r="N118"/>
  <c r="M118" s="1"/>
  <c r="N468"/>
  <c r="M468" s="1"/>
  <c r="N430"/>
  <c r="M430" s="1"/>
  <c r="N245"/>
  <c r="M245" s="1"/>
  <c r="N388"/>
  <c r="O388" s="1"/>
  <c r="S388" s="1"/>
  <c r="T388" s="1"/>
  <c r="N431"/>
  <c r="O431" s="1"/>
  <c r="S431" s="1"/>
  <c r="T431" s="1"/>
  <c r="N418"/>
  <c r="O418" s="1"/>
  <c r="S418" s="1"/>
  <c r="T418" s="1"/>
  <c r="N419"/>
  <c r="O419" s="1"/>
  <c r="S419" s="1"/>
  <c r="T419" s="1"/>
  <c r="N386"/>
  <c r="O386" s="1"/>
  <c r="S386" s="1"/>
  <c r="T386" s="1"/>
  <c r="N384"/>
  <c r="O384" s="1"/>
  <c r="S384" s="1"/>
  <c r="T384" s="1"/>
  <c r="N382"/>
  <c r="O382" s="1"/>
  <c r="S382" s="1"/>
  <c r="T382" s="1"/>
  <c r="N401"/>
  <c r="O401" s="1"/>
  <c r="S401" s="1"/>
  <c r="T401" s="1"/>
  <c r="N391"/>
  <c r="O391" s="1"/>
  <c r="S391" s="1"/>
  <c r="T391" s="1"/>
  <c r="N416"/>
  <c r="O416" s="1"/>
  <c r="S416" s="1"/>
  <c r="T416" s="1"/>
  <c r="N414"/>
  <c r="O414" s="1"/>
  <c r="S414" s="1"/>
  <c r="T414" s="1"/>
  <c r="N508"/>
  <c r="O508" s="1"/>
  <c r="S508" s="1"/>
  <c r="T508" s="1"/>
  <c r="N506"/>
  <c r="O506" s="1"/>
  <c r="S506" s="1"/>
  <c r="T506" s="1"/>
  <c r="N509"/>
  <c r="O509" s="1"/>
  <c r="S509" s="1"/>
  <c r="T509" s="1"/>
  <c r="N511"/>
  <c r="O511" s="1"/>
  <c r="S511" s="1"/>
  <c r="T511" s="1"/>
  <c r="F510"/>
  <c r="F507"/>
  <c r="D510"/>
  <c r="D507"/>
  <c r="N409"/>
  <c r="O409" s="1"/>
  <c r="S409" s="1"/>
  <c r="T409" s="1"/>
  <c r="N422"/>
  <c r="O422" s="1"/>
  <c r="S422" s="1"/>
  <c r="T422" s="1"/>
  <c r="N374"/>
  <c r="O374" s="1"/>
  <c r="S374" s="1"/>
  <c r="T374" s="1"/>
  <c r="N369"/>
  <c r="O369" s="1"/>
  <c r="S369" s="1"/>
  <c r="T369" s="1"/>
  <c r="N139"/>
  <c r="O139" s="1"/>
  <c r="S139" s="1"/>
  <c r="T139" s="1"/>
  <c r="N349"/>
  <c r="O349" s="1"/>
  <c r="S349" s="1"/>
  <c r="T349" s="1"/>
  <c r="N140"/>
  <c r="O140" s="1"/>
  <c r="S140" s="1"/>
  <c r="T140" s="1"/>
  <c r="N132"/>
  <c r="O132" s="1"/>
  <c r="S132" s="1"/>
  <c r="T132" s="1"/>
  <c r="F356"/>
  <c r="D356"/>
  <c r="F491"/>
  <c r="D491"/>
  <c r="N483"/>
  <c r="O483" s="1"/>
  <c r="S483" s="1"/>
  <c r="T483" s="1"/>
  <c r="N128"/>
  <c r="O128" s="1"/>
  <c r="S128" s="1"/>
  <c r="T128" s="1"/>
  <c r="N352"/>
  <c r="O352" s="1"/>
  <c r="S352" s="1"/>
  <c r="T352" s="1"/>
  <c r="N353"/>
  <c r="O353" s="1"/>
  <c r="S353" s="1"/>
  <c r="T353" s="1"/>
  <c r="N288"/>
  <c r="M288" s="1"/>
  <c r="N298"/>
  <c r="M298" s="1"/>
  <c r="N290"/>
  <c r="M290" s="1"/>
  <c r="N244"/>
  <c r="M244" s="1"/>
  <c r="N241"/>
  <c r="M241" s="1"/>
  <c r="N230"/>
  <c r="M230" s="1"/>
  <c r="N235"/>
  <c r="M235" s="1"/>
  <c r="N234"/>
  <c r="M234" s="1"/>
  <c r="N232"/>
  <c r="M232" s="1"/>
  <c r="N201"/>
  <c r="M201" s="1"/>
  <c r="N219"/>
  <c r="M219" s="1"/>
  <c r="N185"/>
  <c r="M185" s="1"/>
  <c r="N355"/>
  <c r="M355" s="1"/>
  <c r="N334"/>
  <c r="M334" s="1"/>
  <c r="D220"/>
  <c r="F220"/>
  <c r="D241"/>
  <c r="F241"/>
  <c r="D244"/>
  <c r="F244"/>
  <c r="D234"/>
  <c r="F234"/>
  <c r="D230"/>
  <c r="F230"/>
  <c r="D235"/>
  <c r="F235"/>
  <c r="D232"/>
  <c r="F232"/>
  <c r="D219"/>
  <c r="F219"/>
  <c r="D290"/>
  <c r="F290"/>
  <c r="D288"/>
  <c r="F288"/>
  <c r="D298"/>
  <c r="F298"/>
  <c r="D483"/>
  <c r="F483"/>
  <c r="F128"/>
  <c r="D352"/>
  <c r="F352"/>
  <c r="D353"/>
  <c r="F353"/>
  <c r="F132"/>
  <c r="D139"/>
  <c r="F139"/>
  <c r="D349"/>
  <c r="F349"/>
  <c r="D140"/>
  <c r="F140"/>
  <c r="D369"/>
  <c r="F369"/>
  <c r="D374"/>
  <c r="F374"/>
  <c r="D409"/>
  <c r="F409"/>
  <c r="D422"/>
  <c r="F422"/>
  <c r="D428"/>
  <c r="F428"/>
  <c r="D511"/>
  <c r="F511"/>
  <c r="D508"/>
  <c r="F508"/>
  <c r="D506"/>
  <c r="F506"/>
  <c r="D509"/>
  <c r="F509"/>
  <c r="D431"/>
  <c r="F431"/>
  <c r="D246"/>
  <c r="F246"/>
  <c r="D414"/>
  <c r="F414"/>
  <c r="D386"/>
  <c r="F386"/>
  <c r="D384"/>
  <c r="F384"/>
  <c r="D382"/>
  <c r="F382"/>
  <c r="D401"/>
  <c r="F401"/>
  <c r="D391"/>
  <c r="F391"/>
  <c r="D416"/>
  <c r="F416"/>
  <c r="D388"/>
  <c r="F388"/>
  <c r="D419"/>
  <c r="F419"/>
  <c r="D418"/>
  <c r="F418"/>
  <c r="D123"/>
  <c r="F123"/>
  <c r="D106"/>
  <c r="F106"/>
  <c r="D101"/>
  <c r="F101"/>
  <c r="N218"/>
  <c r="M218" s="1"/>
  <c r="N214"/>
  <c r="M214" s="1"/>
  <c r="N217"/>
  <c r="M217" s="1"/>
  <c r="N211"/>
  <c r="M211" s="1"/>
  <c r="N163"/>
  <c r="M163" s="1"/>
  <c r="N179"/>
  <c r="M179" s="1"/>
  <c r="N157"/>
  <c r="M157" s="1"/>
  <c r="N181"/>
  <c r="M181" s="1"/>
  <c r="O181" s="1"/>
  <c r="N184"/>
  <c r="M184" s="1"/>
  <c r="N178"/>
  <c r="M178" s="1"/>
  <c r="N259"/>
  <c r="M259" s="1"/>
  <c r="N253"/>
  <c r="M253" s="1"/>
  <c r="N452"/>
  <c r="M452" s="1"/>
  <c r="N454"/>
  <c r="M454" s="1"/>
  <c r="F350"/>
  <c r="N114"/>
  <c r="M114" s="1"/>
  <c r="N321"/>
  <c r="M321" s="1"/>
  <c r="N130"/>
  <c r="M130" s="1"/>
  <c r="N141"/>
  <c r="M141" s="1"/>
  <c r="N134"/>
  <c r="M134" s="1"/>
  <c r="N329"/>
  <c r="M329" s="1"/>
  <c r="N327"/>
  <c r="M327" s="1"/>
  <c r="N111"/>
  <c r="M111" s="1"/>
  <c r="N330"/>
  <c r="M330" s="1"/>
  <c r="D350"/>
  <c r="N320"/>
  <c r="M320" s="1"/>
  <c r="N500"/>
  <c r="M500" s="1"/>
  <c r="N502"/>
  <c r="M502" s="1"/>
  <c r="N495"/>
  <c r="M495" s="1"/>
  <c r="N371"/>
  <c r="M371" s="1"/>
  <c r="N377"/>
  <c r="M377" s="1"/>
  <c r="N152"/>
  <c r="M152" s="1"/>
  <c r="N150"/>
  <c r="M150" s="1"/>
  <c r="N372"/>
  <c r="M372" s="1"/>
  <c r="U369" l="1"/>
  <c r="X369"/>
  <c r="U128"/>
  <c r="X128"/>
  <c r="U349"/>
  <c r="X349"/>
  <c r="U422"/>
  <c r="X422"/>
  <c r="X506"/>
  <c r="U506"/>
  <c r="U391"/>
  <c r="X391"/>
  <c r="U386"/>
  <c r="X386"/>
  <c r="U388"/>
  <c r="X388"/>
  <c r="U60"/>
  <c r="X60"/>
  <c r="U210"/>
  <c r="X210"/>
  <c r="W323"/>
  <c r="V323"/>
  <c r="W216"/>
  <c r="V216"/>
  <c r="U352"/>
  <c r="X352"/>
  <c r="U140"/>
  <c r="X140"/>
  <c r="U374"/>
  <c r="X374"/>
  <c r="U509"/>
  <c r="X509"/>
  <c r="U416"/>
  <c r="X416"/>
  <c r="U384"/>
  <c r="X384"/>
  <c r="U431"/>
  <c r="X431"/>
  <c r="U193"/>
  <c r="X193"/>
  <c r="U58"/>
  <c r="X58"/>
  <c r="U224"/>
  <c r="X224"/>
  <c r="U57"/>
  <c r="X57"/>
  <c r="U56"/>
  <c r="X56"/>
  <c r="U375"/>
  <c r="X375"/>
  <c r="U250"/>
  <c r="X250"/>
  <c r="X190"/>
  <c r="U190"/>
  <c r="U196"/>
  <c r="X196"/>
  <c r="U353"/>
  <c r="X353"/>
  <c r="U511"/>
  <c r="X511"/>
  <c r="U414"/>
  <c r="X414"/>
  <c r="U382"/>
  <c r="X382"/>
  <c r="U418"/>
  <c r="X418"/>
  <c r="U187"/>
  <c r="X187"/>
  <c r="U249"/>
  <c r="X249"/>
  <c r="U194"/>
  <c r="X194"/>
  <c r="U229"/>
  <c r="X229"/>
  <c r="W225"/>
  <c r="V225"/>
  <c r="U132"/>
  <c r="X132"/>
  <c r="U483"/>
  <c r="X483"/>
  <c r="U139"/>
  <c r="X139"/>
  <c r="U409"/>
  <c r="X409"/>
  <c r="U508"/>
  <c r="X508"/>
  <c r="U401"/>
  <c r="X401"/>
  <c r="U419"/>
  <c r="X419"/>
  <c r="U427"/>
  <c r="X427"/>
  <c r="U460"/>
  <c r="X460"/>
  <c r="U197"/>
  <c r="X197"/>
  <c r="U262"/>
  <c r="X262"/>
  <c r="U195"/>
  <c r="X195"/>
  <c r="U137"/>
  <c r="X137"/>
  <c r="U247"/>
  <c r="X247"/>
  <c r="U426"/>
  <c r="X426"/>
  <c r="U269"/>
  <c r="X269"/>
  <c r="U462"/>
  <c r="X462"/>
  <c r="Z506"/>
  <c r="AA506" s="1"/>
  <c r="Z249"/>
  <c r="AA249" s="1"/>
  <c r="Z509"/>
  <c r="AA509" s="1"/>
  <c r="Z353"/>
  <c r="AA353" s="1"/>
  <c r="Z369"/>
  <c r="AA369" s="1"/>
  <c r="Z511"/>
  <c r="AA511" s="1"/>
  <c r="Z483"/>
  <c r="AA483" s="1"/>
  <c r="Z508"/>
  <c r="AA508" s="1"/>
  <c r="Z250"/>
  <c r="AA250" s="1"/>
  <c r="K502"/>
  <c r="O502"/>
  <c r="S502" s="1"/>
  <c r="T502" s="1"/>
  <c r="O114"/>
  <c r="S114" s="1"/>
  <c r="T114" s="1"/>
  <c r="K114"/>
  <c r="O211"/>
  <c r="S211" s="1"/>
  <c r="T211" s="1"/>
  <c r="K211"/>
  <c r="O452"/>
  <c r="S452" s="1"/>
  <c r="T452" s="1"/>
  <c r="K452"/>
  <c r="O163"/>
  <c r="S163" s="1"/>
  <c r="T163" s="1"/>
  <c r="K163"/>
  <c r="O218"/>
  <c r="S218" s="1"/>
  <c r="T218" s="1"/>
  <c r="K218"/>
  <c r="O185"/>
  <c r="S185" s="1"/>
  <c r="T185" s="1"/>
  <c r="K185"/>
  <c r="K234"/>
  <c r="O234"/>
  <c r="S234" s="1"/>
  <c r="T234" s="1"/>
  <c r="K244"/>
  <c r="O244"/>
  <c r="S244" s="1"/>
  <c r="T244" s="1"/>
  <c r="O430"/>
  <c r="S430" s="1"/>
  <c r="T430" s="1"/>
  <c r="K430"/>
  <c r="O133"/>
  <c r="S133" s="1"/>
  <c r="T133" s="1"/>
  <c r="K133"/>
  <c r="O477"/>
  <c r="S477" s="1"/>
  <c r="T477" s="1"/>
  <c r="K477"/>
  <c r="O295"/>
  <c r="S295" s="1"/>
  <c r="T295" s="1"/>
  <c r="K295"/>
  <c r="O465"/>
  <c r="S465" s="1"/>
  <c r="T465" s="1"/>
  <c r="K465"/>
  <c r="K472"/>
  <c r="O472"/>
  <c r="S472" s="1"/>
  <c r="T472" s="1"/>
  <c r="O242"/>
  <c r="S242" s="1"/>
  <c r="T242" s="1"/>
  <c r="K242"/>
  <c r="O226"/>
  <c r="S226" s="1"/>
  <c r="T226" s="1"/>
  <c r="K226"/>
  <c r="O164"/>
  <c r="S164" s="1"/>
  <c r="T164" s="1"/>
  <c r="K164"/>
  <c r="O330"/>
  <c r="S330" s="1"/>
  <c r="T330" s="1"/>
  <c r="K330"/>
  <c r="K253"/>
  <c r="O253"/>
  <c r="S253" s="1"/>
  <c r="T253" s="1"/>
  <c r="O150"/>
  <c r="S150" s="1"/>
  <c r="T150" s="1"/>
  <c r="K150"/>
  <c r="K495"/>
  <c r="O495"/>
  <c r="S495" s="1"/>
  <c r="T495" s="1"/>
  <c r="O329"/>
  <c r="S329" s="1"/>
  <c r="T329" s="1"/>
  <c r="K329"/>
  <c r="O321"/>
  <c r="S321" s="1"/>
  <c r="T321" s="1"/>
  <c r="K321"/>
  <c r="K184"/>
  <c r="O184"/>
  <c r="S184" s="1"/>
  <c r="T184" s="1"/>
  <c r="O372"/>
  <c r="S372" s="1"/>
  <c r="T372" s="1"/>
  <c r="K372"/>
  <c r="O371"/>
  <c r="S371" s="1"/>
  <c r="T371" s="1"/>
  <c r="K371"/>
  <c r="O320"/>
  <c r="S320" s="1"/>
  <c r="T320" s="1"/>
  <c r="K320"/>
  <c r="O327"/>
  <c r="S327" s="1"/>
  <c r="T327" s="1"/>
  <c r="K327"/>
  <c r="K130"/>
  <c r="O130"/>
  <c r="S130" s="1"/>
  <c r="T130" s="1"/>
  <c r="O454"/>
  <c r="S454" s="1"/>
  <c r="T454" s="1"/>
  <c r="K454"/>
  <c r="K178"/>
  <c r="O178"/>
  <c r="S178" s="1"/>
  <c r="T178" s="1"/>
  <c r="K179"/>
  <c r="O179"/>
  <c r="S179" s="1"/>
  <c r="T179" s="1"/>
  <c r="O214"/>
  <c r="S214" s="1"/>
  <c r="T214" s="1"/>
  <c r="K214"/>
  <c r="K355"/>
  <c r="O355"/>
  <c r="S355" s="1"/>
  <c r="T355" s="1"/>
  <c r="O232"/>
  <c r="S232" s="1"/>
  <c r="T232" s="1"/>
  <c r="K232"/>
  <c r="O241"/>
  <c r="S241" s="1"/>
  <c r="T241" s="1"/>
  <c r="K241"/>
  <c r="O288"/>
  <c r="S288" s="1"/>
  <c r="T288" s="1"/>
  <c r="K288"/>
  <c r="O245"/>
  <c r="S245" s="1"/>
  <c r="T245" s="1"/>
  <c r="K245"/>
  <c r="O147"/>
  <c r="S147" s="1"/>
  <c r="T147" s="1"/>
  <c r="K147"/>
  <c r="K475"/>
  <c r="O475"/>
  <c r="S475" s="1"/>
  <c r="T475" s="1"/>
  <c r="O473"/>
  <c r="S473" s="1"/>
  <c r="T473" s="1"/>
  <c r="K473"/>
  <c r="K293"/>
  <c r="O293"/>
  <c r="S293" s="1"/>
  <c r="T293" s="1"/>
  <c r="O467"/>
  <c r="S467" s="1"/>
  <c r="T467" s="1"/>
  <c r="K467"/>
  <c r="O231"/>
  <c r="S231" s="1"/>
  <c r="T231" s="1"/>
  <c r="K231"/>
  <c r="O238"/>
  <c r="S238" s="1"/>
  <c r="T238" s="1"/>
  <c r="K238"/>
  <c r="K167"/>
  <c r="O167"/>
  <c r="S167" s="1"/>
  <c r="T167" s="1"/>
  <c r="O377"/>
  <c r="S377" s="1"/>
  <c r="T377" s="1"/>
  <c r="K377"/>
  <c r="O500"/>
  <c r="S500" s="1"/>
  <c r="T500" s="1"/>
  <c r="K500"/>
  <c r="O111"/>
  <c r="S111" s="1"/>
  <c r="T111" s="1"/>
  <c r="K111"/>
  <c r="O141"/>
  <c r="S141" s="1"/>
  <c r="T141" s="1"/>
  <c r="K141"/>
  <c r="O259"/>
  <c r="S259" s="1"/>
  <c r="T259" s="1"/>
  <c r="K259"/>
  <c r="K157"/>
  <c r="O157"/>
  <c r="S157" s="1"/>
  <c r="T157" s="1"/>
  <c r="O217"/>
  <c r="S217" s="1"/>
  <c r="T217" s="1"/>
  <c r="K217"/>
  <c r="O334"/>
  <c r="S334" s="1"/>
  <c r="T334" s="1"/>
  <c r="K334"/>
  <c r="O201"/>
  <c r="S201" s="1"/>
  <c r="T201" s="1"/>
  <c r="K201"/>
  <c r="O230"/>
  <c r="S230" s="1"/>
  <c r="T230" s="1"/>
  <c r="K230"/>
  <c r="O298"/>
  <c r="S298" s="1"/>
  <c r="T298" s="1"/>
  <c r="K298"/>
  <c r="O118"/>
  <c r="S118" s="1"/>
  <c r="T118" s="1"/>
  <c r="K118"/>
  <c r="O474"/>
  <c r="S474" s="1"/>
  <c r="T474" s="1"/>
  <c r="K474"/>
  <c r="O481"/>
  <c r="S481" s="1"/>
  <c r="T481" s="1"/>
  <c r="K481"/>
  <c r="O292"/>
  <c r="S292" s="1"/>
  <c r="T292" s="1"/>
  <c r="K292"/>
  <c r="O476"/>
  <c r="S476" s="1"/>
  <c r="T476" s="1"/>
  <c r="K476"/>
  <c r="O203"/>
  <c r="S203" s="1"/>
  <c r="T203" s="1"/>
  <c r="K203"/>
  <c r="O239"/>
  <c r="S239" s="1"/>
  <c r="T239" s="1"/>
  <c r="K239"/>
  <c r="O199"/>
  <c r="S199" s="1"/>
  <c r="T199" s="1"/>
  <c r="K199"/>
  <c r="K152"/>
  <c r="O152"/>
  <c r="S152" s="1"/>
  <c r="T152" s="1"/>
  <c r="O134"/>
  <c r="S134" s="1"/>
  <c r="T134" s="1"/>
  <c r="K134"/>
  <c r="S181"/>
  <c r="T181" s="1"/>
  <c r="K181"/>
  <c r="K219"/>
  <c r="O219"/>
  <c r="S219" s="1"/>
  <c r="T219" s="1"/>
  <c r="O235"/>
  <c r="S235" s="1"/>
  <c r="T235" s="1"/>
  <c r="K235"/>
  <c r="O290"/>
  <c r="S290" s="1"/>
  <c r="T290" s="1"/>
  <c r="K290"/>
  <c r="K468"/>
  <c r="O468"/>
  <c r="S468" s="1"/>
  <c r="T468" s="1"/>
  <c r="O135"/>
  <c r="S135" s="1"/>
  <c r="T135" s="1"/>
  <c r="K135"/>
  <c r="O469"/>
  <c r="S469" s="1"/>
  <c r="T469" s="1"/>
  <c r="K469"/>
  <c r="O294"/>
  <c r="S294" s="1"/>
  <c r="T294" s="1"/>
  <c r="K294"/>
  <c r="K478"/>
  <c r="O478"/>
  <c r="S478" s="1"/>
  <c r="T478" s="1"/>
  <c r="O466"/>
  <c r="S466" s="1"/>
  <c r="T466" s="1"/>
  <c r="K466"/>
  <c r="O243"/>
  <c r="S243" s="1"/>
  <c r="T243" s="1"/>
  <c r="K243"/>
  <c r="O222"/>
  <c r="S222" s="1"/>
  <c r="T222" s="1"/>
  <c r="K222"/>
  <c r="O168"/>
  <c r="S168" s="1"/>
  <c r="T168" s="1"/>
  <c r="K168"/>
  <c r="AC272" l="1"/>
  <c r="U294"/>
  <c r="X294"/>
  <c r="U292"/>
  <c r="X292"/>
  <c r="U217"/>
  <c r="X217"/>
  <c r="U238"/>
  <c r="X238"/>
  <c r="U232"/>
  <c r="X232"/>
  <c r="U130"/>
  <c r="X130"/>
  <c r="U253"/>
  <c r="X253"/>
  <c r="U243"/>
  <c r="X243"/>
  <c r="U469"/>
  <c r="X469"/>
  <c r="U181"/>
  <c r="X181"/>
  <c r="X476"/>
  <c r="U476"/>
  <c r="U118"/>
  <c r="X118"/>
  <c r="U334"/>
  <c r="X334"/>
  <c r="X500"/>
  <c r="U500"/>
  <c r="U245"/>
  <c r="X245"/>
  <c r="U241"/>
  <c r="X241"/>
  <c r="U454"/>
  <c r="X454"/>
  <c r="U371"/>
  <c r="X371"/>
  <c r="U150"/>
  <c r="X150"/>
  <c r="X226"/>
  <c r="U226"/>
  <c r="U133"/>
  <c r="X133"/>
  <c r="U185"/>
  <c r="X185"/>
  <c r="X478"/>
  <c r="U478"/>
  <c r="U468"/>
  <c r="X468"/>
  <c r="U152"/>
  <c r="X152"/>
  <c r="U157"/>
  <c r="X157"/>
  <c r="U167"/>
  <c r="X167"/>
  <c r="U293"/>
  <c r="X293"/>
  <c r="U475"/>
  <c r="X475"/>
  <c r="U355"/>
  <c r="X355"/>
  <c r="U179"/>
  <c r="X179"/>
  <c r="U184"/>
  <c r="X184"/>
  <c r="X472"/>
  <c r="U472"/>
  <c r="U244"/>
  <c r="X244"/>
  <c r="X502"/>
  <c r="U502"/>
  <c r="V462"/>
  <c r="W462"/>
  <c r="W426"/>
  <c r="V426"/>
  <c r="V137"/>
  <c r="W137"/>
  <c r="W262"/>
  <c r="V262"/>
  <c r="W460"/>
  <c r="V460"/>
  <c r="V419"/>
  <c r="W419"/>
  <c r="V508"/>
  <c r="W508"/>
  <c r="W139"/>
  <c r="V139"/>
  <c r="W132"/>
  <c r="V132"/>
  <c r="W229"/>
  <c r="V229"/>
  <c r="W249"/>
  <c r="V249"/>
  <c r="V418"/>
  <c r="W418"/>
  <c r="W414"/>
  <c r="V414"/>
  <c r="W353"/>
  <c r="V353"/>
  <c r="W375"/>
  <c r="V375"/>
  <c r="V57"/>
  <c r="W57"/>
  <c r="W58"/>
  <c r="V58"/>
  <c r="V431"/>
  <c r="W431"/>
  <c r="W416"/>
  <c r="V416"/>
  <c r="W374"/>
  <c r="V374"/>
  <c r="W352"/>
  <c r="V352"/>
  <c r="V60"/>
  <c r="W60"/>
  <c r="V386"/>
  <c r="W386"/>
  <c r="W349"/>
  <c r="V349"/>
  <c r="W369"/>
  <c r="V369"/>
  <c r="U466"/>
  <c r="X466"/>
  <c r="U199"/>
  <c r="X199"/>
  <c r="U201"/>
  <c r="X201"/>
  <c r="U377"/>
  <c r="X377"/>
  <c r="U467"/>
  <c r="X467"/>
  <c r="U288"/>
  <c r="X288"/>
  <c r="U214"/>
  <c r="X214"/>
  <c r="U320"/>
  <c r="X320"/>
  <c r="U372"/>
  <c r="X372"/>
  <c r="U321"/>
  <c r="X321"/>
  <c r="U164"/>
  <c r="X164"/>
  <c r="U242"/>
  <c r="X242"/>
  <c r="U465"/>
  <c r="X465"/>
  <c r="U477"/>
  <c r="X477"/>
  <c r="U430"/>
  <c r="X430"/>
  <c r="U218"/>
  <c r="X218"/>
  <c r="U452"/>
  <c r="X452"/>
  <c r="U114"/>
  <c r="X114"/>
  <c r="W190"/>
  <c r="V190"/>
  <c r="W506"/>
  <c r="V506"/>
  <c r="U222"/>
  <c r="X222"/>
  <c r="U135"/>
  <c r="X135"/>
  <c r="U134"/>
  <c r="X134"/>
  <c r="X474"/>
  <c r="U474"/>
  <c r="U259"/>
  <c r="X259"/>
  <c r="AB272" s="1"/>
  <c r="U473"/>
  <c r="X473"/>
  <c r="U234"/>
  <c r="X234"/>
  <c r="W269"/>
  <c r="V269"/>
  <c r="W247"/>
  <c r="V247"/>
  <c r="W195"/>
  <c r="V195"/>
  <c r="V197"/>
  <c r="W197"/>
  <c r="V427"/>
  <c r="W427"/>
  <c r="W401"/>
  <c r="V401"/>
  <c r="V409"/>
  <c r="W409"/>
  <c r="V483"/>
  <c r="W483"/>
  <c r="W194"/>
  <c r="V194"/>
  <c r="W187"/>
  <c r="V187"/>
  <c r="V382"/>
  <c r="W382"/>
  <c r="V511"/>
  <c r="W511"/>
  <c r="V196"/>
  <c r="W196"/>
  <c r="V250"/>
  <c r="W250"/>
  <c r="V56"/>
  <c r="W56"/>
  <c r="W224"/>
  <c r="V224"/>
  <c r="V193"/>
  <c r="W193"/>
  <c r="W384"/>
  <c r="V384"/>
  <c r="V509"/>
  <c r="W509"/>
  <c r="W140"/>
  <c r="V140"/>
  <c r="W210"/>
  <c r="V210"/>
  <c r="W388"/>
  <c r="V388"/>
  <c r="V391"/>
  <c r="W391"/>
  <c r="V422"/>
  <c r="W422"/>
  <c r="W128"/>
  <c r="V128"/>
  <c r="U290"/>
  <c r="X290"/>
  <c r="U203"/>
  <c r="X203"/>
  <c r="U298"/>
  <c r="X298"/>
  <c r="U111"/>
  <c r="X111"/>
  <c r="U147"/>
  <c r="X147"/>
  <c r="U219"/>
  <c r="X219"/>
  <c r="U178"/>
  <c r="X178"/>
  <c r="U495"/>
  <c r="X495"/>
  <c r="U168"/>
  <c r="X168"/>
  <c r="U235"/>
  <c r="X235"/>
  <c r="U239"/>
  <c r="X239"/>
  <c r="U481"/>
  <c r="X481"/>
  <c r="U230"/>
  <c r="X230"/>
  <c r="U141"/>
  <c r="X141"/>
  <c r="X231"/>
  <c r="U231"/>
  <c r="U327"/>
  <c r="X327"/>
  <c r="U329"/>
  <c r="X329"/>
  <c r="U330"/>
  <c r="X330"/>
  <c r="U295"/>
  <c r="X295"/>
  <c r="U163"/>
  <c r="X163"/>
  <c r="U211"/>
  <c r="X211"/>
  <c r="Z231"/>
  <c r="AA231" s="1"/>
  <c r="Z199"/>
  <c r="AA199" s="1"/>
  <c r="Z467"/>
  <c r="AA467" s="1"/>
  <c r="Z232"/>
  <c r="AA232" s="1"/>
  <c r="Z321"/>
  <c r="AA321" s="1"/>
  <c r="Z477"/>
  <c r="AA477" s="1"/>
  <c r="Z219"/>
  <c r="AA219" s="1"/>
  <c r="Z495"/>
  <c r="AA495" s="1"/>
  <c r="Z481"/>
  <c r="AA481" s="1"/>
  <c r="Z295"/>
  <c r="AA295" s="1"/>
  <c r="Z167"/>
  <c r="Z243"/>
  <c r="AA243" s="1"/>
  <c r="Z371"/>
  <c r="AA371" s="1"/>
  <c r="Z294"/>
  <c r="AA294" s="1"/>
  <c r="Z242"/>
  <c r="AA242" s="1"/>
  <c r="Z452"/>
  <c r="AA452" s="1"/>
  <c r="W330" l="1"/>
  <c r="V330"/>
  <c r="V481"/>
  <c r="W481"/>
  <c r="W111"/>
  <c r="V111"/>
  <c r="V218"/>
  <c r="W218"/>
  <c r="W211"/>
  <c r="V211"/>
  <c r="W295"/>
  <c r="V295"/>
  <c r="W329"/>
  <c r="V329"/>
  <c r="W230"/>
  <c r="V230"/>
  <c r="W239"/>
  <c r="V239"/>
  <c r="V168"/>
  <c r="W168"/>
  <c r="W178"/>
  <c r="V178"/>
  <c r="W147"/>
  <c r="V147"/>
  <c r="W298"/>
  <c r="V298"/>
  <c r="W290"/>
  <c r="V290"/>
  <c r="V234"/>
  <c r="W234"/>
  <c r="W259"/>
  <c r="V259"/>
  <c r="W134"/>
  <c r="V134"/>
  <c r="V222"/>
  <c r="W222"/>
  <c r="W452"/>
  <c r="V452"/>
  <c r="V430"/>
  <c r="W430"/>
  <c r="W465"/>
  <c r="V465"/>
  <c r="V164"/>
  <c r="W164"/>
  <c r="W372"/>
  <c r="V372"/>
  <c r="V214"/>
  <c r="W214"/>
  <c r="W467"/>
  <c r="V467"/>
  <c r="W201"/>
  <c r="V201"/>
  <c r="V466"/>
  <c r="W466"/>
  <c r="W179"/>
  <c r="V179"/>
  <c r="V475"/>
  <c r="W475"/>
  <c r="W167"/>
  <c r="V167"/>
  <c r="W152"/>
  <c r="V152"/>
  <c r="V133"/>
  <c r="W133"/>
  <c r="W150"/>
  <c r="V150"/>
  <c r="W454"/>
  <c r="V454"/>
  <c r="W245"/>
  <c r="V245"/>
  <c r="W334"/>
  <c r="V334"/>
  <c r="V469"/>
  <c r="W469"/>
  <c r="W253"/>
  <c r="V253"/>
  <c r="W232"/>
  <c r="V232"/>
  <c r="W217"/>
  <c r="V217"/>
  <c r="W294"/>
  <c r="V294"/>
  <c r="W231"/>
  <c r="V231"/>
  <c r="W502"/>
  <c r="V502"/>
  <c r="V472"/>
  <c r="W472"/>
  <c r="W478"/>
  <c r="V478"/>
  <c r="V476"/>
  <c r="W476"/>
  <c r="W163"/>
  <c r="V163"/>
  <c r="V495"/>
  <c r="W495"/>
  <c r="V242"/>
  <c r="W242"/>
  <c r="W320"/>
  <c r="V320"/>
  <c r="W288"/>
  <c r="V288"/>
  <c r="W377"/>
  <c r="V377"/>
  <c r="W244"/>
  <c r="V244"/>
  <c r="V184"/>
  <c r="W184"/>
  <c r="W355"/>
  <c r="V355"/>
  <c r="W293"/>
  <c r="V293"/>
  <c r="V157"/>
  <c r="W157"/>
  <c r="V468"/>
  <c r="W468"/>
  <c r="W185"/>
  <c r="V185"/>
  <c r="W371"/>
  <c r="V371"/>
  <c r="W241"/>
  <c r="V241"/>
  <c r="W118"/>
  <c r="V118"/>
  <c r="V181"/>
  <c r="W181"/>
  <c r="W243"/>
  <c r="V243"/>
  <c r="W130"/>
  <c r="V130"/>
  <c r="V238"/>
  <c r="W238"/>
  <c r="W292"/>
  <c r="V292"/>
  <c r="W327"/>
  <c r="V327"/>
  <c r="V141"/>
  <c r="W141"/>
  <c r="W235"/>
  <c r="V235"/>
  <c r="W219"/>
  <c r="V219"/>
  <c r="W203"/>
  <c r="V203"/>
  <c r="V473"/>
  <c r="W473"/>
  <c r="W135"/>
  <c r="V135"/>
  <c r="W114"/>
  <c r="V114"/>
  <c r="V477"/>
  <c r="W477"/>
  <c r="W321"/>
  <c r="V321"/>
  <c r="W199"/>
  <c r="V199"/>
  <c r="W474"/>
  <c r="V474"/>
  <c r="V226"/>
  <c r="W226"/>
  <c r="V500"/>
  <c r="W500"/>
  <c r="F371"/>
  <c r="F377"/>
  <c r="F152"/>
  <c r="F268"/>
  <c r="F495"/>
  <c r="F500"/>
  <c r="F502"/>
  <c r="F320"/>
  <c r="F330"/>
  <c r="F111"/>
  <c r="F327"/>
  <c r="F329"/>
  <c r="F134"/>
  <c r="F141"/>
  <c r="F130"/>
  <c r="F321"/>
  <c r="F114"/>
  <c r="F464"/>
  <c r="F212"/>
  <c r="F233"/>
  <c r="F458"/>
  <c r="F217"/>
  <c r="F211"/>
  <c r="F214"/>
  <c r="F218"/>
  <c r="F253"/>
  <c r="F259"/>
  <c r="F452"/>
  <c r="F454"/>
  <c r="F258"/>
  <c r="F267"/>
  <c r="F261"/>
  <c r="F260"/>
  <c r="F266"/>
  <c r="F271"/>
  <c r="F150"/>
  <c r="F272"/>
  <c r="F252"/>
  <c r="F254"/>
  <c r="F264"/>
  <c r="F160"/>
  <c r="F156"/>
  <c r="F270"/>
  <c r="F255"/>
  <c r="F262"/>
  <c r="F269"/>
  <c r="F229"/>
  <c r="F224"/>
  <c r="F351"/>
  <c r="F339"/>
  <c r="F318"/>
  <c r="F465"/>
  <c r="F466"/>
  <c r="F472"/>
  <c r="F467"/>
  <c r="F476"/>
  <c r="F478"/>
  <c r="F118"/>
  <c r="F147"/>
  <c r="F133"/>
  <c r="F135"/>
  <c r="F462"/>
  <c r="F460"/>
  <c r="F56"/>
  <c r="F58"/>
  <c r="F57"/>
  <c r="F60"/>
  <c r="F247"/>
  <c r="F210"/>
  <c r="F137"/>
  <c r="F375"/>
  <c r="F427"/>
  <c r="F426"/>
  <c r="F163"/>
  <c r="F157"/>
  <c r="F447"/>
  <c r="F446"/>
  <c r="F443"/>
  <c r="F457"/>
  <c r="F455"/>
  <c r="F450"/>
  <c r="F453"/>
  <c r="F485"/>
  <c r="F104"/>
  <c r="F107"/>
  <c r="F496"/>
  <c r="F489"/>
  <c r="F490"/>
  <c r="F486"/>
  <c r="F338"/>
  <c r="F359"/>
  <c r="F312"/>
  <c r="F331"/>
  <c r="F340"/>
  <c r="F336"/>
  <c r="F143"/>
  <c r="F142"/>
  <c r="F115"/>
  <c r="F245"/>
  <c r="F430"/>
  <c r="F468"/>
  <c r="F477"/>
  <c r="F469"/>
  <c r="F481"/>
  <c r="F473"/>
  <c r="F475"/>
  <c r="F474"/>
  <c r="F295"/>
  <c r="F293"/>
  <c r="F292"/>
  <c r="F294"/>
  <c r="F215"/>
  <c r="F239"/>
  <c r="F164"/>
  <c r="F167"/>
  <c r="F172"/>
  <c r="F231"/>
  <c r="F242"/>
  <c r="F243"/>
  <c r="F173"/>
  <c r="F171"/>
  <c r="F226"/>
  <c r="F238"/>
  <c r="F222"/>
  <c r="F341"/>
  <c r="F319"/>
  <c r="F323"/>
  <c r="F314"/>
  <c r="F311"/>
  <c r="F103"/>
  <c r="F122"/>
  <c r="F105"/>
  <c r="F109"/>
  <c r="F303"/>
  <c r="F313"/>
  <c r="F117"/>
  <c r="F113"/>
  <c r="F309"/>
  <c r="F127"/>
  <c r="F284"/>
  <c r="F282"/>
  <c r="F501"/>
  <c r="F348"/>
  <c r="F333"/>
  <c r="F125"/>
  <c r="F250"/>
  <c r="F249"/>
  <c r="F225"/>
  <c r="F216"/>
  <c r="F334"/>
  <c r="F355"/>
  <c r="F372"/>
  <c r="D371"/>
  <c r="D377"/>
  <c r="D152"/>
  <c r="D268"/>
  <c r="D495"/>
  <c r="D500"/>
  <c r="D502"/>
  <c r="D320"/>
  <c r="D330"/>
  <c r="D111"/>
  <c r="D327"/>
  <c r="D329"/>
  <c r="D134"/>
  <c r="D141"/>
  <c r="D130"/>
  <c r="D321"/>
  <c r="D114"/>
  <c r="D464"/>
  <c r="D212"/>
  <c r="D233"/>
  <c r="D458"/>
  <c r="D217"/>
  <c r="D211"/>
  <c r="D214"/>
  <c r="D218"/>
  <c r="D253"/>
  <c r="D259"/>
  <c r="D452"/>
  <c r="D454"/>
  <c r="D258"/>
  <c r="D267"/>
  <c r="D261"/>
  <c r="D260"/>
  <c r="D266"/>
  <c r="D271"/>
  <c r="D150"/>
  <c r="D272"/>
  <c r="D252"/>
  <c r="D254"/>
  <c r="D204"/>
  <c r="D264"/>
  <c r="D160"/>
  <c r="D156"/>
  <c r="D270"/>
  <c r="D255"/>
  <c r="D262"/>
  <c r="D269"/>
  <c r="D229"/>
  <c r="D224"/>
  <c r="D351"/>
  <c r="D339"/>
  <c r="D318"/>
  <c r="D465"/>
  <c r="D466"/>
  <c r="D472"/>
  <c r="D467"/>
  <c r="D476"/>
  <c r="D478"/>
  <c r="D118"/>
  <c r="D147"/>
  <c r="D133"/>
  <c r="D135"/>
  <c r="D462"/>
  <c r="D460"/>
  <c r="D56"/>
  <c r="D58"/>
  <c r="D57"/>
  <c r="D60"/>
  <c r="D207"/>
  <c r="D247"/>
  <c r="D210"/>
  <c r="D137"/>
  <c r="D375"/>
  <c r="D427"/>
  <c r="D426"/>
  <c r="D163"/>
  <c r="D157"/>
  <c r="D447"/>
  <c r="D446"/>
  <c r="D443"/>
  <c r="D457"/>
  <c r="D455"/>
  <c r="D450"/>
  <c r="D453"/>
  <c r="D485"/>
  <c r="D124"/>
  <c r="D104"/>
  <c r="D107"/>
  <c r="D496"/>
  <c r="D489"/>
  <c r="D490"/>
  <c r="D486"/>
  <c r="D338"/>
  <c r="D359"/>
  <c r="D312"/>
  <c r="D331"/>
  <c r="D340"/>
  <c r="D336"/>
  <c r="D143"/>
  <c r="D142"/>
  <c r="D115"/>
  <c r="D245"/>
  <c r="D430"/>
  <c r="D468"/>
  <c r="D477"/>
  <c r="D469"/>
  <c r="D481"/>
  <c r="D473"/>
  <c r="D475"/>
  <c r="D474"/>
  <c r="D295"/>
  <c r="D293"/>
  <c r="D292"/>
  <c r="D294"/>
  <c r="D239"/>
  <c r="D164"/>
  <c r="D167"/>
  <c r="D172"/>
  <c r="D231"/>
  <c r="D242"/>
  <c r="D243"/>
  <c r="D173"/>
  <c r="D171"/>
  <c r="D226"/>
  <c r="D238"/>
  <c r="D203"/>
  <c r="D176"/>
  <c r="D222"/>
  <c r="D341"/>
  <c r="D319"/>
  <c r="D323"/>
  <c r="D314"/>
  <c r="D311"/>
  <c r="D103"/>
  <c r="D122"/>
  <c r="D105"/>
  <c r="D109"/>
  <c r="D303"/>
  <c r="D313"/>
  <c r="D117"/>
  <c r="D113"/>
  <c r="D309"/>
  <c r="D127"/>
  <c r="D284"/>
  <c r="D282"/>
  <c r="D501"/>
  <c r="D348"/>
  <c r="D333"/>
  <c r="D125"/>
  <c r="D250"/>
  <c r="D249"/>
  <c r="D225"/>
  <c r="D216"/>
  <c r="D334"/>
  <c r="D355"/>
  <c r="D372"/>
  <c r="F4" l="1"/>
  <c r="Z124" l="1"/>
  <c r="AA124" s="1"/>
  <c r="Z107" l="1"/>
  <c r="AA107" s="1"/>
  <c r="Z58"/>
  <c r="AA58" s="1"/>
  <c r="Z60"/>
  <c r="AA60" s="1"/>
  <c r="Z104"/>
  <c r="AA104" s="1"/>
  <c r="Z185"/>
  <c r="AA185" s="1"/>
  <c r="Z56"/>
  <c r="AA56" s="1"/>
  <c r="Z57"/>
  <c r="AA57" s="1"/>
  <c r="Z172"/>
  <c r="AA172" s="1"/>
  <c r="Z114"/>
  <c r="AA114" s="1"/>
  <c r="Z143" l="1"/>
  <c r="AA143" s="1"/>
  <c r="AA167"/>
  <c r="Z142"/>
  <c r="AA142" s="1"/>
  <c r="Z183"/>
  <c r="AA183" s="1"/>
  <c r="Z454"/>
  <c r="AA454" s="1"/>
  <c r="Z173"/>
  <c r="AA173" s="1"/>
  <c r="Z164"/>
  <c r="AA164" s="1"/>
  <c r="Z171"/>
  <c r="AA171" s="1"/>
  <c r="M519" l="1"/>
  <c r="J125"/>
  <c r="K125" s="1"/>
  <c r="J132"/>
  <c r="K132" s="1"/>
  <c r="J105"/>
  <c r="K105" s="1"/>
  <c r="J349"/>
  <c r="K349" s="1"/>
  <c r="J284"/>
  <c r="K284" s="1"/>
  <c r="J506"/>
  <c r="K506" s="1"/>
  <c r="Z122"/>
  <c r="AA122" s="1"/>
  <c r="J216"/>
  <c r="K216" s="1"/>
  <c r="J122"/>
  <c r="K122" s="1"/>
  <c r="J418"/>
  <c r="K418" s="1"/>
  <c r="J407"/>
  <c r="K407" s="1"/>
  <c r="J501"/>
  <c r="K501" s="1"/>
  <c r="J419"/>
  <c r="K419" s="1"/>
  <c r="J106"/>
  <c r="K106" s="1"/>
  <c r="J212"/>
  <c r="K212" s="1"/>
  <c r="J509"/>
  <c r="K509" s="1"/>
  <c r="J233"/>
  <c r="K233" s="1"/>
  <c r="J353"/>
  <c r="K353" s="1"/>
  <c r="J391"/>
  <c r="K391" s="1"/>
  <c r="J464"/>
  <c r="K464" s="1"/>
  <c r="J128"/>
  <c r="K128" s="1"/>
  <c r="J282"/>
  <c r="K282" s="1"/>
  <c r="J123"/>
  <c r="K123" s="1"/>
  <c r="J508"/>
  <c r="K508" s="1"/>
  <c r="J352"/>
  <c r="K352" s="1"/>
  <c r="J428"/>
  <c r="K428" s="1"/>
  <c r="J483"/>
  <c r="K483" s="1"/>
  <c r="J225"/>
  <c r="K225" s="1"/>
  <c r="J139"/>
  <c r="K139" s="1"/>
  <c r="J140"/>
  <c r="K140" s="1"/>
  <c r="J458"/>
  <c r="K458" s="1"/>
  <c r="J314"/>
  <c r="K314" s="1"/>
  <c r="J369"/>
  <c r="K369" s="1"/>
  <c r="J401"/>
  <c r="K401" s="1"/>
  <c r="J431"/>
  <c r="K431" s="1"/>
  <c r="J117"/>
  <c r="K117" s="1"/>
  <c r="J414"/>
  <c r="K414" s="1"/>
  <c r="J348"/>
  <c r="K348" s="1"/>
  <c r="J333"/>
  <c r="K333" s="1"/>
  <c r="J189"/>
  <c r="K189" s="1"/>
  <c r="J511"/>
  <c r="K511" s="1"/>
  <c r="J386"/>
  <c r="K386" s="1"/>
  <c r="J313"/>
  <c r="K313" s="1"/>
  <c r="J127"/>
  <c r="K127" s="1"/>
  <c r="J311"/>
  <c r="K311" s="1"/>
  <c r="J409"/>
  <c r="K409" s="1"/>
  <c r="J113"/>
  <c r="K113" s="1"/>
  <c r="J319"/>
  <c r="K319" s="1"/>
  <c r="J388"/>
  <c r="K388" s="1"/>
  <c r="J103"/>
  <c r="K103" s="1"/>
  <c r="J422"/>
  <c r="K422" s="1"/>
  <c r="J109"/>
  <c r="K109" s="1"/>
  <c r="J323"/>
  <c r="K323" s="1"/>
  <c r="J382"/>
  <c r="K382" s="1"/>
  <c r="J309"/>
  <c r="K309" s="1"/>
  <c r="J416"/>
  <c r="K416" s="1"/>
  <c r="J374"/>
  <c r="K374" s="1"/>
  <c r="J303"/>
  <c r="K303" s="1"/>
  <c r="J384"/>
  <c r="K384" s="1"/>
  <c r="J101"/>
  <c r="J519" l="1"/>
  <c r="Z105"/>
  <c r="AA105" s="1"/>
  <c r="Z103"/>
  <c r="AA103" s="1"/>
  <c r="Z109"/>
  <c r="AA109" s="1"/>
  <c r="K101"/>
  <c r="K519" s="1"/>
  <c r="X2" l="1"/>
  <c r="O519"/>
  <c r="S310"/>
  <c r="T310" s="1"/>
  <c r="N519"/>
  <c r="X310" l="1"/>
  <c r="U310"/>
  <c r="V310" l="1"/>
  <c r="W310"/>
</calcChain>
</file>

<file path=xl/sharedStrings.xml><?xml version="1.0" encoding="utf-8"?>
<sst xmlns="http://schemas.openxmlformats.org/spreadsheetml/2006/main" count="5798" uniqueCount="1443">
  <si>
    <t>PENYUSUNAN HPP INFICLO 2018</t>
  </si>
  <si>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</si>
  <si>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</si>
  <si>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</si>
  <si>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</si>
  <si>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</si>
  <si>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</si>
  <si>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</si>
  <si>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</si>
  <si>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</si>
  <si>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</si>
  <si>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</si>
  <si>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</si>
  <si>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</si>
  <si>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</si>
  <si>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</si>
  <si>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</si>
  <si>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</si>
  <si>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</si>
  <si>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</si>
  <si>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</si>
  <si>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</si>
  <si>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</si>
  <si>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Net</t>
  </si>
  <si>
    <t>Gross</t>
  </si>
  <si>
    <t>SKL 899</t>
  </si>
  <si>
    <t>SGB 368</t>
  </si>
  <si>
    <t>SGB 432</t>
  </si>
  <si>
    <t>SKL 923</t>
  </si>
  <si>
    <t>INF - Ce - Jaket - Parasit</t>
  </si>
  <si>
    <t>SRO 615</t>
  </si>
  <si>
    <t>INF - Ce - Jaket - Fleece</t>
  </si>
  <si>
    <t>SRO 603</t>
  </si>
  <si>
    <t>INF - Ce - Jaket - Jeans</t>
  </si>
  <si>
    <t>SMD 142</t>
  </si>
  <si>
    <t>INF - Ce - Celana - Jeans</t>
  </si>
  <si>
    <t>SDK 258</t>
  </si>
  <si>
    <t>SDK 317</t>
  </si>
  <si>
    <t>SMD 222</t>
  </si>
  <si>
    <t>SDR 653</t>
  </si>
  <si>
    <t>INF - Co - Jaket - Rajut</t>
  </si>
  <si>
    <t>SMD 658</t>
  </si>
  <si>
    <t>INF - Co - Jaket - Fleece</t>
  </si>
  <si>
    <t>INF - Co - Jaket - Parasit</t>
  </si>
  <si>
    <t>SMD 722</t>
  </si>
  <si>
    <t>SIP 809</t>
  </si>
  <si>
    <t>INF - Co - Jaket - Diadora</t>
  </si>
  <si>
    <t>SMD 431</t>
  </si>
  <si>
    <t>SDN 758</t>
  </si>
  <si>
    <t>INF - Co - Jaket - Jeans</t>
  </si>
  <si>
    <t>SZK 679</t>
  </si>
  <si>
    <t>INF - Ce - Tas Wanita</t>
  </si>
  <si>
    <t>SKS 690</t>
  </si>
  <si>
    <t>SRI 697</t>
  </si>
  <si>
    <t>SKS 318</t>
  </si>
  <si>
    <t>SRM 194</t>
  </si>
  <si>
    <t>SRI 126</t>
  </si>
  <si>
    <t>SFR 605</t>
  </si>
  <si>
    <t>SFR 348</t>
  </si>
  <si>
    <t>SFR 840</t>
  </si>
  <si>
    <t>INF - Ce - Dompet</t>
  </si>
  <si>
    <t>SII 468</t>
  </si>
  <si>
    <t>SPT 805</t>
  </si>
  <si>
    <t>SPT 397</t>
  </si>
  <si>
    <t>SPT 993</t>
  </si>
  <si>
    <t>SPT 242</t>
  </si>
  <si>
    <t>SVN 014</t>
  </si>
  <si>
    <t>SLN 192</t>
  </si>
  <si>
    <t>SMB 611</t>
  </si>
  <si>
    <t>SFS 973</t>
  </si>
  <si>
    <t>SGT 472</t>
  </si>
  <si>
    <t>SOK 777</t>
  </si>
  <si>
    <t>SOK 786</t>
  </si>
  <si>
    <t>SZK 229</t>
  </si>
  <si>
    <t>STJ 974</t>
  </si>
  <si>
    <t>SPV 215</t>
  </si>
  <si>
    <t>SPV 243</t>
  </si>
  <si>
    <t>Cek Harga HPP</t>
  </si>
  <si>
    <t>Cek Aksesoris</t>
  </si>
  <si>
    <t>Cek Average</t>
  </si>
  <si>
    <t>Cek %</t>
  </si>
  <si>
    <t>Kode RND</t>
  </si>
  <si>
    <t>SFT 716</t>
  </si>
  <si>
    <t>SGB 876</t>
  </si>
  <si>
    <t>SGB 636</t>
  </si>
  <si>
    <t>SMD 373</t>
  </si>
  <si>
    <t>SMD 442</t>
  </si>
  <si>
    <t>SMD 153</t>
  </si>
  <si>
    <t>SMD 265</t>
  </si>
  <si>
    <t>SIP 381</t>
  </si>
  <si>
    <t>SRO 467</t>
  </si>
  <si>
    <t>SMD 822</t>
  </si>
  <si>
    <t>SDR 900</t>
  </si>
  <si>
    <t>SZK 205</t>
  </si>
  <si>
    <t>SMI 401</t>
  </si>
  <si>
    <t>SSP 878</t>
  </si>
  <si>
    <t>SLX 853</t>
  </si>
  <si>
    <t>SRI 252</t>
  </si>
  <si>
    <t>SRM 713</t>
  </si>
  <si>
    <t>SRI 546</t>
  </si>
  <si>
    <t>SRI 449</t>
  </si>
  <si>
    <t>SBD 695</t>
  </si>
  <si>
    <t>SBL 016</t>
  </si>
  <si>
    <t>SAM 392</t>
  </si>
  <si>
    <t>SOR 979</t>
  </si>
  <si>
    <t>SFS 184</t>
  </si>
  <si>
    <t>SPT 123</t>
  </si>
  <si>
    <t>SII 578</t>
  </si>
  <si>
    <t>SZK 976</t>
  </si>
  <si>
    <t>SSN 117</t>
  </si>
  <si>
    <t>SPV 119</t>
  </si>
  <si>
    <t>SPV 311</t>
  </si>
  <si>
    <t>SPV 491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</si>
  <si>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</si>
  <si>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</si>
  <si>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</si>
  <si>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</si>
  <si>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</si>
  <si>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</si>
  <si>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</si>
  <si>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</si>
  <si>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</si>
  <si>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SLX 249</t>
  </si>
  <si>
    <t>SLX 967</t>
  </si>
  <si>
    <t>SLX 961</t>
  </si>
  <si>
    <t>SLX 326</t>
  </si>
  <si>
    <t>STJ 253</t>
  </si>
  <si>
    <t>STJ 191</t>
  </si>
  <si>
    <t>STJ 379</t>
  </si>
  <si>
    <t>SIP 478</t>
  </si>
  <si>
    <t>SIP 358</t>
  </si>
  <si>
    <t>SIP 892</t>
  </si>
  <si>
    <t>SIP 947</t>
  </si>
  <si>
    <t>SIP 718</t>
  </si>
  <si>
    <t>SIP 742</t>
  </si>
  <si>
    <t>SIP 929</t>
  </si>
  <si>
    <t>SFS 493</t>
  </si>
  <si>
    <t>SFS 688</t>
  </si>
  <si>
    <t>SFS 590</t>
  </si>
  <si>
    <t>SSO 207</t>
  </si>
  <si>
    <t>SSO 913</t>
  </si>
  <si>
    <t>SSO 949</t>
  </si>
  <si>
    <t>SSO 403</t>
  </si>
  <si>
    <t>SMB 187</t>
  </si>
  <si>
    <t>SMB 763</t>
  </si>
  <si>
    <t>SPT 580</t>
  </si>
  <si>
    <t>SPT 699</t>
  </si>
  <si>
    <t>SPT 764</t>
  </si>
  <si>
    <t>SPT 360</t>
  </si>
  <si>
    <t>SPT 770</t>
  </si>
  <si>
    <t>SHY 426</t>
  </si>
  <si>
    <t>SHY 139</t>
  </si>
  <si>
    <t>STV 773</t>
  </si>
  <si>
    <t>STV 460</t>
  </si>
  <si>
    <t>STV 575</t>
  </si>
  <si>
    <t>STV 755</t>
  </si>
  <si>
    <t>STV 673</t>
  </si>
  <si>
    <t>STV 801</t>
  </si>
  <si>
    <t>STV 406</t>
  </si>
  <si>
    <t>STV 914</t>
  </si>
  <si>
    <t>STV 131</t>
  </si>
  <si>
    <t>SMU 946</t>
  </si>
  <si>
    <t>SMU 418</t>
  </si>
  <si>
    <t>SMU 585</t>
  </si>
  <si>
    <t>SMU 354</t>
  </si>
  <si>
    <t>SMU 122</t>
  </si>
  <si>
    <t>STU 685</t>
  </si>
  <si>
    <t>STU 598</t>
  </si>
  <si>
    <t>STU 230</t>
  </si>
  <si>
    <t>SDN 570</t>
  </si>
  <si>
    <t>SDN 838</t>
  </si>
  <si>
    <t>SGT 985</t>
  </si>
  <si>
    <t>SGT 935</t>
  </si>
  <si>
    <t>SGT 783</t>
  </si>
  <si>
    <t>SGT 687</t>
  </si>
  <si>
    <t>SGT 743</t>
  </si>
  <si>
    <t>SMA 938</t>
  </si>
  <si>
    <t>SMA 794</t>
  </si>
  <si>
    <t>SMA 170</t>
  </si>
  <si>
    <t>SMA 305</t>
  </si>
  <si>
    <t>SMA 928</t>
  </si>
  <si>
    <t>SCC 540</t>
  </si>
  <si>
    <t>SCC 498</t>
  </si>
  <si>
    <t>SGB 316</t>
  </si>
  <si>
    <t>SGB 446</t>
  </si>
  <si>
    <t>SGB 517</t>
  </si>
  <si>
    <t>SGB 562</t>
  </si>
  <si>
    <t>SGB 333</t>
  </si>
  <si>
    <t>SGB 435</t>
  </si>
  <si>
    <t>SFT 720</t>
  </si>
  <si>
    <t>SFT 766</t>
  </si>
  <si>
    <t>SRF 336</t>
  </si>
  <si>
    <t>SRF 987</t>
  </si>
  <si>
    <t>SHM 681</t>
  </si>
  <si>
    <t>SHM 295</t>
  </si>
  <si>
    <t>SHM 528</t>
  </si>
  <si>
    <t>STT 174</t>
  </si>
  <si>
    <t>STT 224</t>
  </si>
  <si>
    <t>SJO 916</t>
  </si>
  <si>
    <t>SJO 996</t>
  </si>
  <si>
    <t>SJU 950</t>
  </si>
  <si>
    <t>SJU 319</t>
  </si>
  <si>
    <t>SJU 807</t>
  </si>
  <si>
    <t>SJU 113</t>
  </si>
  <si>
    <t>SJU 226</t>
  </si>
  <si>
    <t>SJU 849</t>
  </si>
  <si>
    <t>SKL 573</t>
  </si>
  <si>
    <t>SKL 902</t>
  </si>
  <si>
    <t>SKL 666</t>
  </si>
  <si>
    <t>SLN 454</t>
  </si>
  <si>
    <t>SLN 710</t>
  </si>
  <si>
    <t>SLN 665</t>
  </si>
  <si>
    <t>SLN 599</t>
  </si>
  <si>
    <t>SLN 564</t>
  </si>
  <si>
    <t>SLN 719</t>
  </si>
  <si>
    <t>SLN 857</t>
  </si>
  <si>
    <t>SRO 469</t>
  </si>
  <si>
    <t>SRO 589</t>
  </si>
  <si>
    <t>SRO 992</t>
  </si>
  <si>
    <t>SRO 606</t>
  </si>
  <si>
    <t>SMI 579</t>
  </si>
  <si>
    <t>SMI 588</t>
  </si>
  <si>
    <t>SMI 405</t>
  </si>
  <si>
    <t>SMI 704</t>
  </si>
  <si>
    <t>SMI 835</t>
  </si>
  <si>
    <t>SDK 201</t>
  </si>
  <si>
    <t>STG 990</t>
  </si>
  <si>
    <t>STG 208</t>
  </si>
  <si>
    <t>STG 487</t>
  </si>
  <si>
    <t>SOK 308</t>
  </si>
  <si>
    <t>SOK 363</t>
  </si>
  <si>
    <t>SOK 804</t>
  </si>
  <si>
    <t>SOK 458</t>
  </si>
  <si>
    <t>SDR 211</t>
  </si>
  <si>
    <t>SDR 299</t>
  </si>
  <si>
    <t>SDR 388</t>
  </si>
  <si>
    <t>SDR 823</t>
  </si>
  <si>
    <t>SRI 565</t>
  </si>
  <si>
    <t>SRI 648</t>
  </si>
  <si>
    <t>SRI 163</t>
  </si>
  <si>
    <t>SRI 672</t>
  </si>
  <si>
    <t>SRI 813</t>
  </si>
  <si>
    <t>SRI 601</t>
  </si>
  <si>
    <t>SMD 386</t>
  </si>
  <si>
    <t>SMD 375</t>
  </si>
  <si>
    <t>SMD 364</t>
  </si>
  <si>
    <t>SMD 359</t>
  </si>
  <si>
    <t>SMD 102</t>
  </si>
  <si>
    <t>SMD 726</t>
  </si>
  <si>
    <t>SMD 168</t>
  </si>
  <si>
    <t>SMD 757</t>
  </si>
  <si>
    <t>SMD 447</t>
  </si>
  <si>
    <t>SMD 346</t>
  </si>
  <si>
    <t>SMD 927</t>
  </si>
  <si>
    <t>SMD 711</t>
  </si>
  <si>
    <t>SMD 343</t>
  </si>
  <si>
    <t>SII 424</t>
  </si>
  <si>
    <t>SII 930</t>
  </si>
  <si>
    <t>SWN 292</t>
  </si>
  <si>
    <t>SWN 592</t>
  </si>
  <si>
    <t>SWN 645</t>
  </si>
  <si>
    <t>SDI 502</t>
  </si>
  <si>
    <t>SDI 227</t>
  </si>
  <si>
    <t>SFR 193</t>
  </si>
  <si>
    <t>SFR 739</t>
  </si>
  <si>
    <t>SFR 480</t>
  </si>
  <si>
    <t>SFR 288</t>
  </si>
  <si>
    <t>SFR 203</t>
  </si>
  <si>
    <t>SFR 620</t>
  </si>
  <si>
    <t>SFR 740</t>
  </si>
  <si>
    <t>SNO 633</t>
  </si>
  <si>
    <t>SNO 888</t>
  </si>
  <si>
    <t>SNO 266</t>
  </si>
  <si>
    <t>SNO 765</t>
  </si>
  <si>
    <t>SZK 822</t>
  </si>
  <si>
    <t>SZK 504</t>
  </si>
  <si>
    <t>SSP 255</t>
  </si>
  <si>
    <t>SSP 989</t>
  </si>
  <si>
    <t>SSP 399</t>
  </si>
  <si>
    <t>SSP 555</t>
  </si>
  <si>
    <t>SSP 546</t>
  </si>
  <si>
    <t>SVN 641</t>
  </si>
  <si>
    <t>SVN 680</t>
  </si>
  <si>
    <t>SVN 179</t>
  </si>
  <si>
    <t>SLI 977</t>
  </si>
  <si>
    <t>SLI 776</t>
  </si>
  <si>
    <t>SLI 800</t>
  </si>
  <si>
    <t>SLI 583</t>
  </si>
  <si>
    <t>SLI 543</t>
  </si>
  <si>
    <t>SLI 803</t>
  </si>
  <si>
    <t>SLI 331</t>
  </si>
  <si>
    <t>SLI 430</t>
  </si>
  <si>
    <t>SLI 940</t>
  </si>
  <si>
    <t>SLI 890</t>
  </si>
  <si>
    <t>SLI 618</t>
  </si>
  <si>
    <t>SLI 479</t>
  </si>
  <si>
    <t>STA 817</t>
  </si>
  <si>
    <t>STA 983</t>
  </si>
  <si>
    <t>STA 793</t>
  </si>
  <si>
    <t>Baru</t>
  </si>
  <si>
    <t>INF - CO - Celana - Jeans</t>
  </si>
  <si>
    <t xml:space="preserve"> INF - CO - Celana - Jeans </t>
  </si>
  <si>
    <t xml:space="preserve"> INF - Ce - Celana - Jeans </t>
  </si>
  <si>
    <t>INF - Anak Ce - Jaket</t>
  </si>
  <si>
    <t>INF - Anak Ce - Sweater</t>
  </si>
  <si>
    <t>INF - Co - Jaket - Canvas</t>
  </si>
  <si>
    <t>INF - Ce - Jaket - Canvas</t>
  </si>
  <si>
    <t>INF - Ce - Jaket - Vienna</t>
  </si>
  <si>
    <t>INF - Anak - Tas</t>
  </si>
  <si>
    <t>INF - Ce - Tas Punggung Sintetis</t>
  </si>
  <si>
    <t>INF - Co - Aksesoris - Dompet</t>
  </si>
  <si>
    <t>INF - Anak Ce - Mukena</t>
  </si>
  <si>
    <t>INF - Co - Jaket - Ferrary</t>
  </si>
  <si>
    <t>INF - Ce - Pakaian - Dress Spandek</t>
  </si>
  <si>
    <t>INF - Ce - Co - Sarimbit</t>
  </si>
  <si>
    <t>INF - Co - Pakaian - Kemeja</t>
  </si>
  <si>
    <t>INF - Ce - Pakaian - Gamis</t>
  </si>
  <si>
    <t>Belum - Ada - Kategori</t>
  </si>
  <si>
    <t>INF - Co - Tas - Travel</t>
  </si>
  <si>
    <t>INF - Ce - Mukena</t>
  </si>
  <si>
    <t>INF - Anak Co - Jaket</t>
  </si>
  <si>
    <t>INF - Co - Jaket - Jaket Touring</t>
  </si>
  <si>
    <t>INF - Co - Jaket - Taslan</t>
  </si>
  <si>
    <t>INF - Ce - Jaket - Taslan</t>
  </si>
  <si>
    <t>INF - Co - Pakaian - Lacoste</t>
  </si>
  <si>
    <t>INF - Co - Tas - Punggung</t>
  </si>
  <si>
    <t>Perlengkapan Bayi</t>
  </si>
  <si>
    <t>INF - Co - Tas - Samping</t>
  </si>
  <si>
    <t>INF - Ce - Pakaian - Atasan - Rajut</t>
  </si>
  <si>
    <t>INF - Ce - Jaket - Diadora</t>
  </si>
  <si>
    <t>ALEX SLX</t>
  </si>
  <si>
    <t>Suteja - STJ</t>
  </si>
  <si>
    <t>Ika - SIP</t>
  </si>
  <si>
    <t>Faisal - SFS</t>
  </si>
  <si>
    <t>Rahmat Sonjaya - NEW</t>
  </si>
  <si>
    <t>Wawan-SMB</t>
  </si>
  <si>
    <t>Budi - SPT</t>
  </si>
  <si>
    <t>HARYATI - NEW</t>
  </si>
  <si>
    <t>WANJA - STV</t>
  </si>
  <si>
    <t>Ummu Hani - New</t>
  </si>
  <si>
    <t>ANDRI STU</t>
  </si>
  <si>
    <t>Dian - SDN</t>
  </si>
  <si>
    <t>RIDWAN - SGT</t>
  </si>
  <si>
    <t>MELA - NEW</t>
  </si>
  <si>
    <t>CECEP - NEW</t>
  </si>
  <si>
    <t>AGUNG BUDIMAN - SGB</t>
  </si>
  <si>
    <t>Hasan - SFT</t>
  </si>
  <si>
    <t>IRFAN SEPTIANADA - NEW</t>
  </si>
  <si>
    <t>RAHMAT H - LJC</t>
  </si>
  <si>
    <t>TANTRI - NEW</t>
  </si>
  <si>
    <t>ADE OJAN - NEW</t>
  </si>
  <si>
    <t>JUJUN - NEW</t>
  </si>
  <si>
    <t>KASIL - SKL</t>
  </si>
  <si>
    <t>Asep Supriatna - SLN/LST</t>
  </si>
  <si>
    <t>ASEP RODI-SRO</t>
  </si>
  <si>
    <t>Jamal - SMI</t>
  </si>
  <si>
    <t>SONIYANSYAH - NEW</t>
  </si>
  <si>
    <t>DEDE TATANG - NEW</t>
  </si>
  <si>
    <t>Kokom Anisa - SOK</t>
  </si>
  <si>
    <t>Dani - SDR</t>
  </si>
  <si>
    <t>Tati Hardiati - SRI/SKS/SFC/LSR</t>
  </si>
  <si>
    <t>Dayut - SMD</t>
  </si>
  <si>
    <t>IIS AISYAH - SII/LEO</t>
  </si>
  <si>
    <t>H IWAN K</t>
  </si>
  <si>
    <t>DENI JAKET - NEW</t>
  </si>
  <si>
    <t>Feri - SFR/LTY</t>
  </si>
  <si>
    <t>Yono - SNO</t>
  </si>
  <si>
    <t>Didin - SZK</t>
  </si>
  <si>
    <t>Usep - SSP</t>
  </si>
  <si>
    <t>Ervin - SVN</t>
  </si>
  <si>
    <t>Admaryus - SPV</t>
  </si>
  <si>
    <t>Ali Muhammad - SAM/SLI</t>
  </si>
  <si>
    <t>TITA - NEW</t>
  </si>
  <si>
    <t>Katalog,slip kemeja,label,handtag,plastik</t>
  </si>
  <si>
    <t>katalog,slip,label,hangtag,kulit jeans,laken L</t>
  </si>
  <si>
    <t>katalog,slip,label,handtag,plastik</t>
  </si>
  <si>
    <t>katalog,slip,label,hangtag,label kain htm,laken L</t>
  </si>
  <si>
    <t>katalog,slip,label,hangtag,plastik</t>
  </si>
  <si>
    <t>katalog,slip,label,hangtag,laken L</t>
  </si>
  <si>
    <t>katalog,slip,label,hangtag,emblem 1 , laken L, embelem 2</t>
  </si>
  <si>
    <t>katalog,slip,label,hangtag,emblem,laken L</t>
  </si>
  <si>
    <t>katalog,slip,label ID,handtag,laken XL</t>
  </si>
  <si>
    <t>katalog,slip,handtag,logam emas, laken L</t>
  </si>
  <si>
    <t>katalog,slip karet,handtag,laken L</t>
  </si>
  <si>
    <t>katalog,slip karet,handtag,laken XL,logam emas</t>
  </si>
  <si>
    <t>katalog,slip,label ID,hangtag,laken XL</t>
  </si>
  <si>
    <t xml:space="preserve">katalog,slip,handtag,logam emas, laken </t>
  </si>
  <si>
    <t>katalog,slip,handtag, laken L</t>
  </si>
  <si>
    <t>katalog,slip,handtag,logam mikel, laken L</t>
  </si>
  <si>
    <t>katalog,slip karet,handtag, logam emas,laken S</t>
  </si>
  <si>
    <t>katalog,slip karet,handtag,Dus,label kain</t>
  </si>
  <si>
    <t>katalog,slip karet,handtag,laken S</t>
  </si>
  <si>
    <t>katalog,slip,handtag</t>
  </si>
  <si>
    <t>katalog,slip karet,handtag, logam emas,laken XL</t>
  </si>
  <si>
    <t>katalog,slip karet,handtag, logam emas,laken L</t>
  </si>
  <si>
    <t>katalog,slip karet,handtag,logam mikel, laken L</t>
  </si>
  <si>
    <t>katalog,slip ,handtag,laken XL</t>
  </si>
  <si>
    <t>katalog,slip ,Label,handtag,laken L</t>
  </si>
  <si>
    <t>katalog,slip ,Label,handtag,laken L, kulit jeans</t>
  </si>
  <si>
    <t>katalog,slip ,label ID,handtag,laken XL</t>
  </si>
  <si>
    <t>katalog,slip ,Label,handtag,plastik</t>
  </si>
  <si>
    <t>katalog,slip ,label ID,handtag,laken L</t>
  </si>
  <si>
    <t>katalog,slip ,handtag,kulit jeans cewe,plastik</t>
  </si>
  <si>
    <t>katalog,slip karet,label pundak,handtag, logam emas,laken L</t>
  </si>
  <si>
    <t>katalog,slip ,Label,handtag,laken XL</t>
  </si>
  <si>
    <t>katalog,slip ,Label,handtag,dus kecil</t>
  </si>
  <si>
    <t>katalog,slip ,Label,handtag,plastik besar</t>
  </si>
  <si>
    <t>katalog,slip ,Label,handtag,dus besar</t>
  </si>
  <si>
    <t>katalog,slip karet,handtag, logam emas,laken M</t>
  </si>
  <si>
    <t>katalog,slip ,handtag, logam emas,laken XL</t>
  </si>
  <si>
    <t>katalog,slip ,handtag,laken L</t>
  </si>
  <si>
    <t>katalog,slip ,handtag,kulit jeans,laken L</t>
  </si>
  <si>
    <t>katalog,slip ,handtag,label ID,label+woven</t>
  </si>
  <si>
    <t>katalog,slip ,handtag,label ID,label+woven,lubang 2</t>
  </si>
  <si>
    <t>katalog,slip karet,handtag,logam emas,laken XL</t>
  </si>
  <si>
    <t>katalog,slip ,slip,handtag,laken L</t>
  </si>
  <si>
    <t>katalog,slip ,slip,handtag,plastik besar</t>
  </si>
  <si>
    <t>katalog,slip kain,handtag,dus</t>
  </si>
  <si>
    <t>katalog ,slip,handtag,laken S</t>
  </si>
  <si>
    <t>katalog ,slip,label,handtag,laken L</t>
  </si>
  <si>
    <t>katalog,slip ,label,handtag,emblem,laken L</t>
  </si>
  <si>
    <t>katalog,slip ,label,handtag,label lacoste,plastik</t>
  </si>
  <si>
    <t>katalog,slip ,label,handtag,label lacoste,laken L</t>
  </si>
  <si>
    <t>katalog ,slip,label,handtag,laken XL</t>
  </si>
  <si>
    <t>katalog,slip ,label,handtag,kulit jeans,laken L</t>
  </si>
  <si>
    <t>katalog,slip ,label pundak,handtag,emblem,laken L</t>
  </si>
  <si>
    <t>katalog,slip ,label pundak,handtag,label kain,laken L</t>
  </si>
  <si>
    <t>katalog ,slip,handtag,kulit woven,laken XL</t>
  </si>
  <si>
    <t>katalog,slip ,label ID,handtag</t>
  </si>
  <si>
    <t>katalog,slip ,label,handtag,plastik besar</t>
  </si>
  <si>
    <t>katalog,slip karet,handtag,logam mikel,laken XL</t>
  </si>
  <si>
    <t>katalog,slip karet,handtag,logam besar,laken XL</t>
  </si>
  <si>
    <t>katalog,slip karet,handtag,logam emas,laken L</t>
  </si>
  <si>
    <t>katalog,slip karet,handtag,laken XL</t>
  </si>
  <si>
    <t>katalog,slip karet,handtag,logam kaleng,laken XL</t>
  </si>
  <si>
    <t>katalog,slip karet,handtag,logam besar,laken L</t>
  </si>
  <si>
    <t>katalog,slip,label,handtag,label lacoste,laken L</t>
  </si>
  <si>
    <t>katalog,slip,label,handtag,laken L</t>
  </si>
  <si>
    <t>katalog,slip,label,handtag,lakon jaket,laken L</t>
  </si>
  <si>
    <t>katalog,slip ,label,handtag,emblem,plastik</t>
  </si>
  <si>
    <t>katalog,slip 2x ,handtag,emblem 2x,laken L</t>
  </si>
  <si>
    <t>katalog,slip ,label,handtag,plastik25</t>
  </si>
  <si>
    <t>katalog,slip ,label,handtag,label lacoste,plastik450</t>
  </si>
  <si>
    <t>katalog,slip ,label,handtag,label lacoste,plastik451</t>
  </si>
  <si>
    <t>katalog,slip ,label,handtag,label lacoste,plastik452</t>
  </si>
  <si>
    <t>katalog,slip ,label,handtag,label lacoste,plastik453</t>
  </si>
  <si>
    <t>katalog,slip karet,handtag,laken, logam emas</t>
  </si>
  <si>
    <t>katalog,slip,handtag,laken L, logam emas</t>
  </si>
  <si>
    <t>katalog,slip,handtag,laken L, logam mikel</t>
  </si>
  <si>
    <t>katalog,slip karet,handtag,laken XL, logam emas</t>
  </si>
  <si>
    <t>katalog,slip karet,handtag,laken L, logam emas</t>
  </si>
  <si>
    <t>katalog,slip,handtag,laken L</t>
  </si>
  <si>
    <t>katalog,slip,handtag,label,label lacoste,laken L,</t>
  </si>
  <si>
    <t>katalog,slip karet,handtag,laken XL, logam mikel</t>
  </si>
  <si>
    <t>katalog,slip karet,handtag kulit,laken XL, Cat emas</t>
  </si>
  <si>
    <t>katalog,slip karet,handtag kulit,laken L</t>
  </si>
  <si>
    <t>katalog,slip karet,handtag kulit,cat emas,laken L</t>
  </si>
  <si>
    <t>katalog,slip ,label,handtag,label lacoste,plastik750</t>
  </si>
  <si>
    <t>katalog,slip ,label,handtag,label lacoste,plastik751</t>
  </si>
  <si>
    <t>katalog,slip ,label,handtag,label lacoste,plastik752</t>
  </si>
  <si>
    <t>katalog,slip ,label,handtag,label lacoste,plastik753</t>
  </si>
  <si>
    <t>katalog,slip,handtag,label,laken L</t>
  </si>
  <si>
    <t>katalog,slip,handtag,label,laken XL</t>
  </si>
  <si>
    <t>katalog,slip,handtag,kulit jeans,laken L</t>
  </si>
  <si>
    <t>katalog,slip,label ID,handtag,laken XL,Label+woven, Slip karet tali laptop</t>
  </si>
  <si>
    <t>katalog,slip,handtag,label ID</t>
  </si>
  <si>
    <t>katalog,slip,handtag,label ID, Kulit jeans, laken M</t>
  </si>
  <si>
    <t>katalog,slip,label ID,handtag,laken XL,kulit+woven</t>
  </si>
  <si>
    <t>katalog,slip ,label,label saku,plastik besar,hangtag</t>
  </si>
  <si>
    <t>katalog,slip,handtag,label, label saku, laken L</t>
  </si>
  <si>
    <t>Katalog, slip, hangtag, kulit jeruk, laken L, Preasure Denim</t>
  </si>
  <si>
    <t>SIP 549</t>
  </si>
  <si>
    <t>-</t>
  </si>
  <si>
    <t>SIP 933</t>
  </si>
  <si>
    <t>INF - Ce - Atasan - Jeans</t>
  </si>
  <si>
    <t>SMB 251</t>
  </si>
  <si>
    <t>SKL 832</t>
  </si>
  <si>
    <t>SDI 984</t>
  </si>
  <si>
    <t>INF - Co Anak - Jaket - Ferrari</t>
  </si>
  <si>
    <t>INF - Co - Jaket - Ferrari</t>
  </si>
  <si>
    <t>SFT 223</t>
  </si>
  <si>
    <t>SMD 275</t>
  </si>
  <si>
    <t>SLN 730</t>
  </si>
  <si>
    <t>SDK 340</t>
  </si>
  <si>
    <t>baru</t>
  </si>
  <si>
    <t>No.</t>
  </si>
  <si>
    <t>SRO 688</t>
  </si>
  <si>
    <t>SSN 423</t>
  </si>
  <si>
    <t>SDL 239</t>
  </si>
  <si>
    <t>Wiwin - SDL</t>
  </si>
  <si>
    <t>SSG 537</t>
  </si>
  <si>
    <t>INF - Ce - Pakaian - Atasan</t>
  </si>
  <si>
    <t>GUSTIAN - NEW</t>
  </si>
  <si>
    <t>SUP 283</t>
  </si>
  <si>
    <t>EUIS FATIMAH - SUP</t>
  </si>
  <si>
    <t>SRS 149</t>
  </si>
  <si>
    <t>Adin - SHJ</t>
  </si>
  <si>
    <t>SSR 185</t>
  </si>
  <si>
    <t>KIKI SRI R - NEW</t>
  </si>
  <si>
    <t>SAD 244</t>
  </si>
  <si>
    <t>Andri - SAD</t>
  </si>
  <si>
    <t>SSG 772</t>
  </si>
  <si>
    <t>SSR 236</t>
  </si>
  <si>
    <t>SMR 915</t>
  </si>
  <si>
    <t>Mira - SMR</t>
  </si>
  <si>
    <t>SSG 922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</si>
  <si>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</si>
  <si>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</si>
  <si>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</si>
  <si>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</si>
  <si>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</si>
  <si>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</si>
  <si>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</si>
  <si>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</si>
  <si>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</si>
  <si>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</si>
  <si>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</si>
  <si>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Ratna - SRT</t>
  </si>
  <si>
    <t>SRS 945</t>
  </si>
  <si>
    <t>SRY 268</t>
  </si>
  <si>
    <t>RYAN (RRY) - NEW</t>
  </si>
  <si>
    <t>SSG 731</t>
  </si>
  <si>
    <t>SRS 630</t>
  </si>
  <si>
    <t>SRS 574</t>
  </si>
  <si>
    <t>SSG 781</t>
  </si>
  <si>
    <t>SRS 140</t>
  </si>
  <si>
    <t>SMR 836</t>
  </si>
  <si>
    <t>SRS 482</t>
  </si>
  <si>
    <t>SNN 682</t>
  </si>
  <si>
    <t>Anna - New</t>
  </si>
  <si>
    <t>SCR 827</t>
  </si>
  <si>
    <t>SSG 332</t>
  </si>
  <si>
    <t>SPI 514</t>
  </si>
  <si>
    <t>SPI 839</t>
  </si>
  <si>
    <t>SPI 721</t>
  </si>
  <si>
    <t>SLH 240</t>
  </si>
  <si>
    <t>LILIS NURHAYATI - NEW</t>
  </si>
  <si>
    <t>SHJ 338</t>
  </si>
  <si>
    <t>SRT 628</t>
  </si>
  <si>
    <t>SOP 287</t>
  </si>
  <si>
    <t>Nani - SOP</t>
  </si>
  <si>
    <t>SHJ 956</t>
  </si>
  <si>
    <t>SAT 634</t>
  </si>
  <si>
    <t>Gingin - SAT</t>
  </si>
  <si>
    <t>SLH 558</t>
  </si>
  <si>
    <t>SHJ 293</t>
  </si>
  <si>
    <t>SDI 903</t>
  </si>
  <si>
    <t>Imas - SNS</t>
  </si>
  <si>
    <t>SMR 587</t>
  </si>
  <si>
    <t>SLH 497</t>
  </si>
  <si>
    <t>SLH 461</t>
  </si>
  <si>
    <t>SHJ 686</t>
  </si>
  <si>
    <t>SLH 490</t>
  </si>
  <si>
    <t>SHJ 646</t>
  </si>
  <si>
    <t>SDT 133</t>
  </si>
  <si>
    <t>RANDY TAUFIK - NEW</t>
  </si>
  <si>
    <t>SNS 257</t>
  </si>
  <si>
    <t>SOP 457</t>
  </si>
  <si>
    <t>SGS 534</t>
  </si>
  <si>
    <t>IDA - SGS</t>
  </si>
  <si>
    <t>SAT 881</t>
  </si>
  <si>
    <t>SRT 172</t>
  </si>
  <si>
    <t>SLS 652</t>
  </si>
  <si>
    <t>Opan - SLS</t>
  </si>
  <si>
    <t>SLS 678</t>
  </si>
  <si>
    <t>SLS 173</t>
  </si>
  <si>
    <t>SRT 889</t>
  </si>
  <si>
    <t>INF - Ce - Jilbab</t>
  </si>
  <si>
    <t>SNY 475</t>
  </si>
  <si>
    <t>Hj Iis - SNY</t>
  </si>
  <si>
    <t>SRT 282</t>
  </si>
  <si>
    <t>SGG 524</t>
  </si>
  <si>
    <t>AANG - NEW</t>
  </si>
  <si>
    <t>SOP 707</t>
  </si>
  <si>
    <t>SGG 382</t>
  </si>
  <si>
    <t>SCR 444</t>
  </si>
  <si>
    <t>SFC 747</t>
  </si>
  <si>
    <t>Baba - SSC</t>
  </si>
  <si>
    <t>SLT 270</t>
  </si>
  <si>
    <t>Ani - New</t>
  </si>
  <si>
    <t>SLC 350</t>
  </si>
  <si>
    <t>STF 237</t>
  </si>
  <si>
    <t>INF - Ce - Jaket - Lotto</t>
  </si>
  <si>
    <t>HJ - TAUFIK</t>
  </si>
  <si>
    <t>SGG 895</t>
  </si>
  <si>
    <t>STF 839</t>
  </si>
  <si>
    <t>SGU 939</t>
  </si>
  <si>
    <t>Gugum - SGU</t>
  </si>
  <si>
    <t>SKK 238</t>
  </si>
  <si>
    <t>Kiki - SKK</t>
  </si>
  <si>
    <t>SPI 130</t>
  </si>
  <si>
    <t>SPN 228</t>
  </si>
  <si>
    <t>SPN 190</t>
  </si>
  <si>
    <t>SPN 931</t>
  </si>
  <si>
    <t>SNN 274</t>
  </si>
  <si>
    <t>INF - Ce - Celana - Twill</t>
  </si>
  <si>
    <t>SPN 127</t>
  </si>
  <si>
    <t>SNP 296</t>
  </si>
  <si>
    <t>Amar - SUM/LEV</t>
  </si>
  <si>
    <t>SFA 276</t>
  </si>
  <si>
    <t>SITI FATIMAH - NEW</t>
  </si>
  <si>
    <t>SRI 328</t>
  </si>
  <si>
    <t>SUM 548</t>
  </si>
  <si>
    <t>SUM 918</t>
  </si>
  <si>
    <t>SSD 787</t>
  </si>
  <si>
    <t>MILA - SSD</t>
  </si>
  <si>
    <t>Fahmi - SFM</t>
  </si>
  <si>
    <t>HANIF - SAP</t>
  </si>
  <si>
    <t>SRB 177</t>
  </si>
  <si>
    <t>Dani - SRB</t>
  </si>
  <si>
    <t>SFA 898</t>
  </si>
  <si>
    <t>SLO 798</t>
  </si>
  <si>
    <t>Elmo - LLO</t>
  </si>
  <si>
    <t>SMH 558</t>
  </si>
  <si>
    <t>MUHSIN</t>
  </si>
  <si>
    <t>SFM 419</t>
  </si>
  <si>
    <t>SSD 897</t>
  </si>
  <si>
    <t>SDY 797</t>
  </si>
  <si>
    <t>DAYI - LDY/SDY</t>
  </si>
  <si>
    <t>SAP 941</t>
  </si>
  <si>
    <t>SFL 647</t>
  </si>
  <si>
    <t>Indra - SFL</t>
  </si>
  <si>
    <t>SGU 861</t>
  </si>
  <si>
    <t>INF - Co - Pakaian - T-shirt</t>
  </si>
  <si>
    <t>SGN 115</t>
  </si>
  <si>
    <t>GAGAN NEW</t>
  </si>
  <si>
    <t>SFC 557</t>
  </si>
  <si>
    <t>Inficlo</t>
  </si>
  <si>
    <t>SFC 337</t>
  </si>
  <si>
    <t>SFC 218</t>
  </si>
  <si>
    <t>SFC 278</t>
  </si>
  <si>
    <t>SFC 901</t>
  </si>
  <si>
    <t>SKY 733</t>
  </si>
  <si>
    <t>Rizal - SKY</t>
  </si>
  <si>
    <t>SMD 821</t>
  </si>
  <si>
    <t>SND 886</t>
  </si>
  <si>
    <t>Indra - SND</t>
  </si>
  <si>
    <t>SCL 991</t>
  </si>
  <si>
    <t>NIA SETIAWATI NEW</t>
  </si>
  <si>
    <t>SCR 150</t>
  </si>
  <si>
    <t>SFC 684</t>
  </si>
  <si>
    <t>STR 779</t>
  </si>
  <si>
    <t>SCR 298</t>
  </si>
  <si>
    <t xml:space="preserve">INF - Ce - Tas Wanita </t>
  </si>
  <si>
    <t xml:space="preserve">Amar - SUM/LEV </t>
  </si>
  <si>
    <t xml:space="preserve">SITI FATIMAH - NEW </t>
  </si>
  <si>
    <t xml:space="preserve">TENDY - NEW </t>
  </si>
  <si>
    <t xml:space="preserve">HANIF - SAP </t>
  </si>
  <si>
    <t xml:space="preserve">Taryono - SGI </t>
  </si>
  <si>
    <t xml:space="preserve">MAMAT </t>
  </si>
  <si>
    <t xml:space="preserve">INF - Ce - Dompet </t>
  </si>
  <si>
    <t xml:space="preserve">Asep - SNA </t>
  </si>
  <si>
    <t xml:space="preserve">Ali Alatas - SAL </t>
  </si>
  <si>
    <t xml:space="preserve">Miki - SCP / SAB </t>
  </si>
  <si>
    <t xml:space="preserve">Rahmat Hidayat - SRH/LSC </t>
  </si>
  <si>
    <t>SPX 503</t>
  </si>
  <si>
    <t>SHN 202</t>
  </si>
  <si>
    <t>HASANNUDDIN</t>
  </si>
  <si>
    <t>SFC 717</t>
  </si>
  <si>
    <t>SAT 568</t>
  </si>
  <si>
    <t>SCR 377</t>
  </si>
  <si>
    <t>SAY 732</t>
  </si>
  <si>
    <t>Riki SAY</t>
  </si>
  <si>
    <t>STR 391</t>
  </si>
  <si>
    <t>SPI 776</t>
  </si>
  <si>
    <t>SGU 626</t>
  </si>
  <si>
    <t>SSC 597</t>
  </si>
  <si>
    <t>SGU 782</t>
  </si>
  <si>
    <t>SGU 623</t>
  </si>
  <si>
    <t>SBY 374</t>
  </si>
  <si>
    <t>ACHMAD ROBBY</t>
  </si>
  <si>
    <t>SGU 283</t>
  </si>
  <si>
    <t>SYA 879</t>
  </si>
  <si>
    <t>YAYI - NEW</t>
  </si>
  <si>
    <t>SDD 824</t>
  </si>
  <si>
    <t>Dedi - SDD</t>
  </si>
  <si>
    <t>SCR 674</t>
  </si>
  <si>
    <t>SNR 538</t>
  </si>
  <si>
    <t>Risnandar</t>
  </si>
  <si>
    <t>SGU 420</t>
  </si>
  <si>
    <t>SFN 694</t>
  </si>
  <si>
    <t>IRFAN NUR ALI - NEW</t>
  </si>
  <si>
    <t>SGU 884</t>
  </si>
  <si>
    <t>SKK 937</t>
  </si>
  <si>
    <t>SPI 225</t>
  </si>
  <si>
    <t>SWP 780</t>
  </si>
  <si>
    <t>WIWIN - SWP</t>
  </si>
  <si>
    <t>SPI 370</t>
  </si>
  <si>
    <t>SGO 754</t>
  </si>
  <si>
    <t>AHMAD GODZALI - NEW</t>
  </si>
  <si>
    <t>SPI 518</t>
  </si>
  <si>
    <t>SPI 246</t>
  </si>
  <si>
    <t>SGD 944</t>
  </si>
  <si>
    <t>ENDANG T - NEW</t>
  </si>
  <si>
    <t>SBM 946</t>
  </si>
  <si>
    <t>ASEP IBRAHIM NEW</t>
  </si>
  <si>
    <t>SPP 372</t>
  </si>
  <si>
    <t>INF - Co - Aksesoris - Sarung Tangan</t>
  </si>
  <si>
    <t>Pepi - SPP</t>
  </si>
  <si>
    <t>SPP 596</t>
  </si>
  <si>
    <t>SPP 219</t>
  </si>
  <si>
    <t>SPP 867</t>
  </si>
  <si>
    <t>INF - Co - Aksesoris - Ikat Pinggang</t>
  </si>
  <si>
    <t>SPP 639</t>
  </si>
  <si>
    <t>SPP 925</t>
  </si>
  <si>
    <t>SWY 883</t>
  </si>
  <si>
    <t>Widyawati - SWY</t>
  </si>
  <si>
    <t>SRA 232</t>
  </si>
  <si>
    <t>INF - CO - Celana - Twill</t>
  </si>
  <si>
    <t>NANDAR - NEW</t>
  </si>
  <si>
    <t>SHE 860</t>
  </si>
  <si>
    <t>suhendar - new</t>
  </si>
  <si>
    <t>SWY 972</t>
  </si>
  <si>
    <t>SBR 443</t>
  </si>
  <si>
    <t>Marabayo - SBR</t>
  </si>
  <si>
    <t>SBR 561</t>
  </si>
  <si>
    <t>SBR 957</t>
  </si>
  <si>
    <t>SMM 912</t>
  </si>
  <si>
    <t>Maman Bejo - SMM</t>
  </si>
  <si>
    <t>SVA 844</t>
  </si>
  <si>
    <t>NOVAN - NEW</t>
  </si>
  <si>
    <t>SMM 470</t>
  </si>
  <si>
    <t>SMM 193</t>
  </si>
  <si>
    <t>SMM 767</t>
  </si>
  <si>
    <t>SMM 880</t>
  </si>
  <si>
    <t>SMM 344</t>
  </si>
  <si>
    <t>SMM 481</t>
  </si>
  <si>
    <t>SMM 345</t>
  </si>
  <si>
    <t>SMM 826</t>
  </si>
  <si>
    <t>SMM 550</t>
  </si>
  <si>
    <t>SMM 196</t>
  </si>
  <si>
    <t>SRU 289</t>
  </si>
  <si>
    <t>Harun - SRU/LWH</t>
  </si>
  <si>
    <t>SMM 676</t>
  </si>
  <si>
    <t>SMM 571</t>
  </si>
  <si>
    <t>SMM 908</t>
  </si>
  <si>
    <t>SIN 412</t>
  </si>
  <si>
    <t>SMM 385</t>
  </si>
  <si>
    <t>SMH 527</t>
  </si>
  <si>
    <t>SMM 980</t>
  </si>
  <si>
    <t>SRU 703</t>
  </si>
  <si>
    <t>SCP 171</t>
  </si>
  <si>
    <t>Miki - SCP / SAB</t>
  </si>
  <si>
    <t>SMM 744</t>
  </si>
  <si>
    <t>SRE 677</t>
  </si>
  <si>
    <t>HENDRA - NEW 1</t>
  </si>
  <si>
    <t>SMM 971</t>
  </si>
  <si>
    <t>SMM 607</t>
  </si>
  <si>
    <t>SBR 256</t>
  </si>
  <si>
    <t>SMM 483</t>
  </si>
  <si>
    <t>SMM 526</t>
  </si>
  <si>
    <t>SMM 616</t>
  </si>
  <si>
    <t>SMM 409</t>
  </si>
  <si>
    <t>SMM 851</t>
  </si>
  <si>
    <t>STS 751</t>
  </si>
  <si>
    <t>AHMAD TAS - NEW</t>
  </si>
  <si>
    <t>SMM 828</t>
  </si>
  <si>
    <t>SMM 845</t>
  </si>
  <si>
    <t>SRE 301</t>
  </si>
  <si>
    <t>SMM 981</t>
  </si>
  <si>
    <t>SVA 631</t>
  </si>
  <si>
    <t>SMM 214</t>
  </si>
  <si>
    <t>SRU 520</t>
  </si>
  <si>
    <t>SPR 841</t>
  </si>
  <si>
    <t>PRANANTA M - NEW</t>
  </si>
  <si>
    <t>SFL 273</t>
  </si>
  <si>
    <t>SHO 411</t>
  </si>
  <si>
    <t>Acep Rohimat - LCP</t>
  </si>
  <si>
    <t>SBE 355</t>
  </si>
  <si>
    <t>MBEF / ACHMAD - NEW</t>
  </si>
  <si>
    <t>SAR 324</t>
  </si>
  <si>
    <t>Deden - SAR</t>
  </si>
  <si>
    <t>SDY 369</t>
  </si>
  <si>
    <t>SPU 200</t>
  </si>
  <si>
    <t>ISEP - SPU/LPU</t>
  </si>
  <si>
    <t>SNW 137</t>
  </si>
  <si>
    <t>Nawi - new</t>
  </si>
  <si>
    <t>SUM 186</t>
  </si>
  <si>
    <t>SDC 964</t>
  </si>
  <si>
    <t>DANCE K - SDC</t>
  </si>
  <si>
    <t>SCP 727</t>
  </si>
  <si>
    <t>SRU 682</t>
  </si>
  <si>
    <t>STK 771</t>
  </si>
  <si>
    <t>TAUFIK YUSUF - NEW</t>
  </si>
  <si>
    <t>SSI 277</t>
  </si>
  <si>
    <t>ARIS - NEW</t>
  </si>
  <si>
    <t>SHI 808</t>
  </si>
  <si>
    <t>SGD 513</t>
  </si>
  <si>
    <t>SGD 584</t>
  </si>
  <si>
    <t>SYA 966</t>
  </si>
  <si>
    <t>SRT 197</t>
  </si>
  <si>
    <t>INF - Anak Co - Sweater</t>
  </si>
  <si>
    <t>SWP 353</t>
  </si>
  <si>
    <t>SRT 715</t>
  </si>
  <si>
    <t>INF - Anak Ce - Dress</t>
  </si>
  <si>
    <t>SKY 181</t>
  </si>
  <si>
    <t>Inf - Jaket - Anak Ce - Fleece</t>
  </si>
  <si>
    <t>SHI 911</t>
  </si>
  <si>
    <t>S1812167</t>
  </si>
  <si>
    <t>LAMA</t>
  </si>
  <si>
    <t>S1813055</t>
  </si>
  <si>
    <t>BARU</t>
  </si>
  <si>
    <t>S1810073</t>
  </si>
  <si>
    <t>S1813200</t>
  </si>
  <si>
    <t>S1812906</t>
  </si>
  <si>
    <t>S1812905</t>
  </si>
  <si>
    <t>S1812106</t>
  </si>
  <si>
    <t>S1813052</t>
  </si>
  <si>
    <t>S1812963</t>
  </si>
  <si>
    <t>S1812168</t>
  </si>
  <si>
    <t>S1813056</t>
  </si>
  <si>
    <t>S1812160</t>
  </si>
  <si>
    <t>S1813051</t>
  </si>
  <si>
    <t>S1812907</t>
  </si>
  <si>
    <t>S1813058</t>
  </si>
  <si>
    <t>S1813049</t>
  </si>
  <si>
    <t>S1812169</t>
  </si>
  <si>
    <t>S1811920</t>
  </si>
  <si>
    <t>S1812164</t>
  </si>
  <si>
    <t>S1812051</t>
  </si>
  <si>
    <t>S1811934</t>
  </si>
  <si>
    <t>S1811980</t>
  </si>
  <si>
    <t>S1812892</t>
  </si>
  <si>
    <t>S1812904</t>
  </si>
  <si>
    <t>S1813053</t>
  </si>
  <si>
    <t>S1812903</t>
  </si>
  <si>
    <t>S1811931</t>
  </si>
  <si>
    <t>S1813203</t>
  </si>
  <si>
    <t>S1813054</t>
  </si>
  <si>
    <t>S1811935</t>
  </si>
  <si>
    <t>S1811453</t>
  </si>
  <si>
    <t>S1812621</t>
  </si>
  <si>
    <t>S1811544</t>
  </si>
  <si>
    <t>S1812137</t>
  </si>
  <si>
    <t>S1813107</t>
  </si>
  <si>
    <t>S1812070</t>
  </si>
  <si>
    <t>S1813050</t>
  </si>
  <si>
    <t>S1813212</t>
  </si>
  <si>
    <t>S1813224</t>
  </si>
  <si>
    <t>S1812093</t>
  </si>
  <si>
    <t>S1813631</t>
  </si>
  <si>
    <t>S1812119</t>
  </si>
  <si>
    <t>S1813260</t>
  </si>
  <si>
    <t>S1812188</t>
  </si>
  <si>
    <t>S1811976</t>
  </si>
  <si>
    <t>S1811966</t>
  </si>
  <si>
    <t>S1811528</t>
  </si>
  <si>
    <t>S1811522</t>
  </si>
  <si>
    <t>S1811523</t>
  </si>
  <si>
    <t>S1811524</t>
  </si>
  <si>
    <t>S1811991</t>
  </si>
  <si>
    <t>S1811882</t>
  </si>
  <si>
    <t>S1812048</t>
  </si>
  <si>
    <t>S1811884</t>
  </si>
  <si>
    <t>S1811687</t>
  </si>
  <si>
    <t>S1812156</t>
  </si>
  <si>
    <t>S1811751</t>
  </si>
  <si>
    <t>S1812158</t>
  </si>
  <si>
    <t>S1811950</t>
  </si>
  <si>
    <t>S1812869</t>
  </si>
  <si>
    <t>S1811693</t>
  </si>
  <si>
    <t>S1812094</t>
  </si>
  <si>
    <t>S1812861</t>
  </si>
  <si>
    <t>S1813192</t>
  </si>
  <si>
    <t>S1811680</t>
  </si>
  <si>
    <t>S1812856</t>
  </si>
  <si>
    <t>S1811691</t>
  </si>
  <si>
    <t>S1812152</t>
  </si>
  <si>
    <t>S1811685</t>
  </si>
  <si>
    <t>S1812157</t>
  </si>
  <si>
    <t>S1812883</t>
  </si>
  <si>
    <t>S1812171</t>
  </si>
  <si>
    <t>S1812618</t>
  </si>
  <si>
    <t>S1812619</t>
  </si>
  <si>
    <t>S1813632</t>
  </si>
  <si>
    <t>S1812170</t>
  </si>
  <si>
    <t>S1812866</t>
  </si>
  <si>
    <t>S1812616</t>
  </si>
  <si>
    <t>S1813509</t>
  </si>
  <si>
    <t>S1811909</t>
  </si>
  <si>
    <t>S1811915</t>
  </si>
  <si>
    <t>S1813651</t>
  </si>
  <si>
    <t>S1811855</t>
  </si>
  <si>
    <t>S1811927</t>
  </si>
  <si>
    <t>S1811856</t>
  </si>
  <si>
    <t>S1811858</t>
  </si>
  <si>
    <t>S1810039</t>
  </si>
  <si>
    <t>SDA</t>
  </si>
  <si>
    <t>Aida (Mukena) - SDA</t>
  </si>
  <si>
    <t>S1812351</t>
  </si>
  <si>
    <t>S1812352</t>
  </si>
  <si>
    <t>S1811955</t>
  </si>
  <si>
    <t>S1812596</t>
  </si>
  <si>
    <t>S1812049</t>
  </si>
  <si>
    <t>S1812589</t>
  </si>
  <si>
    <t>S1813039</t>
  </si>
  <si>
    <t>S1812050</t>
  </si>
  <si>
    <t>S1813038</t>
  </si>
  <si>
    <t>S1813311</t>
  </si>
  <si>
    <t>S1812072</t>
  </si>
  <si>
    <t>S1812111</t>
  </si>
  <si>
    <t>S1811990</t>
  </si>
  <si>
    <t>S1811932</t>
  </si>
  <si>
    <t>S1813310</t>
  </si>
  <si>
    <t>S1812022</t>
  </si>
  <si>
    <t>S1811723</t>
  </si>
  <si>
    <t>S1811883</t>
  </si>
  <si>
    <t>S1811944</t>
  </si>
  <si>
    <t>S1812611</t>
  </si>
  <si>
    <t>S1813143</t>
  </si>
  <si>
    <t>STF 312</t>
  </si>
  <si>
    <t>S1811397</t>
  </si>
  <si>
    <t>S1812124</t>
  </si>
  <si>
    <t>S1811517</t>
  </si>
  <si>
    <t>S1813178</t>
  </si>
  <si>
    <t>S1813125</t>
  </si>
  <si>
    <t>S1812958</t>
  </si>
  <si>
    <t>S1812018</t>
  </si>
  <si>
    <t>S1813144</t>
  </si>
  <si>
    <t>S1813043</t>
  </si>
  <si>
    <t>S1812040</t>
  </si>
  <si>
    <t>S1813309</t>
  </si>
  <si>
    <t>S1812023</t>
  </si>
  <si>
    <t>S1813313</t>
  </si>
  <si>
    <t>S1813142</t>
  </si>
  <si>
    <t>S1813312</t>
  </si>
  <si>
    <t>S1811539</t>
  </si>
  <si>
    <t>S1813545</t>
  </si>
  <si>
    <t>S1812005</t>
  </si>
  <si>
    <t>S1811954</t>
  </si>
  <si>
    <t>S1812845</t>
  </si>
  <si>
    <t>S1812959</t>
  </si>
  <si>
    <t>S1812610</t>
  </si>
  <si>
    <t>S1812960</t>
  </si>
  <si>
    <t>S1811886</t>
  </si>
  <si>
    <t>S1813328</t>
  </si>
  <si>
    <t>S1813636</t>
  </si>
  <si>
    <t>S1812844</t>
  </si>
  <si>
    <t>S1812848</t>
  </si>
  <si>
    <t>S1812609</t>
  </si>
  <si>
    <t>S1812030</t>
  </si>
  <si>
    <t>S1811939</t>
  </si>
  <si>
    <t>S1812146</t>
  </si>
  <si>
    <t>S1813215</t>
  </si>
  <si>
    <t>S1813193</t>
  </si>
  <si>
    <t>S1811610</t>
  </si>
  <si>
    <t>S1813115</t>
  </si>
  <si>
    <t>S1812150</t>
  </si>
  <si>
    <t>S1811785</t>
  </si>
  <si>
    <t>Alex - SLX</t>
  </si>
  <si>
    <t>S1813194</t>
  </si>
  <si>
    <t>SPN 894</t>
  </si>
  <si>
    <t>S1811784</t>
  </si>
  <si>
    <t>S1812135</t>
  </si>
  <si>
    <t>SPN 143</t>
  </si>
  <si>
    <t>S1811612</t>
  </si>
  <si>
    <t>SMA 871</t>
  </si>
  <si>
    <t>S1811943</t>
  </si>
  <si>
    <t>SPN 489</t>
  </si>
  <si>
    <t>S1812407</t>
  </si>
  <si>
    <t>S1812812</t>
  </si>
  <si>
    <t>S1811889</t>
  </si>
  <si>
    <t>S1812771</t>
  </si>
  <si>
    <t>S1812408</t>
  </si>
  <si>
    <t>S1811938</t>
  </si>
  <si>
    <t>S1811937</t>
  </si>
  <si>
    <t>S1812809</t>
  </si>
  <si>
    <t>S1812132</t>
  </si>
  <si>
    <t>S1812109</t>
  </si>
  <si>
    <t>S1811418</t>
  </si>
  <si>
    <t>S1812108</t>
  </si>
  <si>
    <t>S1811121</t>
  </si>
  <si>
    <t>S1813003</t>
  </si>
  <si>
    <t>STE 250</t>
  </si>
  <si>
    <t>TENDY - NEW</t>
  </si>
  <si>
    <t>S1813501</t>
  </si>
  <si>
    <t>SUM 708</t>
  </si>
  <si>
    <t>S1811877</t>
  </si>
  <si>
    <t>S1811928</t>
  </si>
  <si>
    <t>S1811878</t>
  </si>
  <si>
    <t>S1811417</t>
  </si>
  <si>
    <t>SSD 627</t>
  </si>
  <si>
    <t>S1811885</t>
  </si>
  <si>
    <t>SUM 723</t>
  </si>
  <si>
    <t>S1811119</t>
  </si>
  <si>
    <t>S1811987</t>
  </si>
  <si>
    <t>SFM 866</t>
  </si>
  <si>
    <t>S1812818</t>
  </si>
  <si>
    <t>S1812811</t>
  </si>
  <si>
    <t>S1813652</t>
  </si>
  <si>
    <t>SAP 448</t>
  </si>
  <si>
    <t>S1812816</t>
  </si>
  <si>
    <t>S1811919</t>
  </si>
  <si>
    <t>SUM 132</t>
  </si>
  <si>
    <t>S1811982</t>
  </si>
  <si>
    <t>S1812817</t>
  </si>
  <si>
    <t>S1811936</t>
  </si>
  <si>
    <t>S1813502</t>
  </si>
  <si>
    <t>SUM 982</t>
  </si>
  <si>
    <t>S1810967</t>
  </si>
  <si>
    <t>S1811977</t>
  </si>
  <si>
    <t>SGI 778</t>
  </si>
  <si>
    <t>Taryono - SGI</t>
  </si>
  <si>
    <t>S1812224</t>
  </si>
  <si>
    <t>S1810978</t>
  </si>
  <si>
    <t>S1812046</t>
  </si>
  <si>
    <t>SGI 445</t>
  </si>
  <si>
    <t>S1811145</t>
  </si>
  <si>
    <t>S1810943</t>
  </si>
  <si>
    <t>S1811195</t>
  </si>
  <si>
    <t>S1812808</t>
  </si>
  <si>
    <t>S1811199</t>
  </si>
  <si>
    <t>S1811198</t>
  </si>
  <si>
    <t>S1811924</t>
  </si>
  <si>
    <t>SFM 158</t>
  </si>
  <si>
    <t>S1812118</t>
  </si>
  <si>
    <t>S1811898</t>
  </si>
  <si>
    <t>SGI 496</t>
  </si>
  <si>
    <t>S1812310</t>
  </si>
  <si>
    <t>S1813098</t>
  </si>
  <si>
    <t>SMT 632</t>
  </si>
  <si>
    <t>MAMAT</t>
  </si>
  <si>
    <t>S1811123</t>
  </si>
  <si>
    <t>S1813253</t>
  </si>
  <si>
    <t>S1811989</t>
  </si>
  <si>
    <t>SNA 466</t>
  </si>
  <si>
    <t>Asep - SNA</t>
  </si>
  <si>
    <t>S1812012</t>
  </si>
  <si>
    <t>SAL 604</t>
  </si>
  <si>
    <t>Ali Alatas - SAL</t>
  </si>
  <si>
    <t>S1812988</t>
  </si>
  <si>
    <t>S1812781</t>
  </si>
  <si>
    <t>SFA 635</t>
  </si>
  <si>
    <t>S1813061</t>
  </si>
  <si>
    <t>SCP 246</t>
  </si>
  <si>
    <t>S1812982</t>
  </si>
  <si>
    <t>S1813100</t>
  </si>
  <si>
    <t>S1812222</t>
  </si>
  <si>
    <t>S1813637</t>
  </si>
  <si>
    <t>SRH 429</t>
  </si>
  <si>
    <t>Rahmat Hidayat - SRH/LSC</t>
  </si>
  <si>
    <t>S1813101</t>
  </si>
  <si>
    <t>S1813638</t>
  </si>
  <si>
    <t>S1813025</t>
  </si>
  <si>
    <t>S1813099</t>
  </si>
  <si>
    <t>S1813102</t>
  </si>
  <si>
    <t>S1812100</t>
  </si>
  <si>
    <t>S1813407</t>
  </si>
  <si>
    <t>S1813639</t>
  </si>
  <si>
    <t>SAP 737</t>
  </si>
  <si>
    <t>S1811114</t>
  </si>
  <si>
    <t>S1812114</t>
  </si>
  <si>
    <t>S1811471</t>
  </si>
  <si>
    <t>S1813021</t>
  </si>
  <si>
    <t>S1811868</t>
  </si>
  <si>
    <t>S1812777</t>
  </si>
  <si>
    <t>S1810952</t>
  </si>
  <si>
    <t>S1810941</t>
  </si>
  <si>
    <t>S1812309</t>
  </si>
  <si>
    <t>S1811921</t>
  </si>
  <si>
    <t>S1811969</t>
  </si>
  <si>
    <t>S1811953</t>
  </si>
  <si>
    <t>S1812320</t>
  </si>
  <si>
    <t>S1812308</t>
  </si>
  <si>
    <t>S1813644</t>
  </si>
  <si>
    <t>S1812302</t>
  </si>
  <si>
    <t>S1811124</t>
  </si>
  <si>
    <t>S1812255</t>
  </si>
  <si>
    <t>S1812097</t>
  </si>
  <si>
    <t>S1812319</t>
  </si>
  <si>
    <t>S1811896</t>
  </si>
  <si>
    <t>S1811888</t>
  </si>
  <si>
    <t>S1812322</t>
  </si>
  <si>
    <t>S1812917</t>
  </si>
  <si>
    <t>S1812115</t>
  </si>
  <si>
    <t>S1812981</t>
  </si>
  <si>
    <t>S1812031</t>
  </si>
  <si>
    <t>SMH 553</t>
  </si>
  <si>
    <t>S1811904</t>
  </si>
  <si>
    <t>S1812038</t>
  </si>
  <si>
    <t>S1813640</t>
  </si>
  <si>
    <t>S1813259</t>
  </si>
  <si>
    <t>S1813032</t>
  </si>
  <si>
    <t>S1813257</t>
  </si>
  <si>
    <t>S1812396</t>
  </si>
  <si>
    <t>S1811350</t>
  </si>
  <si>
    <t>S1812026</t>
  </si>
  <si>
    <t>S1811834</t>
  </si>
  <si>
    <t>S1813031</t>
  </si>
  <si>
    <t>S1811933</t>
  </si>
  <si>
    <t>S1811911</t>
  </si>
  <si>
    <t>S1811205</t>
  </si>
  <si>
    <t>S1812098</t>
  </si>
  <si>
    <t>S1813252</t>
  </si>
  <si>
    <t>S1811831</t>
  </si>
  <si>
    <t>S1812032</t>
  </si>
  <si>
    <t>S1811887</t>
  </si>
  <si>
    <t>S1811830</t>
  </si>
  <si>
    <t>S1811204</t>
  </si>
  <si>
    <t>S1812400</t>
  </si>
  <si>
    <t>S1811829</t>
  </si>
  <si>
    <t>S1811833</t>
  </si>
  <si>
    <t>S1812165</t>
  </si>
  <si>
    <t>S1812128</t>
  </si>
  <si>
    <t>S1813565</t>
  </si>
  <si>
    <t>S1813562</t>
  </si>
  <si>
    <t>S1813563</t>
  </si>
  <si>
    <t>S1813564</t>
  </si>
  <si>
    <t>S1813569</t>
  </si>
  <si>
    <t>S1812161</t>
  </si>
  <si>
    <t>S1811733</t>
  </si>
  <si>
    <t>S1813287</t>
  </si>
  <si>
    <t>S1812136</t>
  </si>
  <si>
    <t>S1813285</t>
  </si>
  <si>
    <t>S1812125</t>
  </si>
  <si>
    <t>S1813094</t>
  </si>
  <si>
    <t>S1813567</t>
  </si>
  <si>
    <t>S1811457</t>
  </si>
  <si>
    <t>S1812129</t>
  </si>
  <si>
    <t>S1811456</t>
  </si>
  <si>
    <t>S1812131</t>
  </si>
  <si>
    <t>S1811964</t>
  </si>
  <si>
    <t>S1811963</t>
  </si>
  <si>
    <t>S1812006</t>
  </si>
  <si>
    <t>S1812175</t>
  </si>
  <si>
    <t>S1812139</t>
  </si>
  <si>
    <t>S1813323</t>
  </si>
  <si>
    <t>S1811455</t>
  </si>
  <si>
    <t>S1813566</t>
  </si>
  <si>
    <t>S1813568</t>
  </si>
  <si>
    <t>S1812166</t>
  </si>
  <si>
    <t>S1813097</t>
  </si>
  <si>
    <t>S1812138</t>
  </si>
  <si>
    <t>S1812163</t>
  </si>
  <si>
    <t>S1811899</t>
  </si>
  <si>
    <t>S1813648</t>
  </si>
  <si>
    <t>S1813649</t>
  </si>
  <si>
    <t>S1813650</t>
  </si>
  <si>
    <t>S1811403</t>
  </si>
  <si>
    <t>S1812945</t>
  </si>
  <si>
    <t>S1811942</t>
  </si>
  <si>
    <t>S1811450</t>
  </si>
  <si>
    <t>S1812192</t>
  </si>
  <si>
    <t>S1812162</t>
  </si>
  <si>
    <t>S1813546</t>
  </si>
  <si>
    <t>S1813547</t>
  </si>
  <si>
    <t>S1812786</t>
  </si>
  <si>
    <t>S1811530</t>
  </si>
  <si>
    <t>S1811731</t>
  </si>
  <si>
    <t>S1811443</t>
  </si>
  <si>
    <t>S1812173</t>
  </si>
  <si>
    <t>S1813643</t>
  </si>
  <si>
    <t>S1811979</t>
  </si>
  <si>
    <t>S1813166</t>
  </si>
  <si>
    <t>S1811910</t>
  </si>
  <si>
    <t>S1812064</t>
  </si>
  <si>
    <t>S1811999</t>
  </si>
  <si>
    <t>S1811459</t>
  </si>
  <si>
    <t>S1812001</t>
  </si>
  <si>
    <t>S1812000</t>
  </si>
  <si>
    <t>S1811449</t>
  </si>
  <si>
    <t>S1812174</t>
  </si>
  <si>
    <t>S1811409</t>
  </si>
  <si>
    <t>S1812852</t>
  </si>
  <si>
    <t>S1810664</t>
  </si>
  <si>
    <t>S1811452</t>
  </si>
  <si>
    <t>S1812145</t>
  </si>
  <si>
    <t>S1811451</t>
  </si>
  <si>
    <t>S1811978</t>
  </si>
  <si>
    <t>S1811448</t>
  </si>
  <si>
    <t>S1813122</t>
  </si>
  <si>
    <t>S1811925</t>
  </si>
  <si>
    <t>S1812105</t>
  </si>
  <si>
    <t>S1812141</t>
  </si>
  <si>
    <t>S1811922</t>
  </si>
  <si>
    <t>S1812877</t>
  </si>
  <si>
    <t>S1811901</t>
  </si>
  <si>
    <t>S1813123</t>
  </si>
  <si>
    <t>S1812847</t>
  </si>
  <si>
    <t>S1812612</t>
  </si>
  <si>
    <t>S1811533</t>
  </si>
  <si>
    <t>S1811543</t>
  </si>
  <si>
    <t>S1812151</t>
  </si>
  <si>
    <t>S1813642</t>
  </si>
  <si>
    <t>S1813222</t>
  </si>
  <si>
    <t>S1813641</t>
  </si>
  <si>
    <t>S1811495</t>
  </si>
  <si>
    <t>S1813653</t>
  </si>
  <si>
    <t>S1812103</t>
  </si>
  <si>
    <t>S1813404</t>
  </si>
  <si>
    <t>S1813403</t>
  </si>
  <si>
    <t>S1812133</t>
  </si>
  <si>
    <t>S1813347</t>
  </si>
  <si>
    <t>S1813354</t>
  </si>
  <si>
    <t>S1812095</t>
  </si>
  <si>
    <t>S1813390</t>
  </si>
  <si>
    <t>S1813227</t>
  </si>
  <si>
    <t>S1812919</t>
  </si>
  <si>
    <t>S1812172</t>
  </si>
  <si>
    <t>S1812144</t>
  </si>
  <si>
    <t>SWY 848</t>
  </si>
  <si>
    <t>S1812149</t>
  </si>
  <si>
    <t>S1813228</t>
  </si>
  <si>
    <t>SHE 198</t>
  </si>
  <si>
    <t>S1811786</t>
  </si>
  <si>
    <t>S1812850</t>
  </si>
  <si>
    <t>S1813229</t>
  </si>
  <si>
    <t>S1812155</t>
  </si>
  <si>
    <t>S1811782</t>
  </si>
  <si>
    <t>S1811211</t>
  </si>
  <si>
    <t>S1812117</t>
  </si>
  <si>
    <t>S1811210</t>
  </si>
  <si>
    <t>S1811905</t>
  </si>
  <si>
    <t>S1811280</t>
  </si>
  <si>
    <t>S1811176</t>
  </si>
  <si>
    <t>S1811279</t>
  </si>
  <si>
    <t>S1811284</t>
  </si>
  <si>
    <t>S1811276</t>
  </si>
  <si>
    <t>S1811076</t>
  </si>
  <si>
    <t>S1813068</t>
  </si>
  <si>
    <t>S1813635</t>
  </si>
  <si>
    <t>S1811083</t>
  </si>
  <si>
    <t>S1811283</t>
  </si>
  <si>
    <t>S1811701</t>
  </si>
  <si>
    <t>S1812126</t>
  </si>
  <si>
    <t>S1812009</t>
  </si>
  <si>
    <t>S1811055</t>
  </si>
  <si>
    <t>S1811958</t>
  </si>
  <si>
    <t>S1811960</t>
  </si>
  <si>
    <t>S1812757</t>
  </si>
  <si>
    <t>S1811876</t>
  </si>
  <si>
    <t>S1811956</t>
  </si>
  <si>
    <t>S1811282</t>
  </si>
  <si>
    <t>S1812434</t>
  </si>
  <si>
    <t>S1812435</t>
  </si>
  <si>
    <t>S1811902</t>
  </si>
  <si>
    <t>S1812004</t>
  </si>
  <si>
    <t>S1812130</t>
  </si>
  <si>
    <t>S1812383</t>
  </si>
  <si>
    <t>S1811988</t>
  </si>
  <si>
    <t>S1812384</t>
  </si>
  <si>
    <t>S1812101</t>
  </si>
  <si>
    <t>S1811929</t>
  </si>
  <si>
    <t>S1811918</t>
  </si>
  <si>
    <t>S1811027</t>
  </si>
  <si>
    <t>S1813074</t>
  </si>
  <si>
    <t>S1810727</t>
  </si>
  <si>
    <t>S1813063</t>
  </si>
  <si>
    <t>S1810731</t>
  </si>
  <si>
    <t>S1813073</t>
  </si>
  <si>
    <t>S1813070</t>
  </si>
  <si>
    <t>S1811209</t>
  </si>
  <si>
    <t>S1810730</t>
  </si>
  <si>
    <t>S1812386</t>
  </si>
  <si>
    <t>S1812153</t>
  </si>
  <si>
    <t>S1811704</t>
  </si>
  <si>
    <t>S1812765</t>
  </si>
  <si>
    <t>S1810958</t>
  </si>
  <si>
    <t>S1810953</t>
  </si>
  <si>
    <t>S1813103</t>
  </si>
  <si>
    <t>S1811890</t>
  </si>
  <si>
    <t>S1812916</t>
  </si>
  <si>
    <t>S1811287</t>
  </si>
  <si>
    <t>S1811173</t>
  </si>
  <si>
    <t>S1813425</t>
  </si>
  <si>
    <t>S1812104</t>
  </si>
  <si>
    <t>S1811028</t>
  </si>
  <si>
    <t>S1812102</t>
  </si>
  <si>
    <t>S1811191</t>
  </si>
  <si>
    <t>S1811080</t>
  </si>
  <si>
    <t>S1812096</t>
  </si>
  <si>
    <t>S1811433</t>
  </si>
  <si>
    <t>S1811962</t>
  </si>
  <si>
    <t>S1811930</t>
  </si>
  <si>
    <t>S1811811</t>
  </si>
  <si>
    <t>S1811814</t>
  </si>
  <si>
    <t>S1811314</t>
  </si>
  <si>
    <t>S1811810</t>
  </si>
  <si>
    <t>S1811809</t>
  </si>
  <si>
    <t>S1812240</t>
  </si>
  <si>
    <t>S1811940</t>
  </si>
  <si>
    <t>S1811821</t>
  </si>
  <si>
    <t>S1811900</t>
  </si>
  <si>
    <t>S1811959</t>
  </si>
  <si>
    <t>S1811824</t>
  </si>
  <si>
    <t>S1810027</t>
  </si>
  <si>
    <t>S1811817</t>
  </si>
  <si>
    <t>S1811941</t>
  </si>
  <si>
    <t>S1811815</t>
  </si>
  <si>
    <t>S1811881</t>
  </si>
  <si>
    <t>S1811336</t>
  </si>
  <si>
    <t>S1813091</t>
  </si>
  <si>
    <t>S1811880</t>
  </si>
  <si>
    <t>S1813090</t>
  </si>
  <si>
    <t>S1811908</t>
  </si>
  <si>
    <t>S1812227</t>
  </si>
  <si>
    <t>S1811103</t>
  </si>
  <si>
    <t>S1811105</t>
  </si>
  <si>
    <t>S1811914</t>
  </si>
  <si>
    <t>S1812736</t>
  </si>
  <si>
    <t>S1812950</t>
  </si>
  <si>
    <t>S1811907</t>
  </si>
  <si>
    <t>S1813645</t>
  </si>
  <si>
    <t>S1811106</t>
  </si>
  <si>
    <t>S1812949</t>
  </si>
  <si>
    <t>S1812953</t>
  </si>
  <si>
    <t>S1812952</t>
  </si>
  <si>
    <t>S1813267</t>
  </si>
  <si>
    <t>S1811917</t>
  </si>
  <si>
    <t>S1813268</t>
  </si>
  <si>
    <t>S1811906</t>
  </si>
  <si>
    <t>S1812448</t>
  </si>
  <si>
    <t>S1811926</t>
  </si>
  <si>
    <t>S1811923</t>
  </si>
  <si>
    <t>S1812148</t>
  </si>
  <si>
    <t>S1812142</t>
  </si>
  <si>
    <t>SHI 422</t>
  </si>
  <si>
    <t>S1811912</t>
  </si>
  <si>
    <t>S1810980</t>
  </si>
  <si>
    <t>S1811487</t>
  </si>
  <si>
    <t>S1811491</t>
  </si>
  <si>
    <t>S1810987</t>
  </si>
  <si>
    <t>S1810986</t>
  </si>
  <si>
    <t>S1813634</t>
  </si>
  <si>
    <t>S1813174</t>
  </si>
  <si>
    <t>S1812584</t>
  </si>
  <si>
    <t>S1812110</t>
  </si>
  <si>
    <t>S1812036</t>
  </si>
  <si>
    <t>S1811022</t>
  </si>
  <si>
    <t>S1812931</t>
  </si>
  <si>
    <t>S1812120</t>
  </si>
  <si>
    <t>S1812047</t>
  </si>
  <si>
    <t>S1811446</t>
  </si>
  <si>
    <t>S1811722</t>
  </si>
  <si>
    <t>S1811447</t>
  </si>
  <si>
    <t>S1811875</t>
  </si>
  <si>
    <t>S1813633</t>
  </si>
  <si>
    <t>S1813646</t>
  </si>
  <si>
    <t>S1812134</t>
  </si>
  <si>
    <t>S1811957</t>
  </si>
  <si>
    <t>S1812159</t>
  </si>
  <si>
    <t>S1812123</t>
  </si>
  <si>
    <t>S1812021</t>
  </si>
  <si>
    <t>SVP 262</t>
  </si>
  <si>
    <t>S1812176</t>
  </si>
  <si>
    <t>SUP 280</t>
  </si>
  <si>
    <t>SNN 683</t>
  </si>
  <si>
    <t>STF 112</t>
  </si>
  <si>
    <t>SLH 114</t>
  </si>
  <si>
    <t>SFS 629</t>
  </si>
  <si>
    <t>SCP 231</t>
  </si>
  <si>
    <t>SSP 547</t>
  </si>
  <si>
    <t>SFR 195</t>
  </si>
  <si>
    <t>SMU 943</t>
  </si>
  <si>
    <t>SFC 556</t>
  </si>
  <si>
    <t>SLI 774</t>
  </si>
  <si>
    <t>SDA 151</t>
  </si>
  <si>
    <t xml:space="preserve">AIDA </t>
  </si>
  <si>
    <t>STF 321</t>
  </si>
  <si>
    <t>AMAR - SUM/LEV</t>
  </si>
  <si>
    <t>SZK 148</t>
  </si>
  <si>
    <t>katalog, slip kain, hangtag, laken XL</t>
  </si>
  <si>
    <t>katalog, slip kain, hangtag, logam emas, laken XL</t>
  </si>
  <si>
    <t>katalog, slip kain, hangtag, laken L</t>
  </si>
  <si>
    <t>katalog, slip kain, hangtag,logam emas, laken L</t>
  </si>
  <si>
    <t>katalog, slip kain, hangtag, logam nikel, laken XL</t>
  </si>
  <si>
    <t>katalog, laken s, hangtag, slip, logam nikel</t>
  </si>
  <si>
    <t>katalog, slip, slip, hangtag, laken L</t>
  </si>
  <si>
    <t>katalog, hangtag, slip, laken s</t>
  </si>
  <si>
    <t>katalog, hangtag, laken s</t>
  </si>
  <si>
    <t>katalog, hangtag, slip, laken m</t>
  </si>
  <si>
    <t>katalog, hangtag, slip, label id, laken xl</t>
  </si>
  <si>
    <t>katalog, hangtag, slip, label id, kulit, laken xl</t>
  </si>
  <si>
    <t>katalog, slip, label, hangtag, dus besar</t>
  </si>
  <si>
    <t>katalog, slip, label id, hangtag, plastik</t>
  </si>
  <si>
    <t>katalog, hangtag, slip, label, label lacoste, laken L</t>
  </si>
  <si>
    <t>katalog, slip, hangtag, logam emas, laken xl</t>
  </si>
  <si>
    <t>katalog, slip, label, hangtag, label lacoste, plastik</t>
  </si>
  <si>
    <t>katalog, slip, label, hangtag, label lacoste, laken l</t>
  </si>
  <si>
    <t>SPN 191</t>
  </si>
  <si>
    <t>STJ 189</t>
  </si>
  <si>
    <t>SPI 255</t>
  </si>
  <si>
    <t>SSP 254</t>
  </si>
  <si>
    <t>SPV 262</t>
  </si>
  <si>
    <t>katalog, slip, label, hangtag, dus</t>
  </si>
  <si>
    <t>katalog, slip, label, hangtag, laken l</t>
  </si>
  <si>
    <t>katalog, slip[, label, hangtag, emblem, laken l</t>
  </si>
  <si>
    <t>katalog, slip, hangtag, dus dompet</t>
  </si>
  <si>
    <t>katalog, slip,hangtag, dus</t>
  </si>
  <si>
    <t>katalog, hangtag, slip, label id, kulit inficlo, laken XL</t>
  </si>
  <si>
    <t>katalog, hangtag, slip kain, label id, logam nikel</t>
  </si>
  <si>
    <t>katalog, hangtag, slip, label ID, kulit II, gantungan resleting, laken XL</t>
  </si>
  <si>
    <t>katalog, hangtag, slip, label ID, laken XL</t>
  </si>
  <si>
    <t>katalog, hangtag, slip, label ID, gantungan resleting, laken xl</t>
  </si>
  <si>
    <t>katalog, hangtag, slip, label ID, kulit logo, gantungan resleting, laken xl, label kain</t>
  </si>
  <si>
    <t>katalog, hangtag, slip, label ID, label kain, kulit lubang, laken XL</t>
  </si>
  <si>
    <t>katalog, hangtag, slip, label id, label kain, laken L</t>
  </si>
  <si>
    <t>katalog, hangtag, slip, logam bakar, label ID, ganguntan resleting, laken L</t>
  </si>
  <si>
    <t>katalog, hangtag, slip, label ID, label kain, laken XL</t>
  </si>
  <si>
    <t>katalog, hangtag, slip, label ID, kulit jeans ce, laken M</t>
  </si>
  <si>
    <t>katalog, hangtag, slip, label ID, kulit + woven, laken XL</t>
  </si>
  <si>
    <t>INF 17</t>
  </si>
  <si>
    <t>INF 18</t>
  </si>
  <si>
    <t>Java</t>
  </si>
  <si>
    <t>JV 18</t>
  </si>
  <si>
    <t>JV 17</t>
  </si>
  <si>
    <t>JV 19</t>
  </si>
  <si>
    <t>katalog, plastik M, hangtag kertas, slip kain, label kain</t>
  </si>
  <si>
    <t>selisih 100, harga dari fitri 37.450</t>
  </si>
  <si>
    <t>katalog, laken M, hangtag kulit, slip karet</t>
  </si>
  <si>
    <t>katalog, laken L, hangtag kulit, slip karet</t>
  </si>
  <si>
    <t>katalog, laken L, hangtag kulit, slip kain, label kain, emblem baju #1</t>
  </si>
  <si>
    <t>Katalog - Laken (XL) - Hangtag Kulit - Slip Kain - Label ID</t>
  </si>
  <si>
    <t>Katalog - Laken (XL) - Hangtag Kulit - Slip Karet - Logam Cor Nikel</t>
  </si>
  <si>
    <t>Katalog - Dus - Hangtag Kulit - Slip Kain</t>
  </si>
  <si>
    <t>Katalog - Laken (L) - Hangtag Kulit - Slip Kain - Label Kain</t>
  </si>
  <si>
    <t>Katalog - Plastik (M) - Hangtag Kertas - Slip Kain - Label Kain</t>
  </si>
  <si>
    <t>Katalog - Laken (L) - Hangtag Kulit - Slip Karet</t>
  </si>
  <si>
    <t>Katalog - Laken (S) - Hangtag Kulit - Slip Karet - Logam Cor Nikel</t>
  </si>
  <si>
    <t>Katalog - Laken (XL) - Hangtag Kulit - Slip Karet - Logam Cor Emas</t>
  </si>
  <si>
    <t>Katalog - Laken (XL) - Hangtag Kulit - Slip Kain - Label ID - Kulit Tas#1</t>
  </si>
  <si>
    <t>Katalog - Laken (L) - Hangtag Kulit - Slip Kain - Label ID - Label Kain Tas New</t>
  </si>
  <si>
    <t xml:space="preserve">Katalog - Plastik (S) - Hangtag Kertas - Slip Kain </t>
  </si>
  <si>
    <t>Katalog - Dus Besar - Hangtag Kertas - Slip Kain - Label Kain</t>
  </si>
  <si>
    <t>Katalog - Plastik (M) - Hangtag Kertas - Slip Kain - Label Kain - Emblem Baju#2</t>
  </si>
  <si>
    <t xml:space="preserve">Katalog - Plastik (M) - Hangtag Kulit - Slip Kain - Label Kain </t>
  </si>
  <si>
    <t>Katalog - Laken (L) - Hangtag Kulit - Slip Kain - Label Kain - Emblem Baju #1</t>
  </si>
  <si>
    <t>Katalog - Laken (XL) - Hangtag Kulit - Slip Kain - Label ID - Emblem Tas #2</t>
  </si>
  <si>
    <t>Katalog - Laken (XL) - Hangtag Kulit - Slip Kain - Label ID - Emblem Tas #1</t>
  </si>
  <si>
    <t>Katalog - Laken (XL) - Hangtag Kulit - Slip Kain - Label ID - Label Kain Tas New</t>
  </si>
  <si>
    <t>Katalog - Laken L - Hangtag Kertas - Slip Kain - Slip Kain</t>
  </si>
  <si>
    <t>Katalog - Laken (L) - Hangtag Kulit - Slip Karet - Logam Cor Emas</t>
  </si>
  <si>
    <t>Katalog - Plastik (M) - Hangtag Kulit - Slip Kain - Label Kain</t>
  </si>
  <si>
    <t>Katalog - Laken (L) - Hangtag Kulit - Slip Karet - Logam Cor Bakar</t>
  </si>
  <si>
    <t xml:space="preserve">Katalog - Plastik (M) - Hangtag Hangtag - Slip Kain - Label Kain </t>
  </si>
  <si>
    <t>Katalog - Laken (L) - Hangtag Kulit - Slip Kain - Label Kain - Emblem Baju #2</t>
  </si>
  <si>
    <t>Katalog - Plastik (M) - Hangtag Kulit - Slip Kain - Label Kain - Emblem Baju#2</t>
  </si>
  <si>
    <t>selisih 150 dari harga yang di fitri (131.850)</t>
  </si>
  <si>
    <t>Buffer / Net</t>
  </si>
  <si>
    <t>Buffer / Gross</t>
  </si>
  <si>
    <t>selisi 200  dengan data dari fitri (54.950)</t>
  </si>
  <si>
    <t>selisih 600 dari harga dari fitri (67.600)</t>
  </si>
  <si>
    <t>selisi 5.300 dengan harga dari fitri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</si>
</sst>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18">
    <xf numFmtId="0" fontId="0" fillId="0" borderId="0" xfId="0"/>
    <xf numFmtId="41" fontId="4" fillId="8" borderId="0" xfId="2" applyFont="1" applyFill="1" applyAlignment="1"/>
    <xf numFmtId="0" fontId="4" fillId="8" borderId="0" xfId="0" applyFont="1" applyFill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/>
    </xf>
    <xf numFmtId="41" fontId="7" fillId="9" borderId="0" xfId="2" applyFont="1" applyFill="1" applyBorder="1" applyAlignment="1">
      <alignment horizontal="right"/>
    </xf>
    <xf numFmtId="41" fontId="7" fillId="9" borderId="0" xfId="0" applyNumberFormat="1" applyFont="1" applyFill="1" applyBorder="1" applyAlignment="1">
      <alignment vertical="center"/>
    </xf>
    <xf numFmtId="41" fontId="7" fillId="9" borderId="0" xfId="2" applyFont="1" applyFill="1" applyBorder="1" applyAlignment="1">
      <alignment horizontal="center"/>
    </xf>
    <xf numFmtId="41" fontId="7" fillId="9" borderId="0" xfId="2" applyFont="1" applyFill="1" applyBorder="1"/>
    <xf numFmtId="41" fontId="7" fillId="4" borderId="0" xfId="2" applyFont="1" applyFill="1" applyBorder="1" applyAlignment="1">
      <alignment horizontal="right"/>
    </xf>
    <xf numFmtId="0" fontId="7" fillId="7" borderId="0" xfId="0" applyFont="1" applyFill="1" applyBorder="1" applyAlignment="1">
      <alignment horizontal="center" vertical="center"/>
    </xf>
    <xf numFmtId="41" fontId="7" fillId="4" borderId="0" xfId="2" applyFont="1" applyFill="1" applyBorder="1"/>
    <xf numFmtId="3" fontId="7" fillId="9" borderId="0" xfId="0" applyNumberFormat="1" applyFont="1" applyFill="1" applyBorder="1" applyAlignment="1">
      <alignment horizontal="right"/>
    </xf>
    <xf numFmtId="41" fontId="7" fillId="4" borderId="0" xfId="2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vertical="center"/>
    </xf>
    <xf numFmtId="0" fontId="0" fillId="12" borderId="0" xfId="0" applyFont="1" applyFill="1" applyBorder="1" applyAlignment="1">
      <alignment horizont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10" fontId="1" fillId="0" borderId="0" xfId="3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1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41" fontId="1" fillId="2" borderId="0" xfId="2" applyFont="1" applyFill="1" applyAlignment="1">
      <alignment horizontal="center" vertical="center"/>
    </xf>
    <xf numFmtId="164" fontId="1" fillId="5" borderId="0" xfId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41" fontId="7" fillId="9" borderId="0" xfId="2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vertical="center"/>
    </xf>
    <xf numFmtId="165" fontId="1" fillId="3" borderId="0" xfId="3" applyNumberFormat="1" applyFont="1" applyFill="1" applyAlignment="1">
      <alignment horizontal="center" vertical="center"/>
    </xf>
    <xf numFmtId="9" fontId="1" fillId="4" borderId="0" xfId="3" applyFont="1" applyFill="1" applyAlignment="1">
      <alignment vertical="center"/>
    </xf>
    <xf numFmtId="41" fontId="1" fillId="2" borderId="0" xfId="2" applyFont="1" applyFill="1" applyAlignment="1">
      <alignment vertical="center"/>
    </xf>
    <xf numFmtId="10" fontId="1" fillId="2" borderId="0" xfId="3" applyNumberFormat="1" applyFont="1" applyFill="1" applyAlignment="1">
      <alignment vertical="center"/>
    </xf>
    <xf numFmtId="41" fontId="1" fillId="10" borderId="0" xfId="2" applyFont="1" applyFill="1" applyAlignment="1">
      <alignment vertical="center"/>
    </xf>
    <xf numFmtId="41" fontId="1" fillId="11" borderId="0" xfId="2" applyFont="1" applyFill="1" applyAlignment="1">
      <alignment vertical="center"/>
    </xf>
    <xf numFmtId="10" fontId="1" fillId="11" borderId="0" xfId="3" applyNumberFormat="1" applyFont="1" applyFill="1" applyAlignment="1">
      <alignment vertical="center"/>
    </xf>
    <xf numFmtId="0" fontId="0" fillId="2" borderId="0" xfId="0" applyFont="1" applyFill="1"/>
    <xf numFmtId="0" fontId="7" fillId="9" borderId="0" xfId="0" applyFont="1" applyFill="1" applyBorder="1" applyAlignment="1">
      <alignment horizontal="left"/>
    </xf>
    <xf numFmtId="0" fontId="9" fillId="12" borderId="0" xfId="0" applyFont="1" applyFill="1" applyBorder="1" applyAlignment="1">
      <alignment horizontal="center" vertical="center"/>
    </xf>
    <xf numFmtId="41" fontId="1" fillId="12" borderId="0" xfId="2" applyFont="1" applyFill="1" applyBorder="1" applyAlignment="1">
      <alignment horizontal="right"/>
    </xf>
    <xf numFmtId="41" fontId="0" fillId="12" borderId="0" xfId="0" applyNumberFormat="1" applyFont="1" applyFill="1" applyBorder="1" applyAlignment="1">
      <alignment vertical="center"/>
    </xf>
    <xf numFmtId="41" fontId="1" fillId="12" borderId="0" xfId="2" applyFont="1" applyFill="1" applyBorder="1"/>
    <xf numFmtId="41" fontId="1" fillId="12" borderId="0" xfId="2" applyFont="1" applyFill="1" applyBorder="1" applyAlignment="1">
      <alignment horizontal="center" vertical="center"/>
    </xf>
    <xf numFmtId="164" fontId="1" fillId="12" borderId="0" xfId="1" applyNumberFormat="1" applyFont="1" applyFill="1" applyAlignment="1">
      <alignment vertical="center"/>
    </xf>
    <xf numFmtId="41" fontId="0" fillId="12" borderId="0" xfId="0" applyNumberFormat="1" applyFont="1" applyFill="1" applyAlignment="1">
      <alignment vertical="center"/>
    </xf>
    <xf numFmtId="165" fontId="1" fillId="12" borderId="0" xfId="3" applyNumberFormat="1" applyFont="1" applyFill="1" applyAlignment="1">
      <alignment horizontal="center" vertical="center"/>
    </xf>
    <xf numFmtId="9" fontId="1" fillId="12" borderId="0" xfId="3" applyFont="1" applyFill="1" applyAlignment="1">
      <alignment vertical="center"/>
    </xf>
    <xf numFmtId="41" fontId="1" fillId="12" borderId="0" xfId="2" applyFont="1" applyFill="1" applyAlignment="1">
      <alignment vertical="center"/>
    </xf>
    <xf numFmtId="10" fontId="1" fillId="12" borderId="0" xfId="3" applyNumberFormat="1" applyFont="1" applyFill="1" applyAlignment="1">
      <alignment vertical="center"/>
    </xf>
    <xf numFmtId="0" fontId="0" fillId="12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0" fillId="0" borderId="0" xfId="0" applyFont="1" applyBorder="1" applyAlignment="1">
      <alignment horizontal="center"/>
    </xf>
    <xf numFmtId="41" fontId="1" fillId="0" borderId="0" xfId="2" applyFont="1"/>
    <xf numFmtId="9" fontId="1" fillId="0" borderId="0" xfId="3" applyFont="1"/>
    <xf numFmtId="0" fontId="0" fillId="8" borderId="0" xfId="0" applyFont="1" applyFill="1"/>
    <xf numFmtId="9" fontId="1" fillId="0" borderId="0" xfId="3" applyFont="1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vertical="center"/>
    </xf>
    <xf numFmtId="0" fontId="0" fillId="6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0" fontId="0" fillId="0" borderId="0" xfId="3" applyNumberFormat="1" applyFont="1" applyAlignment="1">
      <alignment vertical="center"/>
    </xf>
    <xf numFmtId="0" fontId="0" fillId="9" borderId="0" xfId="0" applyFill="1" applyBorder="1" applyAlignment="1">
      <alignment horizontal="center"/>
    </xf>
    <xf numFmtId="0" fontId="0" fillId="12" borderId="0" xfId="0" applyFill="1" applyAlignment="1">
      <alignment vertical="center"/>
    </xf>
    <xf numFmtId="164" fontId="0" fillId="10" borderId="0" xfId="1" applyNumberFormat="1" applyFont="1" applyFill="1"/>
    <xf numFmtId="9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41" fontId="2" fillId="1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1" fontId="1" fillId="8" borderId="0" xfId="0" applyNumberFormat="1" applyFont="1" applyFill="1" applyAlignment="1">
      <alignment horizontal="center" vertical="center"/>
    </xf>
    <xf numFmtId="0" fontId="0" fillId="8" borderId="0" xfId="0" applyFont="1" applyFill="1" applyAlignment="1">
      <alignment vertical="center"/>
    </xf>
    <xf numFmtId="164" fontId="0" fillId="14" borderId="0" xfId="1" applyNumberFormat="1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0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164" fontId="7" fillId="9" borderId="0" xfId="1" applyNumberFormat="1" applyFont="1" applyFill="1" applyAlignment="1">
      <alignment horizontal="right" vertical="center"/>
    </xf>
    <xf numFmtId="164" fontId="7" fillId="9" borderId="0" xfId="1" applyNumberFormat="1" applyFont="1" applyFill="1" applyBorder="1" applyAlignment="1">
      <alignment horizontal="right"/>
    </xf>
    <xf numFmtId="41" fontId="1" fillId="4" borderId="0" xfId="2" applyFont="1" applyFill="1" applyAlignment="1">
      <alignment vertical="center"/>
    </xf>
    <xf numFmtId="41" fontId="1" fillId="9" borderId="0" xfId="2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41" fontId="1" fillId="9" borderId="0" xfId="0" applyNumberFormat="1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41" fontId="2" fillId="9" borderId="0" xfId="2" applyFont="1" applyFill="1" applyAlignment="1">
      <alignment horizontal="left" vertical="center"/>
    </xf>
    <xf numFmtId="41" fontId="5" fillId="9" borderId="0" xfId="2" applyFont="1" applyFill="1" applyAlignment="1">
      <alignment horizontal="left" vertical="center"/>
    </xf>
    <xf numFmtId="41" fontId="6" fillId="9" borderId="0" xfId="2" applyFont="1" applyFill="1" applyAlignment="1">
      <alignment horizontal="left" vertical="center"/>
    </xf>
    <xf numFmtId="41" fontId="2" fillId="12" borderId="0" xfId="2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left" vertical="center"/>
    </xf>
    <xf numFmtId="41" fontId="1" fillId="9" borderId="0" xfId="2" applyFont="1" applyFill="1" applyAlignment="1">
      <alignment horizontal="center" vertical="center"/>
    </xf>
    <xf numFmtId="41" fontId="1" fillId="4" borderId="0" xfId="2" applyFont="1" applyFill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7" fillId="15" borderId="0" xfId="0" applyFont="1" applyFill="1" applyBorder="1" applyAlignment="1">
      <alignment horizontal="center" vertical="center"/>
    </xf>
    <xf numFmtId="0" fontId="7" fillId="15" borderId="0" xfId="0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H531"/>
  <sheetViews>
    <sheetView tabSelected="1" zoomScale="80" zoomScaleNormal="80" workbookViewId="0">
      <pane xSplit="7" topLeftCell="J1" activePane="topRight" state="frozen"/>
      <selection pane="topRight" activeCell="J5" sqref="J5"/>
    </sheetView>
  </sheetViews>
  <sheetFormatPr defaultColWidth="9.109375" defaultRowHeight="14.4"/>
  <cols>
    <col min="1" max="1" width="11.6640625" style="24" bestFit="1" customWidth="1"/>
    <col min="2" max="2" width="5.109375" style="25" customWidth="1"/>
    <col min="3" max="3" width="10.88671875" style="26" customWidth="1"/>
    <col min="4" max="4" width="7.6640625" style="26" customWidth="1"/>
    <col min="5" max="5" width="13.109375" style="26" customWidth="1"/>
    <col min="6" max="6" width="10.5546875" style="25" customWidth="1"/>
    <col min="7" max="7" width="9.109375" style="26"/>
    <col min="8" max="8" width="45.88671875" style="26" customWidth="1"/>
    <col min="9" max="9" width="31.44140625" style="26" bestFit="1" customWidth="1"/>
    <col min="10" max="10" width="14.33203125" style="93" customWidth="1"/>
    <col min="11" max="11" width="13.33203125" style="26" customWidth="1"/>
    <col min="12" max="12" width="12.44140625" style="84" customWidth="1"/>
    <col min="13" max="15" width="12.44140625" style="26" customWidth="1"/>
    <col min="16" max="16" width="18.33203125" style="103" customWidth="1"/>
    <col min="17" max="17" width="88.6640625" style="84" customWidth="1"/>
    <col min="18" max="18" width="10.33203125" style="28" bestFit="1" customWidth="1"/>
    <col min="19" max="19" width="17.109375" style="26" bestFit="1" customWidth="1"/>
    <col min="20" max="20" width="11.33203125" style="26" bestFit="1" customWidth="1"/>
    <col min="21" max="21" width="12" style="26" customWidth="1"/>
    <col min="22" max="22" width="7.6640625" style="26" customWidth="1"/>
    <col min="23" max="23" width="12.109375" style="26" customWidth="1"/>
    <col min="24" max="24" width="10" style="30" bestFit="1" customWidth="1"/>
    <col min="25" max="25" width="12.33203125" style="26" customWidth="1"/>
    <col min="26" max="26" width="9.6640625" style="26" customWidth="1"/>
    <col min="27" max="27" width="8.6640625" style="26" customWidth="1"/>
    <col min="28" max="29" width="9.109375" style="26"/>
    <col min="30" max="30" width="10.21875" style="26" bestFit="1" customWidth="1"/>
    <col min="31" max="16384" width="9.109375" style="26"/>
  </cols>
  <sheetData>
    <row r="1" spans="1:34">
      <c r="V1" s="29"/>
    </row>
    <row r="2" spans="1:34">
      <c r="B2" s="76" t="s">
        <v>0</v>
      </c>
      <c r="P2" s="104"/>
      <c r="R2" s="75"/>
      <c r="X2" s="77" t="e">
        <f>AVERAGE(X13:X514)</f>
        <v>#DIV/0!</v>
      </c>
      <c r="Z2" s="73">
        <v>4008</v>
      </c>
    </row>
    <row r="3" spans="1:34" ht="25.95" customHeight="1">
      <c r="B3" s="31"/>
      <c r="R3" s="89" t="s">
        <v>1</v>
      </c>
      <c r="S3" s="89"/>
      <c r="T3" s="89"/>
      <c r="U3" s="89"/>
      <c r="V3" s="89"/>
      <c r="W3" s="89"/>
      <c r="X3" s="90"/>
      <c r="AD3" s="91" t="s">
        <v>627</v>
      </c>
      <c r="AE3" s="92"/>
      <c r="AF3" s="25"/>
      <c r="AG3" s="91" t="s">
        <v>1403</v>
      </c>
      <c r="AH3" s="92"/>
    </row>
    <row r="4" spans="1:34" s="25" customFormat="1" ht="21.6" customHeight="1">
      <c r="A4" s="32" t="s">
        <v>485</v>
      </c>
      <c r="B4" s="25" t="s">
        <v>2</v>
      </c>
      <c r="C4" s="25" t="s">
        <v>3</v>
      </c>
      <c r="D4" s="25" t="s">
        <v>4</v>
      </c>
      <c r="E4" s="25" t="s">
        <v>81</v>
      </c>
      <c r="F4" s="25">
        <f>SUM(F13:F514)</f>
        <v>0</v>
      </c>
      <c r="G4" s="25" t="s">
        <v>5</v>
      </c>
      <c r="H4" s="25" t="s">
        <v>6</v>
      </c>
      <c r="I4" s="25" t="s">
        <v>7</v>
      </c>
      <c r="J4" s="94" t="s">
        <v>8</v>
      </c>
      <c r="K4" s="25" t="s">
        <v>9</v>
      </c>
      <c r="L4" s="84" t="s">
        <v>10</v>
      </c>
      <c r="M4" s="25" t="s">
        <v>11</v>
      </c>
      <c r="N4" s="25" t="s">
        <v>12</v>
      </c>
      <c r="O4" s="84" t="s">
        <v>13</v>
      </c>
      <c r="P4" s="103" t="s">
        <v>113</v>
      </c>
      <c r="Q4" s="84" t="s">
        <v>12</v>
      </c>
      <c r="R4" s="33" t="s">
        <v>14</v>
      </c>
      <c r="S4" s="33" t="s">
        <v>15</v>
      </c>
      <c r="T4" s="33" t="s">
        <v>16</v>
      </c>
      <c r="U4" s="34" t="s">
        <v>17</v>
      </c>
      <c r="V4" s="34" t="s">
        <v>18</v>
      </c>
      <c r="W4" s="34" t="s">
        <v>19</v>
      </c>
      <c r="X4" s="35" t="s">
        <v>20</v>
      </c>
      <c r="Y4" s="36" t="s">
        <v>21</v>
      </c>
      <c r="Z4" s="36" t="s">
        <v>22</v>
      </c>
      <c r="AA4" s="36"/>
      <c r="AD4" s="83" t="s">
        <v>1402</v>
      </c>
      <c r="AE4" s="83" t="s">
        <v>1401</v>
      </c>
      <c r="AF4" s="83" t="s">
        <v>1406</v>
      </c>
      <c r="AG4" s="83" t="s">
        <v>1404</v>
      </c>
      <c r="AH4" s="83" t="s">
        <v>1405</v>
      </c>
    </row>
    <row r="5" spans="1:34" ht="14.4" customHeight="1">
      <c r="B5" s="4">
        <v>1</v>
      </c>
      <c r="C5" s="6" t="s">
        <v>488</v>
      </c>
      <c r="D5" s="5" t="str">
        <f t="shared" ref="D5:D12" si="0">REPLACE(C5,1,3, )</f>
        <v xml:space="preserve"> 239</v>
      </c>
      <c r="E5" s="6" t="s">
        <v>488</v>
      </c>
      <c r="F5" s="7">
        <f t="shared" ref="F5:F12" si="1">IF(C5=E5,0,1)</f>
        <v>0</v>
      </c>
      <c r="G5" s="4" t="s">
        <v>21</v>
      </c>
      <c r="H5" s="8" t="s">
        <v>328</v>
      </c>
      <c r="I5" s="8" t="s">
        <v>489</v>
      </c>
      <c r="J5" s="101">
        <v>52000</v>
      </c>
      <c r="K5" s="101">
        <f t="shared" ref="K5" si="2">J5-M5</f>
        <v>0</v>
      </c>
      <c r="L5" s="115" t="s">
        <v>1438</v>
      </c>
      <c r="M5" s="97">
        <f t="shared" ref="M5" si="3">J5</f>
        <v>52000</v>
      </c>
      <c r="N5" s="98">
        <f t="shared" ref="N5" si="4">2000+650+500+200+300</f>
        <v>3650</v>
      </c>
      <c r="O5" s="112">
        <f t="shared" ref="O5" si="5">M5+N5</f>
        <v>55650</v>
      </c>
      <c r="P5" s="106"/>
      <c r="Q5" s="100" t="s">
        <v>1434</v>
      </c>
      <c r="R5" s="37"/>
      <c r="S5" s="37">
        <f t="shared" ref="S5:S12" si="6">R5+O5</f>
        <v>55650</v>
      </c>
      <c r="T5" s="37">
        <f t="shared" ref="T5:T68" si="7">S5/0.7</f>
        <v>79500</v>
      </c>
      <c r="U5" s="41">
        <f t="shared" ref="U5:U68" si="8">T5/0.875</f>
        <v>90857.142857142855</v>
      </c>
      <c r="V5" s="42">
        <f t="shared" ref="V5:V12" si="9">(U5-T5)/U5</f>
        <v>0.12499999999999999</v>
      </c>
      <c r="W5" s="41">
        <f t="shared" ref="W5:W12" si="10">(ROUNDUP((U5/100),0))*100</f>
        <v>90900</v>
      </c>
      <c r="X5" s="43">
        <f t="shared" ref="X5:X68" si="11">(T5-O5)/T5</f>
        <v>0.3</v>
      </c>
      <c r="Y5" s="46">
        <v>82425</v>
      </c>
      <c r="Z5" s="47">
        <f t="shared" ref="Z5" si="12">T5-Y5</f>
        <v>-2925</v>
      </c>
      <c r="AA5" s="48">
        <f t="shared" ref="AA5" si="13">Z5/Y5</f>
        <v>-3.5486806187443133E-2</v>
      </c>
    </row>
    <row r="6" spans="1:34" ht="14.4" customHeight="1">
      <c r="B6" s="4">
        <v>2</v>
      </c>
      <c r="C6" s="39" t="s">
        <v>490</v>
      </c>
      <c r="D6" s="5" t="str">
        <f t="shared" si="0"/>
        <v xml:space="preserve"> 537</v>
      </c>
      <c r="E6" s="6" t="s">
        <v>490</v>
      </c>
      <c r="F6" s="7">
        <f t="shared" si="1"/>
        <v>0</v>
      </c>
      <c r="G6" s="8" t="s">
        <v>299</v>
      </c>
      <c r="H6" s="8" t="s">
        <v>491</v>
      </c>
      <c r="I6" s="8" t="s">
        <v>492</v>
      </c>
      <c r="J6" s="9"/>
      <c r="K6" s="13">
        <f t="shared" ref="K5:K68" si="14">J6-M6</f>
        <v>0</v>
      </c>
      <c r="L6" s="4"/>
      <c r="M6" s="14">
        <f t="shared" ref="M5:M67" si="15">J6-N6</f>
        <v>0</v>
      </c>
      <c r="N6" s="10"/>
      <c r="O6" s="40">
        <f t="shared" ref="O6:O69" si="16">M6+N6</f>
        <v>0</v>
      </c>
      <c r="P6" s="105"/>
      <c r="Q6" s="114"/>
      <c r="R6" s="37"/>
      <c r="S6" s="37">
        <f t="shared" si="6"/>
        <v>0</v>
      </c>
      <c r="T6" s="37">
        <f t="shared" si="7"/>
        <v>0</v>
      </c>
      <c r="U6" s="41">
        <f t="shared" si="8"/>
        <v>0</v>
      </c>
      <c r="V6" s="42" t="e">
        <f t="shared" si="9"/>
        <v>#DIV/0!</v>
      </c>
      <c r="W6" s="41">
        <f t="shared" si="10"/>
        <v>0</v>
      </c>
      <c r="X6" s="43" t="e">
        <f t="shared" si="11"/>
        <v>#DIV/0!</v>
      </c>
      <c r="Y6" s="38"/>
      <c r="Z6" s="38"/>
      <c r="AA6" s="38"/>
    </row>
    <row r="7" spans="1:34" ht="14.4" customHeight="1">
      <c r="B7" s="4">
        <v>3</v>
      </c>
      <c r="C7" s="39" t="s">
        <v>1345</v>
      </c>
      <c r="D7" s="5" t="str">
        <f t="shared" si="0"/>
        <v xml:space="preserve"> 280</v>
      </c>
      <c r="E7" s="6" t="s">
        <v>1345</v>
      </c>
      <c r="F7" s="7">
        <f t="shared" si="1"/>
        <v>0</v>
      </c>
      <c r="G7" s="8" t="s">
        <v>299</v>
      </c>
      <c r="H7" s="8" t="s">
        <v>328</v>
      </c>
      <c r="I7" s="8" t="s">
        <v>494</v>
      </c>
      <c r="J7" s="9"/>
      <c r="K7" s="13">
        <f t="shared" si="14"/>
        <v>0</v>
      </c>
      <c r="L7" s="4"/>
      <c r="M7" s="14">
        <f t="shared" si="15"/>
        <v>0</v>
      </c>
      <c r="N7" s="10"/>
      <c r="O7" s="40">
        <f t="shared" si="16"/>
        <v>0</v>
      </c>
      <c r="P7" s="105"/>
      <c r="Q7" s="114"/>
      <c r="R7" s="37"/>
      <c r="S7" s="37">
        <f t="shared" si="6"/>
        <v>0</v>
      </c>
      <c r="T7" s="37">
        <f t="shared" si="7"/>
        <v>0</v>
      </c>
      <c r="U7" s="41">
        <f t="shared" si="8"/>
        <v>0</v>
      </c>
      <c r="V7" s="42" t="e">
        <f t="shared" si="9"/>
        <v>#DIV/0!</v>
      </c>
      <c r="W7" s="41">
        <f t="shared" si="10"/>
        <v>0</v>
      </c>
      <c r="X7" s="43" t="e">
        <f t="shared" si="11"/>
        <v>#DIV/0!</v>
      </c>
      <c r="Y7" s="38"/>
      <c r="Z7" s="38"/>
      <c r="AA7" s="38"/>
    </row>
    <row r="8" spans="1:34" ht="14.4" customHeight="1">
      <c r="B8" s="4">
        <v>4</v>
      </c>
      <c r="C8" s="39" t="s">
        <v>495</v>
      </c>
      <c r="D8" s="5" t="str">
        <f t="shared" si="0"/>
        <v xml:space="preserve"> 149</v>
      </c>
      <c r="E8" s="6" t="s">
        <v>495</v>
      </c>
      <c r="F8" s="7">
        <f t="shared" si="1"/>
        <v>0</v>
      </c>
      <c r="G8" s="8" t="s">
        <v>299</v>
      </c>
      <c r="H8" s="8" t="s">
        <v>491</v>
      </c>
      <c r="I8" s="8" t="s">
        <v>496</v>
      </c>
      <c r="J8" s="9"/>
      <c r="K8" s="13">
        <f t="shared" si="14"/>
        <v>0</v>
      </c>
      <c r="L8" s="4"/>
      <c r="M8" s="14">
        <f t="shared" si="15"/>
        <v>0</v>
      </c>
      <c r="N8" s="10"/>
      <c r="O8" s="40">
        <f t="shared" si="16"/>
        <v>0</v>
      </c>
      <c r="P8" s="105"/>
      <c r="Q8" s="114"/>
      <c r="R8" s="37"/>
      <c r="S8" s="37">
        <f t="shared" si="6"/>
        <v>0</v>
      </c>
      <c r="T8" s="37">
        <f t="shared" si="7"/>
        <v>0</v>
      </c>
      <c r="U8" s="41">
        <f t="shared" si="8"/>
        <v>0</v>
      </c>
      <c r="V8" s="42" t="e">
        <f t="shared" si="9"/>
        <v>#DIV/0!</v>
      </c>
      <c r="W8" s="41">
        <f t="shared" si="10"/>
        <v>0</v>
      </c>
      <c r="X8" s="43" t="e">
        <f t="shared" si="11"/>
        <v>#DIV/0!</v>
      </c>
      <c r="Y8" s="38"/>
      <c r="Z8" s="38"/>
      <c r="AA8" s="38"/>
    </row>
    <row r="9" spans="1:34" ht="14.4" customHeight="1">
      <c r="B9" s="4">
        <v>5</v>
      </c>
      <c r="C9" s="39" t="s">
        <v>502</v>
      </c>
      <c r="D9" s="5" t="str">
        <f t="shared" si="0"/>
        <v xml:space="preserve"> 236</v>
      </c>
      <c r="E9" s="6" t="s">
        <v>502</v>
      </c>
      <c r="F9" s="7">
        <f t="shared" si="1"/>
        <v>0</v>
      </c>
      <c r="G9" s="8" t="s">
        <v>299</v>
      </c>
      <c r="H9" s="8" t="s">
        <v>491</v>
      </c>
      <c r="I9" s="8" t="s">
        <v>498</v>
      </c>
      <c r="J9" s="9"/>
      <c r="K9" s="13">
        <f t="shared" si="14"/>
        <v>0</v>
      </c>
      <c r="L9" s="4"/>
      <c r="M9" s="14">
        <f t="shared" si="15"/>
        <v>0</v>
      </c>
      <c r="N9" s="10"/>
      <c r="O9" s="40">
        <f t="shared" si="16"/>
        <v>0</v>
      </c>
      <c r="P9" s="105"/>
      <c r="Q9" s="114"/>
      <c r="R9" s="37"/>
      <c r="S9" s="37">
        <f t="shared" si="6"/>
        <v>0</v>
      </c>
      <c r="T9" s="37">
        <f t="shared" si="7"/>
        <v>0</v>
      </c>
      <c r="U9" s="41">
        <f t="shared" si="8"/>
        <v>0</v>
      </c>
      <c r="V9" s="42" t="e">
        <f t="shared" si="9"/>
        <v>#DIV/0!</v>
      </c>
      <c r="W9" s="41">
        <f t="shared" si="10"/>
        <v>0</v>
      </c>
      <c r="X9" s="43" t="e">
        <f t="shared" si="11"/>
        <v>#DIV/0!</v>
      </c>
      <c r="Y9" s="38"/>
      <c r="Z9" s="38"/>
      <c r="AA9" s="38"/>
    </row>
    <row r="10" spans="1:34" ht="14.4" customHeight="1">
      <c r="B10" s="4">
        <v>6</v>
      </c>
      <c r="C10" s="39" t="s">
        <v>497</v>
      </c>
      <c r="D10" s="5" t="str">
        <f t="shared" si="0"/>
        <v xml:space="preserve"> 185</v>
      </c>
      <c r="E10" s="6" t="s">
        <v>497</v>
      </c>
      <c r="F10" s="7">
        <f t="shared" si="1"/>
        <v>0</v>
      </c>
      <c r="G10" s="8" t="s">
        <v>299</v>
      </c>
      <c r="H10" s="8" t="s">
        <v>491</v>
      </c>
      <c r="I10" s="8" t="s">
        <v>498</v>
      </c>
      <c r="J10" s="9"/>
      <c r="K10" s="13">
        <f t="shared" si="14"/>
        <v>0</v>
      </c>
      <c r="L10" s="4"/>
      <c r="M10" s="14">
        <f t="shared" si="15"/>
        <v>0</v>
      </c>
      <c r="N10" s="10"/>
      <c r="O10" s="40">
        <f t="shared" si="16"/>
        <v>0</v>
      </c>
      <c r="P10" s="105"/>
      <c r="Q10" s="114"/>
      <c r="R10" s="37"/>
      <c r="S10" s="37">
        <f t="shared" si="6"/>
        <v>0</v>
      </c>
      <c r="T10" s="37">
        <f t="shared" si="7"/>
        <v>0</v>
      </c>
      <c r="U10" s="41">
        <f t="shared" si="8"/>
        <v>0</v>
      </c>
      <c r="V10" s="42" t="e">
        <f t="shared" si="9"/>
        <v>#DIV/0!</v>
      </c>
      <c r="W10" s="41">
        <f t="shared" si="10"/>
        <v>0</v>
      </c>
      <c r="X10" s="43" t="e">
        <f t="shared" si="11"/>
        <v>#DIV/0!</v>
      </c>
      <c r="Y10" s="38"/>
      <c r="Z10" s="38"/>
      <c r="AA10" s="38"/>
    </row>
    <row r="11" spans="1:34" ht="14.4" customHeight="1">
      <c r="B11" s="4">
        <v>7</v>
      </c>
      <c r="C11" s="39" t="s">
        <v>499</v>
      </c>
      <c r="D11" s="5" t="str">
        <f t="shared" si="0"/>
        <v xml:space="preserve"> 244</v>
      </c>
      <c r="E11" s="6" t="s">
        <v>499</v>
      </c>
      <c r="F11" s="7">
        <f t="shared" si="1"/>
        <v>0</v>
      </c>
      <c r="G11" s="8" t="s">
        <v>21</v>
      </c>
      <c r="H11" s="8" t="s">
        <v>328</v>
      </c>
      <c r="I11" s="8" t="s">
        <v>500</v>
      </c>
      <c r="J11" s="95">
        <v>58000</v>
      </c>
      <c r="K11" s="13">
        <f t="shared" si="14"/>
        <v>3650</v>
      </c>
      <c r="L11" s="115" t="s">
        <v>1439</v>
      </c>
      <c r="M11" s="14">
        <f t="shared" si="15"/>
        <v>54350</v>
      </c>
      <c r="N11" s="10">
        <v>3650</v>
      </c>
      <c r="O11" s="40">
        <f t="shared" si="16"/>
        <v>58000</v>
      </c>
      <c r="P11" s="105"/>
      <c r="Q11" s="78" t="s">
        <v>1407</v>
      </c>
      <c r="R11" s="37"/>
      <c r="S11" s="37">
        <f t="shared" si="6"/>
        <v>58000</v>
      </c>
      <c r="T11" s="37">
        <f t="shared" si="7"/>
        <v>82857.14285714287</v>
      </c>
      <c r="U11" s="41">
        <f t="shared" si="8"/>
        <v>94693.877551020429</v>
      </c>
      <c r="V11" s="42">
        <f t="shared" si="9"/>
        <v>0.12500000000000006</v>
      </c>
      <c r="W11" s="41">
        <f t="shared" si="10"/>
        <v>94700</v>
      </c>
      <c r="X11" s="43">
        <f t="shared" si="11"/>
        <v>0.3000000000000001</v>
      </c>
      <c r="Y11" s="46">
        <v>87150</v>
      </c>
      <c r="Z11" s="47">
        <f t="shared" ref="Z11" si="17">T11-Y11</f>
        <v>-4292.8571428571304</v>
      </c>
      <c r="AA11" s="48">
        <f t="shared" ref="AA11" si="18">Z11/Y11</f>
        <v>-4.9258257519875275E-2</v>
      </c>
    </row>
    <row r="12" spans="1:34" ht="14.4" customHeight="1">
      <c r="B12" s="4">
        <v>8</v>
      </c>
      <c r="C12" s="39" t="s">
        <v>501</v>
      </c>
      <c r="D12" s="5" t="str">
        <f t="shared" si="0"/>
        <v xml:space="preserve"> 772</v>
      </c>
      <c r="E12" s="6" t="s">
        <v>501</v>
      </c>
      <c r="F12" s="7">
        <f t="shared" si="1"/>
        <v>0</v>
      </c>
      <c r="G12" s="8" t="s">
        <v>299</v>
      </c>
      <c r="H12" s="8" t="s">
        <v>491</v>
      </c>
      <c r="I12" s="8" t="s">
        <v>492</v>
      </c>
      <c r="J12" s="9"/>
      <c r="K12" s="13">
        <f t="shared" si="14"/>
        <v>0</v>
      </c>
      <c r="L12" s="4"/>
      <c r="M12" s="14">
        <f t="shared" si="15"/>
        <v>0</v>
      </c>
      <c r="N12" s="10"/>
      <c r="O12" s="40">
        <f t="shared" si="16"/>
        <v>0</v>
      </c>
      <c r="P12" s="105"/>
      <c r="Q12" s="114"/>
      <c r="R12" s="37"/>
      <c r="S12" s="37">
        <f t="shared" si="6"/>
        <v>0</v>
      </c>
      <c r="T12" s="37">
        <f t="shared" si="7"/>
        <v>0</v>
      </c>
      <c r="U12" s="41">
        <f t="shared" si="8"/>
        <v>0</v>
      </c>
      <c r="V12" s="42" t="e">
        <f t="shared" si="9"/>
        <v>#DIV/0!</v>
      </c>
      <c r="W12" s="41">
        <f t="shared" si="10"/>
        <v>0</v>
      </c>
      <c r="X12" s="43" t="e">
        <f t="shared" si="11"/>
        <v>#DIV/0!</v>
      </c>
      <c r="Y12" s="38"/>
      <c r="Z12" s="38"/>
      <c r="AA12" s="38"/>
    </row>
    <row r="13" spans="1:34" ht="14.4" customHeight="1">
      <c r="B13" s="4">
        <v>9</v>
      </c>
      <c r="C13" s="5" t="s">
        <v>176</v>
      </c>
      <c r="D13" s="5" t="str">
        <f>REPLACE(C13,1,3, )</f>
        <v xml:space="preserve"> 938</v>
      </c>
      <c r="E13" s="6" t="s">
        <v>176</v>
      </c>
      <c r="F13" s="7">
        <f>IF(C13=E13,0,1)</f>
        <v>0</v>
      </c>
      <c r="G13" s="11" t="s">
        <v>299</v>
      </c>
      <c r="H13" s="11" t="s">
        <v>313</v>
      </c>
      <c r="I13" s="11" t="s">
        <v>343</v>
      </c>
      <c r="J13" s="12">
        <v>65000</v>
      </c>
      <c r="K13" s="13">
        <f>J13-M13</f>
        <v>3900</v>
      </c>
      <c r="L13" s="7" t="s">
        <v>24</v>
      </c>
      <c r="M13" s="14">
        <f>J13-N13</f>
        <v>61100</v>
      </c>
      <c r="N13" s="14">
        <f>2000+200+350+600+750</f>
        <v>3900</v>
      </c>
      <c r="O13" s="40">
        <f t="shared" si="16"/>
        <v>65000</v>
      </c>
      <c r="P13" s="106"/>
      <c r="Q13" s="3" t="s">
        <v>400</v>
      </c>
      <c r="R13" s="37"/>
      <c r="S13" s="37">
        <f>R13+O13</f>
        <v>65000</v>
      </c>
      <c r="T13" s="37">
        <f>S13/0.7</f>
        <v>92857.14285714287</v>
      </c>
      <c r="U13" s="41">
        <f>T13/0.875</f>
        <v>106122.44897959185</v>
      </c>
      <c r="V13" s="42">
        <f>(U13-T13)/U13</f>
        <v>0.12499999999999999</v>
      </c>
      <c r="W13" s="41">
        <f>(ROUNDUP((U13/100),0))*100</f>
        <v>106200</v>
      </c>
      <c r="X13" s="43">
        <f t="shared" si="11"/>
        <v>0.3000000000000001</v>
      </c>
      <c r="Y13" s="44"/>
      <c r="Z13" s="44"/>
      <c r="AA13" s="45"/>
    </row>
    <row r="14" spans="1:34" ht="14.4" customHeight="1">
      <c r="B14" s="4">
        <v>10</v>
      </c>
      <c r="C14" s="5" t="s">
        <v>503</v>
      </c>
      <c r="D14" s="5" t="str">
        <f>REPLACE(C14,1,3, )</f>
        <v xml:space="preserve"> 915</v>
      </c>
      <c r="E14" s="6" t="s">
        <v>503</v>
      </c>
      <c r="F14" s="7">
        <f>IF(C14=E14,0,1)</f>
        <v>0</v>
      </c>
      <c r="G14" s="8" t="s">
        <v>21</v>
      </c>
      <c r="H14" s="8" t="s">
        <v>491</v>
      </c>
      <c r="I14" s="8" t="s">
        <v>504</v>
      </c>
      <c r="J14" s="12">
        <f>M14</f>
        <v>70000</v>
      </c>
      <c r="K14" s="13">
        <f t="shared" ref="K14" si="19">J14-M14</f>
        <v>0</v>
      </c>
      <c r="L14" s="17" t="s">
        <v>23</v>
      </c>
      <c r="M14" s="18">
        <v>70000</v>
      </c>
      <c r="N14" s="15">
        <f>2000+200+350+600+800</f>
        <v>3950</v>
      </c>
      <c r="O14" s="40">
        <f t="shared" si="16"/>
        <v>73950</v>
      </c>
      <c r="P14" s="106"/>
      <c r="Q14" s="78" t="s">
        <v>1374</v>
      </c>
      <c r="R14" s="37"/>
      <c r="S14" s="37">
        <f t="shared" ref="S14:S77" si="20">R14+O14</f>
        <v>73950</v>
      </c>
      <c r="T14" s="37">
        <f t="shared" si="7"/>
        <v>105642.85714285714</v>
      </c>
      <c r="U14" s="41">
        <f t="shared" si="8"/>
        <v>120734.69387755102</v>
      </c>
      <c r="V14" s="42">
        <f t="shared" ref="V14:V77" si="21">(U14-T14)/U14</f>
        <v>0.12499999999999999</v>
      </c>
      <c r="W14" s="41">
        <f t="shared" ref="W14:W77" si="22">(ROUNDUP((U14/100),0))*100</f>
        <v>120800</v>
      </c>
      <c r="X14" s="43">
        <f t="shared" si="11"/>
        <v>0.3</v>
      </c>
      <c r="Y14" s="46">
        <v>107360</v>
      </c>
      <c r="Z14" s="47">
        <f t="shared" ref="Z14" si="23">T14-Y14</f>
        <v>-1717.1428571428551</v>
      </c>
      <c r="AA14" s="48">
        <f t="shared" ref="AA14" si="24">Z14/Y14</f>
        <v>-1.5994251649989334E-2</v>
      </c>
    </row>
    <row r="15" spans="1:34" ht="14.4" customHeight="1">
      <c r="B15" s="4">
        <v>11</v>
      </c>
      <c r="C15" s="5" t="s">
        <v>505</v>
      </c>
      <c r="D15" s="5" t="str">
        <f>REPLACE(C15,1,3, )</f>
        <v xml:space="preserve"> 922</v>
      </c>
      <c r="E15" s="6" t="s">
        <v>505</v>
      </c>
      <c r="F15" s="7">
        <f>IF(C15=E15,0,1)</f>
        <v>0</v>
      </c>
      <c r="G15" s="8" t="s">
        <v>299</v>
      </c>
      <c r="H15" s="8" t="s">
        <v>491</v>
      </c>
      <c r="I15" s="8" t="s">
        <v>492</v>
      </c>
      <c r="J15" s="12"/>
      <c r="K15" s="13">
        <f t="shared" si="14"/>
        <v>0</v>
      </c>
      <c r="L15" s="7"/>
      <c r="M15" s="14">
        <f t="shared" si="15"/>
        <v>0</v>
      </c>
      <c r="N15" s="14"/>
      <c r="O15" s="40">
        <f t="shared" si="16"/>
        <v>0</v>
      </c>
      <c r="P15" s="106"/>
      <c r="Q15" s="3"/>
      <c r="R15" s="37"/>
      <c r="S15" s="37">
        <f t="shared" si="20"/>
        <v>0</v>
      </c>
      <c r="T15" s="37">
        <f t="shared" si="7"/>
        <v>0</v>
      </c>
      <c r="U15" s="41">
        <f t="shared" si="8"/>
        <v>0</v>
      </c>
      <c r="V15" s="42" t="e">
        <f t="shared" si="21"/>
        <v>#DIV/0!</v>
      </c>
      <c r="W15" s="41">
        <f t="shared" si="22"/>
        <v>0</v>
      </c>
      <c r="X15" s="43" t="e">
        <f t="shared" si="11"/>
        <v>#DIV/0!</v>
      </c>
      <c r="Y15" s="44"/>
      <c r="Z15" s="44"/>
      <c r="AA15" s="45"/>
    </row>
    <row r="16" spans="1:34" ht="14.4" customHeight="1">
      <c r="B16" s="4">
        <v>12</v>
      </c>
      <c r="C16" s="39" t="s">
        <v>506</v>
      </c>
      <c r="D16" s="5" t="str">
        <f t="shared" ref="D16:D27" si="25">REPLACE(C16,1,3, )</f>
        <v xml:space="preserve"> 924</v>
      </c>
      <c r="E16" s="6" t="s">
        <v>506</v>
      </c>
      <c r="F16" s="7">
        <f t="shared" ref="F16:F27" si="26">IF(C16=E16,0,1)</f>
        <v>0</v>
      </c>
      <c r="G16" s="8" t="s">
        <v>21</v>
      </c>
      <c r="H16" s="8" t="s">
        <v>491</v>
      </c>
      <c r="I16" s="8" t="s">
        <v>496</v>
      </c>
      <c r="J16" s="12"/>
      <c r="K16" s="13">
        <f t="shared" si="14"/>
        <v>0</v>
      </c>
      <c r="L16" s="7"/>
      <c r="M16" s="14">
        <f t="shared" si="15"/>
        <v>0</v>
      </c>
      <c r="N16" s="14"/>
      <c r="O16" s="40">
        <f t="shared" si="16"/>
        <v>0</v>
      </c>
      <c r="P16" s="106"/>
      <c r="Q16" s="3"/>
      <c r="R16" s="37"/>
      <c r="S16" s="37">
        <f t="shared" si="20"/>
        <v>0</v>
      </c>
      <c r="T16" s="37">
        <f t="shared" si="7"/>
        <v>0</v>
      </c>
      <c r="U16" s="41">
        <f t="shared" si="8"/>
        <v>0</v>
      </c>
      <c r="V16" s="42" t="e">
        <f t="shared" si="21"/>
        <v>#DIV/0!</v>
      </c>
      <c r="W16" s="41">
        <f t="shared" si="22"/>
        <v>0</v>
      </c>
      <c r="X16" s="43" t="e">
        <f t="shared" si="11"/>
        <v>#DIV/0!</v>
      </c>
      <c r="Y16" s="46">
        <v>110875</v>
      </c>
      <c r="Z16" s="47">
        <f t="shared" ref="Z16" si="27">T16-Y16</f>
        <v>-110875</v>
      </c>
      <c r="AA16" s="48">
        <f t="shared" ref="AA16" si="28">Z16/Y16</f>
        <v>-1</v>
      </c>
    </row>
    <row r="17" spans="2:27" ht="14.4" customHeight="1">
      <c r="B17" s="4">
        <v>13</v>
      </c>
      <c r="C17" s="39" t="s">
        <v>507</v>
      </c>
      <c r="D17" s="5" t="str">
        <f t="shared" si="25"/>
        <v xml:space="preserve"> 209</v>
      </c>
      <c r="E17" s="6" t="s">
        <v>507</v>
      </c>
      <c r="F17" s="7">
        <f t="shared" si="26"/>
        <v>0</v>
      </c>
      <c r="G17" s="8" t="s">
        <v>299</v>
      </c>
      <c r="H17" s="8" t="s">
        <v>491</v>
      </c>
      <c r="I17" s="8" t="s">
        <v>492</v>
      </c>
      <c r="J17" s="12"/>
      <c r="K17" s="13">
        <f t="shared" si="14"/>
        <v>0</v>
      </c>
      <c r="L17" s="7"/>
      <c r="M17" s="14">
        <f t="shared" si="15"/>
        <v>0</v>
      </c>
      <c r="N17" s="14"/>
      <c r="O17" s="40">
        <f t="shared" si="16"/>
        <v>0</v>
      </c>
      <c r="P17" s="106"/>
      <c r="Q17" s="3"/>
      <c r="R17" s="37"/>
      <c r="S17" s="37">
        <f t="shared" si="20"/>
        <v>0</v>
      </c>
      <c r="T17" s="37">
        <f t="shared" si="7"/>
        <v>0</v>
      </c>
      <c r="U17" s="41">
        <f t="shared" si="8"/>
        <v>0</v>
      </c>
      <c r="V17" s="42" t="e">
        <f t="shared" si="21"/>
        <v>#DIV/0!</v>
      </c>
      <c r="W17" s="41">
        <f t="shared" si="22"/>
        <v>0</v>
      </c>
      <c r="X17" s="43" t="e">
        <f t="shared" si="11"/>
        <v>#DIV/0!</v>
      </c>
      <c r="Y17" s="44"/>
      <c r="Z17" s="44"/>
      <c r="AA17" s="45"/>
    </row>
    <row r="18" spans="2:27" ht="14.4" customHeight="1">
      <c r="B18" s="4">
        <v>14</v>
      </c>
      <c r="C18" s="39" t="s">
        <v>508</v>
      </c>
      <c r="D18" s="5" t="str">
        <f t="shared" si="25"/>
        <v xml:space="preserve"> 968</v>
      </c>
      <c r="E18" s="6" t="s">
        <v>508</v>
      </c>
      <c r="F18" s="7">
        <f t="shared" si="26"/>
        <v>0</v>
      </c>
      <c r="G18" s="8" t="s">
        <v>299</v>
      </c>
      <c r="H18" s="8" t="s">
        <v>491</v>
      </c>
      <c r="I18" s="8" t="s">
        <v>498</v>
      </c>
      <c r="J18" s="12"/>
      <c r="K18" s="13">
        <f t="shared" si="14"/>
        <v>0</v>
      </c>
      <c r="L18" s="7"/>
      <c r="M18" s="14">
        <f t="shared" si="15"/>
        <v>0</v>
      </c>
      <c r="N18" s="14"/>
      <c r="O18" s="40">
        <f t="shared" si="16"/>
        <v>0</v>
      </c>
      <c r="P18" s="106"/>
      <c r="Q18" s="3"/>
      <c r="R18" s="37"/>
      <c r="S18" s="37">
        <f t="shared" si="20"/>
        <v>0</v>
      </c>
      <c r="T18" s="37">
        <f t="shared" si="7"/>
        <v>0</v>
      </c>
      <c r="U18" s="41">
        <f t="shared" si="8"/>
        <v>0</v>
      </c>
      <c r="V18" s="42" t="e">
        <f t="shared" si="21"/>
        <v>#DIV/0!</v>
      </c>
      <c r="W18" s="41">
        <f t="shared" si="22"/>
        <v>0</v>
      </c>
      <c r="X18" s="43" t="e">
        <f t="shared" si="11"/>
        <v>#DIV/0!</v>
      </c>
      <c r="Y18" s="44"/>
      <c r="Z18" s="44"/>
      <c r="AA18" s="45"/>
    </row>
    <row r="19" spans="2:27" ht="14.4" customHeight="1">
      <c r="B19" s="4">
        <v>15</v>
      </c>
      <c r="C19" s="39" t="s">
        <v>509</v>
      </c>
      <c r="D19" s="5" t="str">
        <f t="shared" si="25"/>
        <v xml:space="preserve"> 154</v>
      </c>
      <c r="E19" s="6" t="s">
        <v>509</v>
      </c>
      <c r="F19" s="7">
        <f t="shared" si="26"/>
        <v>0</v>
      </c>
      <c r="G19" s="8" t="s">
        <v>299</v>
      </c>
      <c r="H19" s="8" t="s">
        <v>491</v>
      </c>
      <c r="I19" s="8" t="s">
        <v>492</v>
      </c>
      <c r="J19" s="12"/>
      <c r="K19" s="13">
        <f t="shared" si="14"/>
        <v>0</v>
      </c>
      <c r="L19" s="7"/>
      <c r="M19" s="14">
        <f t="shared" si="15"/>
        <v>0</v>
      </c>
      <c r="N19" s="14"/>
      <c r="O19" s="40">
        <f t="shared" si="16"/>
        <v>0</v>
      </c>
      <c r="P19" s="106"/>
      <c r="Q19" s="3"/>
      <c r="R19" s="37"/>
      <c r="S19" s="37">
        <f t="shared" si="20"/>
        <v>0</v>
      </c>
      <c r="T19" s="37">
        <f t="shared" si="7"/>
        <v>0</v>
      </c>
      <c r="U19" s="41">
        <f t="shared" si="8"/>
        <v>0</v>
      </c>
      <c r="V19" s="42" t="e">
        <f t="shared" si="21"/>
        <v>#DIV/0!</v>
      </c>
      <c r="W19" s="41">
        <f t="shared" si="22"/>
        <v>0</v>
      </c>
      <c r="X19" s="43" t="e">
        <f t="shared" si="11"/>
        <v>#DIV/0!</v>
      </c>
      <c r="Y19" s="44"/>
      <c r="Z19" s="44"/>
      <c r="AA19" s="45"/>
    </row>
    <row r="20" spans="2:27" ht="14.4" customHeight="1">
      <c r="B20" s="4">
        <v>16</v>
      </c>
      <c r="C20" s="39" t="s">
        <v>510</v>
      </c>
      <c r="D20" s="5" t="str">
        <f t="shared" si="25"/>
        <v xml:space="preserve"> 362</v>
      </c>
      <c r="E20" s="6" t="s">
        <v>510</v>
      </c>
      <c r="F20" s="7">
        <f t="shared" si="26"/>
        <v>0</v>
      </c>
      <c r="G20" s="8" t="s">
        <v>299</v>
      </c>
      <c r="H20" s="8" t="s">
        <v>313</v>
      </c>
      <c r="I20" s="8" t="s">
        <v>492</v>
      </c>
      <c r="J20" s="12"/>
      <c r="K20" s="13">
        <f t="shared" si="14"/>
        <v>0</v>
      </c>
      <c r="L20" s="7"/>
      <c r="M20" s="14">
        <f t="shared" si="15"/>
        <v>0</v>
      </c>
      <c r="N20" s="14"/>
      <c r="O20" s="40">
        <f t="shared" si="16"/>
        <v>0</v>
      </c>
      <c r="P20" s="106"/>
      <c r="Q20" s="3"/>
      <c r="R20" s="37"/>
      <c r="S20" s="37">
        <f t="shared" si="20"/>
        <v>0</v>
      </c>
      <c r="T20" s="37">
        <f t="shared" si="7"/>
        <v>0</v>
      </c>
      <c r="U20" s="41">
        <f t="shared" si="8"/>
        <v>0</v>
      </c>
      <c r="V20" s="42" t="e">
        <f t="shared" si="21"/>
        <v>#DIV/0!</v>
      </c>
      <c r="W20" s="41">
        <f t="shared" si="22"/>
        <v>0</v>
      </c>
      <c r="X20" s="43" t="e">
        <f t="shared" si="11"/>
        <v>#DIV/0!</v>
      </c>
      <c r="Y20" s="44"/>
      <c r="Z20" s="44"/>
      <c r="AA20" s="45"/>
    </row>
    <row r="21" spans="2:27" ht="14.4" customHeight="1">
      <c r="B21" s="4">
        <v>17</v>
      </c>
      <c r="C21" s="39" t="s">
        <v>511</v>
      </c>
      <c r="D21" s="5" t="str">
        <f t="shared" si="25"/>
        <v xml:space="preserve"> 893</v>
      </c>
      <c r="E21" s="6" t="s">
        <v>511</v>
      </c>
      <c r="F21" s="7">
        <f t="shared" si="26"/>
        <v>0</v>
      </c>
      <c r="G21" s="8" t="s">
        <v>21</v>
      </c>
      <c r="H21" s="8" t="s">
        <v>491</v>
      </c>
      <c r="I21" s="8" t="s">
        <v>496</v>
      </c>
      <c r="J21" s="12"/>
      <c r="K21" s="13">
        <f t="shared" si="14"/>
        <v>0</v>
      </c>
      <c r="L21" s="7"/>
      <c r="M21" s="14">
        <f t="shared" si="15"/>
        <v>0</v>
      </c>
      <c r="N21" s="14"/>
      <c r="O21" s="40">
        <f t="shared" si="16"/>
        <v>0</v>
      </c>
      <c r="P21" s="106"/>
      <c r="Q21" s="3"/>
      <c r="R21" s="37"/>
      <c r="S21" s="37">
        <f t="shared" si="20"/>
        <v>0</v>
      </c>
      <c r="T21" s="37">
        <f t="shared" si="7"/>
        <v>0</v>
      </c>
      <c r="U21" s="41">
        <f t="shared" si="8"/>
        <v>0</v>
      </c>
      <c r="V21" s="42" t="e">
        <f t="shared" si="21"/>
        <v>#DIV/0!</v>
      </c>
      <c r="W21" s="41">
        <f t="shared" si="22"/>
        <v>0</v>
      </c>
      <c r="X21" s="43" t="e">
        <f t="shared" si="11"/>
        <v>#DIV/0!</v>
      </c>
      <c r="Y21" s="46">
        <v>98613</v>
      </c>
      <c r="Z21" s="47">
        <f t="shared" ref="Z21:Z23" si="29">T21-Y21</f>
        <v>-98613</v>
      </c>
      <c r="AA21" s="48">
        <f t="shared" ref="AA21:AA23" si="30">Z21/Y21</f>
        <v>-1</v>
      </c>
    </row>
    <row r="22" spans="2:27" ht="14.4" customHeight="1">
      <c r="B22" s="4">
        <v>18</v>
      </c>
      <c r="C22" s="39" t="s">
        <v>512</v>
      </c>
      <c r="D22" s="5" t="str">
        <f t="shared" si="25"/>
        <v xml:space="preserve"> 958</v>
      </c>
      <c r="E22" s="6" t="s">
        <v>512</v>
      </c>
      <c r="F22" s="7">
        <f t="shared" si="26"/>
        <v>0</v>
      </c>
      <c r="G22" s="8" t="s">
        <v>21</v>
      </c>
      <c r="H22" s="8" t="s">
        <v>313</v>
      </c>
      <c r="I22" s="8" t="s">
        <v>496</v>
      </c>
      <c r="J22" s="12"/>
      <c r="K22" s="13">
        <f t="shared" si="14"/>
        <v>0</v>
      </c>
      <c r="L22" s="7"/>
      <c r="M22" s="14">
        <f t="shared" si="15"/>
        <v>0</v>
      </c>
      <c r="N22" s="14"/>
      <c r="O22" s="40">
        <f t="shared" si="16"/>
        <v>0</v>
      </c>
      <c r="P22" s="106"/>
      <c r="Q22" s="3"/>
      <c r="R22" s="37"/>
      <c r="S22" s="37">
        <f t="shared" si="20"/>
        <v>0</v>
      </c>
      <c r="T22" s="37">
        <f t="shared" si="7"/>
        <v>0</v>
      </c>
      <c r="U22" s="41">
        <f t="shared" si="8"/>
        <v>0</v>
      </c>
      <c r="V22" s="42" t="e">
        <f t="shared" si="21"/>
        <v>#DIV/0!</v>
      </c>
      <c r="W22" s="41">
        <f t="shared" si="22"/>
        <v>0</v>
      </c>
      <c r="X22" s="43" t="e">
        <f t="shared" si="11"/>
        <v>#DIV/0!</v>
      </c>
      <c r="Y22" s="46">
        <v>98613</v>
      </c>
      <c r="Z22" s="47">
        <f t="shared" si="29"/>
        <v>-98613</v>
      </c>
      <c r="AA22" s="48">
        <f t="shared" si="30"/>
        <v>-1</v>
      </c>
    </row>
    <row r="23" spans="2:27" ht="14.4" customHeight="1">
      <c r="B23" s="4">
        <v>19</v>
      </c>
      <c r="C23" s="39" t="s">
        <v>513</v>
      </c>
      <c r="D23" s="5" t="str">
        <f t="shared" si="25"/>
        <v xml:space="preserve"> 591</v>
      </c>
      <c r="E23" s="6" t="s">
        <v>513</v>
      </c>
      <c r="F23" s="7">
        <f t="shared" si="26"/>
        <v>0</v>
      </c>
      <c r="G23" s="8" t="s">
        <v>21</v>
      </c>
      <c r="H23" s="8" t="s">
        <v>491</v>
      </c>
      <c r="I23" s="8" t="s">
        <v>496</v>
      </c>
      <c r="J23" s="12"/>
      <c r="K23" s="13">
        <f t="shared" si="14"/>
        <v>0</v>
      </c>
      <c r="L23" s="7"/>
      <c r="M23" s="14">
        <f t="shared" si="15"/>
        <v>0</v>
      </c>
      <c r="N23" s="14"/>
      <c r="O23" s="40">
        <f t="shared" si="16"/>
        <v>0</v>
      </c>
      <c r="P23" s="106"/>
      <c r="Q23" s="3"/>
      <c r="R23" s="37"/>
      <c r="S23" s="37">
        <f t="shared" si="20"/>
        <v>0</v>
      </c>
      <c r="T23" s="37">
        <f t="shared" si="7"/>
        <v>0</v>
      </c>
      <c r="U23" s="41">
        <f t="shared" si="8"/>
        <v>0</v>
      </c>
      <c r="V23" s="42" t="e">
        <f t="shared" si="21"/>
        <v>#DIV/0!</v>
      </c>
      <c r="W23" s="41">
        <f t="shared" si="22"/>
        <v>0</v>
      </c>
      <c r="X23" s="43" t="e">
        <f t="shared" si="11"/>
        <v>#DIV/0!</v>
      </c>
      <c r="Y23" s="46">
        <v>112875</v>
      </c>
      <c r="Z23" s="47">
        <f t="shared" si="29"/>
        <v>-112875</v>
      </c>
      <c r="AA23" s="48">
        <f t="shared" si="30"/>
        <v>-1</v>
      </c>
    </row>
    <row r="24" spans="2:27" ht="14.4" customHeight="1">
      <c r="B24" s="4">
        <v>20</v>
      </c>
      <c r="C24" s="39" t="s">
        <v>514</v>
      </c>
      <c r="D24" s="5" t="str">
        <f t="shared" si="25"/>
        <v xml:space="preserve"> 948</v>
      </c>
      <c r="E24" s="6" t="s">
        <v>514</v>
      </c>
      <c r="F24" s="7">
        <f t="shared" si="26"/>
        <v>0</v>
      </c>
      <c r="G24" s="8" t="s">
        <v>299</v>
      </c>
      <c r="H24" s="8" t="s">
        <v>491</v>
      </c>
      <c r="I24" s="8" t="s">
        <v>515</v>
      </c>
      <c r="J24" s="12"/>
      <c r="K24" s="13">
        <f t="shared" si="14"/>
        <v>0</v>
      </c>
      <c r="L24" s="7"/>
      <c r="M24" s="14">
        <f t="shared" si="15"/>
        <v>0</v>
      </c>
      <c r="N24" s="14"/>
      <c r="O24" s="40">
        <f t="shared" si="16"/>
        <v>0</v>
      </c>
      <c r="P24" s="106"/>
      <c r="Q24" s="3"/>
      <c r="R24" s="37"/>
      <c r="S24" s="37">
        <f t="shared" si="20"/>
        <v>0</v>
      </c>
      <c r="T24" s="37">
        <f t="shared" si="7"/>
        <v>0</v>
      </c>
      <c r="U24" s="41">
        <f t="shared" si="8"/>
        <v>0</v>
      </c>
      <c r="V24" s="42" t="e">
        <f t="shared" si="21"/>
        <v>#DIV/0!</v>
      </c>
      <c r="W24" s="41">
        <f t="shared" si="22"/>
        <v>0</v>
      </c>
      <c r="X24" s="43" t="e">
        <f t="shared" si="11"/>
        <v>#DIV/0!</v>
      </c>
      <c r="Y24" s="44"/>
      <c r="Z24" s="44"/>
      <c r="AA24" s="45"/>
    </row>
    <row r="25" spans="2:27" ht="14.4" customHeight="1">
      <c r="B25" s="4">
        <v>21</v>
      </c>
      <c r="C25" s="39" t="s">
        <v>516</v>
      </c>
      <c r="D25" s="5" t="str">
        <f t="shared" si="25"/>
        <v xml:space="preserve"> 988</v>
      </c>
      <c r="E25" s="6" t="s">
        <v>516</v>
      </c>
      <c r="F25" s="7">
        <f t="shared" si="26"/>
        <v>0</v>
      </c>
      <c r="G25" s="8" t="s">
        <v>21</v>
      </c>
      <c r="H25" s="8" t="s">
        <v>313</v>
      </c>
      <c r="I25" s="8" t="s">
        <v>517</v>
      </c>
      <c r="J25" s="12"/>
      <c r="K25" s="13">
        <f t="shared" si="14"/>
        <v>0</v>
      </c>
      <c r="L25" s="7"/>
      <c r="M25" s="14">
        <f t="shared" si="15"/>
        <v>0</v>
      </c>
      <c r="N25" s="14"/>
      <c r="O25" s="40">
        <f t="shared" si="16"/>
        <v>0</v>
      </c>
      <c r="P25" s="106"/>
      <c r="Q25" s="3"/>
      <c r="R25" s="37"/>
      <c r="S25" s="37">
        <f t="shared" si="20"/>
        <v>0</v>
      </c>
      <c r="T25" s="37">
        <f t="shared" si="7"/>
        <v>0</v>
      </c>
      <c r="U25" s="41">
        <f t="shared" si="8"/>
        <v>0</v>
      </c>
      <c r="V25" s="42" t="e">
        <f t="shared" si="21"/>
        <v>#DIV/0!</v>
      </c>
      <c r="W25" s="41">
        <f t="shared" si="22"/>
        <v>0</v>
      </c>
      <c r="X25" s="43" t="e">
        <f t="shared" si="11"/>
        <v>#DIV/0!</v>
      </c>
      <c r="Y25" s="46">
        <v>102375</v>
      </c>
      <c r="Z25" s="47">
        <f t="shared" ref="Z25:Z26" si="31">T25-Y25</f>
        <v>-102375</v>
      </c>
      <c r="AA25" s="48">
        <f t="shared" ref="AA25:AA26" si="32">Z25/Y25</f>
        <v>-1</v>
      </c>
    </row>
    <row r="26" spans="2:27" ht="14.4" customHeight="1">
      <c r="B26" s="4">
        <v>22</v>
      </c>
      <c r="C26" s="39" t="s">
        <v>518</v>
      </c>
      <c r="D26" s="5" t="str">
        <f t="shared" si="25"/>
        <v xml:space="preserve"> 945</v>
      </c>
      <c r="E26" s="6" t="s">
        <v>518</v>
      </c>
      <c r="F26" s="7">
        <f t="shared" si="26"/>
        <v>0</v>
      </c>
      <c r="G26" s="8" t="s">
        <v>21</v>
      </c>
      <c r="H26" s="8" t="s">
        <v>491</v>
      </c>
      <c r="I26" s="8" t="s">
        <v>496</v>
      </c>
      <c r="J26" s="12"/>
      <c r="K26" s="13">
        <f t="shared" si="14"/>
        <v>0</v>
      </c>
      <c r="L26" s="7"/>
      <c r="M26" s="14">
        <f t="shared" si="15"/>
        <v>0</v>
      </c>
      <c r="N26" s="14"/>
      <c r="O26" s="40">
        <f t="shared" si="16"/>
        <v>0</v>
      </c>
      <c r="P26" s="106"/>
      <c r="Q26" s="3"/>
      <c r="R26" s="37"/>
      <c r="S26" s="37">
        <f t="shared" si="20"/>
        <v>0</v>
      </c>
      <c r="T26" s="37">
        <f t="shared" si="7"/>
        <v>0</v>
      </c>
      <c r="U26" s="41">
        <f t="shared" si="8"/>
        <v>0</v>
      </c>
      <c r="V26" s="42" t="e">
        <f t="shared" si="21"/>
        <v>#DIV/0!</v>
      </c>
      <c r="W26" s="41">
        <f t="shared" si="22"/>
        <v>0</v>
      </c>
      <c r="X26" s="43" t="e">
        <f t="shared" si="11"/>
        <v>#DIV/0!</v>
      </c>
      <c r="Y26" s="46">
        <v>112875</v>
      </c>
      <c r="Z26" s="47">
        <f t="shared" si="31"/>
        <v>-112875</v>
      </c>
      <c r="AA26" s="48">
        <f t="shared" si="32"/>
        <v>-1</v>
      </c>
    </row>
    <row r="27" spans="2:27" ht="14.4" customHeight="1">
      <c r="B27" s="4">
        <v>23</v>
      </c>
      <c r="C27" s="39" t="s">
        <v>519</v>
      </c>
      <c r="D27" s="5" t="str">
        <f t="shared" si="25"/>
        <v xml:space="preserve"> 268</v>
      </c>
      <c r="E27" s="6" t="s">
        <v>519</v>
      </c>
      <c r="F27" s="7">
        <f t="shared" si="26"/>
        <v>0</v>
      </c>
      <c r="G27" s="8" t="s">
        <v>299</v>
      </c>
      <c r="H27" s="8" t="s">
        <v>491</v>
      </c>
      <c r="I27" s="8" t="s">
        <v>520</v>
      </c>
      <c r="J27" s="12"/>
      <c r="K27" s="13">
        <f t="shared" si="14"/>
        <v>0</v>
      </c>
      <c r="L27" s="7"/>
      <c r="M27" s="14">
        <f t="shared" si="15"/>
        <v>0</v>
      </c>
      <c r="N27" s="14"/>
      <c r="O27" s="40">
        <f t="shared" si="16"/>
        <v>0</v>
      </c>
      <c r="P27" s="106"/>
      <c r="Q27" s="3"/>
      <c r="R27" s="37"/>
      <c r="S27" s="37">
        <f t="shared" si="20"/>
        <v>0</v>
      </c>
      <c r="T27" s="37">
        <f t="shared" si="7"/>
        <v>0</v>
      </c>
      <c r="U27" s="41">
        <f t="shared" si="8"/>
        <v>0</v>
      </c>
      <c r="V27" s="42" t="e">
        <f t="shared" si="21"/>
        <v>#DIV/0!</v>
      </c>
      <c r="W27" s="41">
        <f t="shared" si="22"/>
        <v>0</v>
      </c>
      <c r="X27" s="43" t="e">
        <f t="shared" si="11"/>
        <v>#DIV/0!</v>
      </c>
      <c r="Y27" s="44"/>
      <c r="Z27" s="44"/>
      <c r="AA27" s="45"/>
    </row>
    <row r="28" spans="2:27" ht="14.4" customHeight="1">
      <c r="B28" s="4">
        <v>24</v>
      </c>
      <c r="C28" s="5" t="s">
        <v>191</v>
      </c>
      <c r="D28" s="5" t="str">
        <f>REPLACE(C28,1,3, )</f>
        <v xml:space="preserve"> 336</v>
      </c>
      <c r="E28" s="6" t="s">
        <v>191</v>
      </c>
      <c r="F28" s="7">
        <f>IF(C28=E28,0,1)</f>
        <v>0</v>
      </c>
      <c r="G28" s="11" t="s">
        <v>299</v>
      </c>
      <c r="H28" s="11" t="s">
        <v>313</v>
      </c>
      <c r="I28" s="11" t="s">
        <v>347</v>
      </c>
      <c r="J28" s="12">
        <v>72500</v>
      </c>
      <c r="K28" s="13">
        <f t="shared" si="14"/>
        <v>3900</v>
      </c>
      <c r="L28" s="7" t="s">
        <v>24</v>
      </c>
      <c r="M28" s="14">
        <f>J28-N28</f>
        <v>68600</v>
      </c>
      <c r="N28" s="15">
        <f>2000+200+350+600+750</f>
        <v>3900</v>
      </c>
      <c r="O28" s="40">
        <f t="shared" si="16"/>
        <v>72500</v>
      </c>
      <c r="P28" s="106"/>
      <c r="Q28" s="3" t="s">
        <v>406</v>
      </c>
      <c r="R28" s="37"/>
      <c r="S28" s="37">
        <f t="shared" si="20"/>
        <v>72500</v>
      </c>
      <c r="T28" s="37">
        <f t="shared" si="7"/>
        <v>103571.42857142858</v>
      </c>
      <c r="U28" s="41">
        <f t="shared" si="8"/>
        <v>118367.34693877552</v>
      </c>
      <c r="V28" s="42">
        <f t="shared" si="21"/>
        <v>0.12499999999999999</v>
      </c>
      <c r="W28" s="41">
        <f t="shared" si="22"/>
        <v>118400</v>
      </c>
      <c r="X28" s="43">
        <f t="shared" si="11"/>
        <v>0.30000000000000004</v>
      </c>
      <c r="Y28" s="44"/>
      <c r="Z28" s="44"/>
      <c r="AA28" s="45"/>
    </row>
    <row r="29" spans="2:27" ht="14.4" customHeight="1">
      <c r="B29" s="4">
        <v>25</v>
      </c>
      <c r="C29" s="39" t="s">
        <v>521</v>
      </c>
      <c r="D29" s="5" t="str">
        <f>REPLACE(C29,1,3, )</f>
        <v xml:space="preserve"> 731</v>
      </c>
      <c r="E29" s="6" t="s">
        <v>521</v>
      </c>
      <c r="F29" s="7">
        <f>IF(C29=E29,0,1)</f>
        <v>0</v>
      </c>
      <c r="G29" s="8" t="s">
        <v>299</v>
      </c>
      <c r="H29" s="8" t="s">
        <v>491</v>
      </c>
      <c r="I29" s="8" t="s">
        <v>492</v>
      </c>
      <c r="J29" s="12"/>
      <c r="K29" s="13">
        <f t="shared" si="14"/>
        <v>0</v>
      </c>
      <c r="L29" s="7"/>
      <c r="M29" s="14">
        <f t="shared" si="15"/>
        <v>0</v>
      </c>
      <c r="N29" s="15"/>
      <c r="O29" s="40">
        <f t="shared" si="16"/>
        <v>0</v>
      </c>
      <c r="P29" s="106"/>
      <c r="Q29" s="3"/>
      <c r="R29" s="37"/>
      <c r="S29" s="37">
        <f t="shared" si="20"/>
        <v>0</v>
      </c>
      <c r="T29" s="37">
        <f t="shared" si="7"/>
        <v>0</v>
      </c>
      <c r="U29" s="41">
        <f t="shared" si="8"/>
        <v>0</v>
      </c>
      <c r="V29" s="42" t="e">
        <f t="shared" si="21"/>
        <v>#DIV/0!</v>
      </c>
      <c r="W29" s="41">
        <f t="shared" si="22"/>
        <v>0</v>
      </c>
      <c r="X29" s="43" t="e">
        <f t="shared" si="11"/>
        <v>#DIV/0!</v>
      </c>
      <c r="Y29" s="44"/>
      <c r="Z29" s="44"/>
      <c r="AA29" s="45"/>
    </row>
    <row r="30" spans="2:27" ht="14.4" customHeight="1">
      <c r="B30" s="4">
        <v>26</v>
      </c>
      <c r="C30" s="5" t="s">
        <v>192</v>
      </c>
      <c r="D30" s="5" t="str">
        <f>REPLACE(C30,1,3, )</f>
        <v xml:space="preserve"> 987</v>
      </c>
      <c r="E30" s="6" t="s">
        <v>192</v>
      </c>
      <c r="F30" s="7">
        <f>IF(C30=E30,0,1)</f>
        <v>0</v>
      </c>
      <c r="G30" s="11" t="s">
        <v>299</v>
      </c>
      <c r="H30" s="11" t="s">
        <v>313</v>
      </c>
      <c r="I30" s="11" t="s">
        <v>347</v>
      </c>
      <c r="J30" s="12">
        <v>72000</v>
      </c>
      <c r="K30" s="13">
        <f t="shared" si="14"/>
        <v>3900</v>
      </c>
      <c r="L30" s="7" t="s">
        <v>24</v>
      </c>
      <c r="M30" s="14">
        <f>J30-N30</f>
        <v>68100</v>
      </c>
      <c r="N30" s="15">
        <f>2000+200+350+600+750</f>
        <v>3900</v>
      </c>
      <c r="O30" s="40">
        <f t="shared" si="16"/>
        <v>72000</v>
      </c>
      <c r="P30" s="106"/>
      <c r="Q30" s="3" t="s">
        <v>406</v>
      </c>
      <c r="R30" s="37"/>
      <c r="S30" s="37">
        <f t="shared" si="20"/>
        <v>72000</v>
      </c>
      <c r="T30" s="37">
        <f t="shared" si="7"/>
        <v>102857.14285714287</v>
      </c>
      <c r="U30" s="41">
        <f t="shared" si="8"/>
        <v>117551.02040816328</v>
      </c>
      <c r="V30" s="42">
        <f t="shared" si="21"/>
        <v>0.12500000000000003</v>
      </c>
      <c r="W30" s="41">
        <f t="shared" si="22"/>
        <v>117600</v>
      </c>
      <c r="X30" s="43">
        <f t="shared" si="11"/>
        <v>0.3000000000000001</v>
      </c>
      <c r="Y30" s="44"/>
      <c r="Z30" s="44"/>
      <c r="AA30" s="44"/>
    </row>
    <row r="31" spans="2:27" ht="14.4" customHeight="1">
      <c r="B31" s="4">
        <v>27</v>
      </c>
      <c r="C31" s="39" t="s">
        <v>522</v>
      </c>
      <c r="D31" s="5" t="str">
        <f t="shared" ref="D31:D34" si="33">REPLACE(C31,1,3, )</f>
        <v xml:space="preserve"> 630</v>
      </c>
      <c r="E31" s="6" t="s">
        <v>522</v>
      </c>
      <c r="F31" s="7">
        <f t="shared" ref="F31:F34" si="34">IF(C31=E31,0,1)</f>
        <v>0</v>
      </c>
      <c r="G31" s="8" t="s">
        <v>21</v>
      </c>
      <c r="H31" s="8" t="s">
        <v>491</v>
      </c>
      <c r="I31" s="8" t="s">
        <v>496</v>
      </c>
      <c r="J31" s="12"/>
      <c r="K31" s="13">
        <f t="shared" si="14"/>
        <v>0</v>
      </c>
      <c r="L31" s="7"/>
      <c r="M31" s="14">
        <f t="shared" si="15"/>
        <v>0</v>
      </c>
      <c r="N31" s="15"/>
      <c r="O31" s="40">
        <f t="shared" si="16"/>
        <v>0</v>
      </c>
      <c r="P31" s="106"/>
      <c r="Q31" s="3"/>
      <c r="R31" s="37"/>
      <c r="S31" s="37">
        <f t="shared" si="20"/>
        <v>0</v>
      </c>
      <c r="T31" s="37">
        <f t="shared" si="7"/>
        <v>0</v>
      </c>
      <c r="U31" s="41">
        <f t="shared" si="8"/>
        <v>0</v>
      </c>
      <c r="V31" s="42" t="e">
        <f t="shared" si="21"/>
        <v>#DIV/0!</v>
      </c>
      <c r="W31" s="41">
        <f t="shared" si="22"/>
        <v>0</v>
      </c>
      <c r="X31" s="43" t="e">
        <f t="shared" si="11"/>
        <v>#DIV/0!</v>
      </c>
      <c r="Y31" s="46">
        <v>112875</v>
      </c>
      <c r="Z31" s="47">
        <f t="shared" ref="Z31" si="35">T31-Y31</f>
        <v>-112875</v>
      </c>
      <c r="AA31" s="48">
        <f t="shared" ref="AA31" si="36">Z31/Y31</f>
        <v>-1</v>
      </c>
    </row>
    <row r="32" spans="2:27" ht="14.4" customHeight="1">
      <c r="B32" s="4">
        <v>28</v>
      </c>
      <c r="C32" s="39" t="s">
        <v>523</v>
      </c>
      <c r="D32" s="5" t="str">
        <f t="shared" si="33"/>
        <v xml:space="preserve"> 574</v>
      </c>
      <c r="E32" s="6" t="s">
        <v>523</v>
      </c>
      <c r="F32" s="7">
        <f t="shared" si="34"/>
        <v>0</v>
      </c>
      <c r="G32" s="8" t="s">
        <v>299</v>
      </c>
      <c r="H32" s="8" t="s">
        <v>491</v>
      </c>
      <c r="I32" s="8" t="s">
        <v>496</v>
      </c>
      <c r="J32" s="12"/>
      <c r="K32" s="13">
        <f t="shared" si="14"/>
        <v>0</v>
      </c>
      <c r="L32" s="7"/>
      <c r="M32" s="14">
        <f t="shared" si="15"/>
        <v>0</v>
      </c>
      <c r="N32" s="15"/>
      <c r="O32" s="40">
        <f t="shared" si="16"/>
        <v>0</v>
      </c>
      <c r="P32" s="106"/>
      <c r="Q32" s="3"/>
      <c r="R32" s="37"/>
      <c r="S32" s="37">
        <f t="shared" si="20"/>
        <v>0</v>
      </c>
      <c r="T32" s="37">
        <f t="shared" si="7"/>
        <v>0</v>
      </c>
      <c r="U32" s="41">
        <f t="shared" si="8"/>
        <v>0</v>
      </c>
      <c r="V32" s="42" t="e">
        <f t="shared" si="21"/>
        <v>#DIV/0!</v>
      </c>
      <c r="W32" s="41">
        <f t="shared" si="22"/>
        <v>0</v>
      </c>
      <c r="X32" s="43" t="e">
        <f t="shared" si="11"/>
        <v>#DIV/0!</v>
      </c>
      <c r="Y32" s="44"/>
      <c r="Z32" s="44"/>
      <c r="AA32" s="44"/>
    </row>
    <row r="33" spans="2:27" ht="14.4" customHeight="1">
      <c r="B33" s="4">
        <v>29</v>
      </c>
      <c r="C33" s="39" t="s">
        <v>524</v>
      </c>
      <c r="D33" s="5" t="str">
        <f t="shared" si="33"/>
        <v xml:space="preserve"> 781</v>
      </c>
      <c r="E33" s="6" t="s">
        <v>524</v>
      </c>
      <c r="F33" s="7">
        <f t="shared" si="34"/>
        <v>0</v>
      </c>
      <c r="G33" s="8" t="s">
        <v>299</v>
      </c>
      <c r="H33" s="8" t="s">
        <v>313</v>
      </c>
      <c r="I33" s="8" t="s">
        <v>492</v>
      </c>
      <c r="J33" s="12"/>
      <c r="K33" s="13">
        <f t="shared" si="14"/>
        <v>0</v>
      </c>
      <c r="L33" s="7"/>
      <c r="M33" s="14">
        <f t="shared" si="15"/>
        <v>0</v>
      </c>
      <c r="N33" s="15"/>
      <c r="O33" s="40">
        <f t="shared" si="16"/>
        <v>0</v>
      </c>
      <c r="P33" s="106"/>
      <c r="Q33" s="3"/>
      <c r="R33" s="37"/>
      <c r="S33" s="37">
        <f t="shared" si="20"/>
        <v>0</v>
      </c>
      <c r="T33" s="37">
        <f t="shared" si="7"/>
        <v>0</v>
      </c>
      <c r="U33" s="41">
        <f t="shared" si="8"/>
        <v>0</v>
      </c>
      <c r="V33" s="42" t="e">
        <f t="shared" si="21"/>
        <v>#DIV/0!</v>
      </c>
      <c r="W33" s="41">
        <f t="shared" si="22"/>
        <v>0</v>
      </c>
      <c r="X33" s="43" t="e">
        <f t="shared" si="11"/>
        <v>#DIV/0!</v>
      </c>
      <c r="Y33" s="44"/>
      <c r="Z33" s="44"/>
      <c r="AA33" s="44"/>
    </row>
    <row r="34" spans="2:27" ht="14.4" customHeight="1">
      <c r="B34" s="4">
        <v>30</v>
      </c>
      <c r="C34" s="39" t="s">
        <v>525</v>
      </c>
      <c r="D34" s="5" t="str">
        <f t="shared" si="33"/>
        <v xml:space="preserve"> 140</v>
      </c>
      <c r="E34" s="6" t="s">
        <v>525</v>
      </c>
      <c r="F34" s="7">
        <f t="shared" si="34"/>
        <v>0</v>
      </c>
      <c r="G34" s="8" t="s">
        <v>21</v>
      </c>
      <c r="H34" s="8" t="s">
        <v>313</v>
      </c>
      <c r="I34" s="8" t="s">
        <v>496</v>
      </c>
      <c r="J34" s="12"/>
      <c r="K34" s="13">
        <f t="shared" si="14"/>
        <v>0</v>
      </c>
      <c r="L34" s="7"/>
      <c r="M34" s="14">
        <f t="shared" si="15"/>
        <v>0</v>
      </c>
      <c r="N34" s="15"/>
      <c r="O34" s="40">
        <f t="shared" si="16"/>
        <v>0</v>
      </c>
      <c r="P34" s="106"/>
      <c r="Q34" s="3"/>
      <c r="R34" s="37"/>
      <c r="S34" s="37">
        <f t="shared" si="20"/>
        <v>0</v>
      </c>
      <c r="T34" s="37">
        <f t="shared" si="7"/>
        <v>0</v>
      </c>
      <c r="U34" s="41">
        <f t="shared" si="8"/>
        <v>0</v>
      </c>
      <c r="V34" s="42" t="e">
        <f t="shared" si="21"/>
        <v>#DIV/0!</v>
      </c>
      <c r="W34" s="41">
        <f t="shared" si="22"/>
        <v>0</v>
      </c>
      <c r="X34" s="43" t="e">
        <f t="shared" si="11"/>
        <v>#DIV/0!</v>
      </c>
      <c r="Y34" s="46">
        <v>112875</v>
      </c>
      <c r="Z34" s="47">
        <f t="shared" ref="Z34" si="37">T34-Y34</f>
        <v>-112875</v>
      </c>
      <c r="AA34" s="48">
        <f t="shared" ref="AA34" si="38">Z34/Y34</f>
        <v>-1</v>
      </c>
    </row>
    <row r="35" spans="2:27" ht="14.4" customHeight="1">
      <c r="B35" s="4">
        <v>31</v>
      </c>
      <c r="C35" s="5" t="s">
        <v>271</v>
      </c>
      <c r="D35" s="5" t="str">
        <f t="shared" ref="D35:D161" si="39">REPLACE(C35,1,3, )</f>
        <v xml:space="preserve"> 888</v>
      </c>
      <c r="E35" s="6" t="s">
        <v>271</v>
      </c>
      <c r="F35" s="7">
        <f t="shared" ref="F35:F161" si="40">IF(C35=E35,0,1)</f>
        <v>0</v>
      </c>
      <c r="G35" s="11" t="s">
        <v>299</v>
      </c>
      <c r="H35" s="11" t="s">
        <v>313</v>
      </c>
      <c r="I35" s="11" t="s">
        <v>366</v>
      </c>
      <c r="J35" s="12">
        <v>70000</v>
      </c>
      <c r="K35" s="13">
        <f t="shared" si="14"/>
        <v>4200</v>
      </c>
      <c r="L35" s="7" t="s">
        <v>24</v>
      </c>
      <c r="M35" s="14">
        <f>J35-N35</f>
        <v>65800</v>
      </c>
      <c r="N35" s="15">
        <f>2000+200+350+600+300+750</f>
        <v>4200</v>
      </c>
      <c r="O35" s="40">
        <f t="shared" si="16"/>
        <v>70000</v>
      </c>
      <c r="P35" s="106"/>
      <c r="Q35" s="3" t="s">
        <v>458</v>
      </c>
      <c r="R35" s="37"/>
      <c r="S35" s="37">
        <f t="shared" si="20"/>
        <v>70000</v>
      </c>
      <c r="T35" s="37">
        <f t="shared" si="7"/>
        <v>100000</v>
      </c>
      <c r="U35" s="41">
        <f t="shared" si="8"/>
        <v>114285.71428571429</v>
      </c>
      <c r="V35" s="42">
        <f t="shared" si="21"/>
        <v>0.12500000000000003</v>
      </c>
      <c r="W35" s="41">
        <f t="shared" si="22"/>
        <v>114300</v>
      </c>
      <c r="X35" s="43">
        <f t="shared" si="11"/>
        <v>0.3</v>
      </c>
      <c r="Y35" s="44"/>
      <c r="Z35" s="44"/>
      <c r="AA35" s="45"/>
    </row>
    <row r="36" spans="2:27" ht="14.4" customHeight="1">
      <c r="B36" s="4">
        <v>32</v>
      </c>
      <c r="C36" s="5" t="s">
        <v>190</v>
      </c>
      <c r="D36" s="5" t="str">
        <f t="shared" si="39"/>
        <v xml:space="preserve"> 766</v>
      </c>
      <c r="E36" s="6" t="s">
        <v>190</v>
      </c>
      <c r="F36" s="7">
        <f t="shared" si="40"/>
        <v>0</v>
      </c>
      <c r="G36" s="11" t="s">
        <v>299</v>
      </c>
      <c r="H36" s="11" t="s">
        <v>317</v>
      </c>
      <c r="I36" s="11" t="s">
        <v>346</v>
      </c>
      <c r="J36" s="12">
        <v>72000</v>
      </c>
      <c r="K36" s="13">
        <f t="shared" si="14"/>
        <v>3900</v>
      </c>
      <c r="L36" s="7" t="s">
        <v>24</v>
      </c>
      <c r="M36" s="14">
        <f>J36-N36</f>
        <v>68100</v>
      </c>
      <c r="N36" s="15">
        <f>2000+200+350+600+750</f>
        <v>3900</v>
      </c>
      <c r="O36" s="40">
        <f t="shared" si="16"/>
        <v>72000</v>
      </c>
      <c r="P36" s="106"/>
      <c r="Q36" s="3" t="s">
        <v>400</v>
      </c>
      <c r="R36" s="37"/>
      <c r="S36" s="37">
        <f t="shared" si="20"/>
        <v>72000</v>
      </c>
      <c r="T36" s="37">
        <f t="shared" si="7"/>
        <v>102857.14285714287</v>
      </c>
      <c r="U36" s="41">
        <f t="shared" si="8"/>
        <v>117551.02040816328</v>
      </c>
      <c r="V36" s="42">
        <f t="shared" si="21"/>
        <v>0.12500000000000003</v>
      </c>
      <c r="W36" s="41">
        <f t="shared" si="22"/>
        <v>117600</v>
      </c>
      <c r="X36" s="43">
        <f t="shared" si="11"/>
        <v>0.3000000000000001</v>
      </c>
      <c r="Y36" s="44"/>
      <c r="Z36" s="44"/>
      <c r="AA36" s="44"/>
    </row>
    <row r="37" spans="2:27" ht="14.4" customHeight="1">
      <c r="B37" s="4">
        <v>33</v>
      </c>
      <c r="C37" s="39" t="s">
        <v>526</v>
      </c>
      <c r="D37" s="5" t="str">
        <f t="shared" si="39"/>
        <v xml:space="preserve"> 836</v>
      </c>
      <c r="E37" s="6" t="s">
        <v>526</v>
      </c>
      <c r="F37" s="7">
        <f t="shared" si="40"/>
        <v>0</v>
      </c>
      <c r="G37" s="8" t="s">
        <v>299</v>
      </c>
      <c r="H37" s="8" t="s">
        <v>313</v>
      </c>
      <c r="I37" s="8" t="s">
        <v>504</v>
      </c>
      <c r="J37" s="12">
        <f>M37</f>
        <v>75000</v>
      </c>
      <c r="K37" s="13">
        <f t="shared" si="14"/>
        <v>0</v>
      </c>
      <c r="L37" s="17" t="s">
        <v>23</v>
      </c>
      <c r="M37" s="18">
        <f>75000</f>
        <v>75000</v>
      </c>
      <c r="N37" s="15">
        <f>2000+200+350+600+800</f>
        <v>3950</v>
      </c>
      <c r="O37" s="40">
        <f t="shared" si="16"/>
        <v>78950</v>
      </c>
      <c r="P37" s="106"/>
      <c r="Q37" s="78" t="s">
        <v>1374</v>
      </c>
      <c r="R37" s="37"/>
      <c r="S37" s="37">
        <f t="shared" si="20"/>
        <v>78950</v>
      </c>
      <c r="T37" s="37">
        <f t="shared" si="7"/>
        <v>112785.71428571429</v>
      </c>
      <c r="U37" s="41">
        <f t="shared" si="8"/>
        <v>128897.95918367348</v>
      </c>
      <c r="V37" s="42">
        <f t="shared" si="21"/>
        <v>0.12500000000000003</v>
      </c>
      <c r="W37" s="41">
        <f t="shared" si="22"/>
        <v>128900</v>
      </c>
      <c r="X37" s="43">
        <f t="shared" si="11"/>
        <v>0.30000000000000004</v>
      </c>
      <c r="Y37" s="44"/>
      <c r="Z37" s="44"/>
      <c r="AA37" s="44"/>
    </row>
    <row r="38" spans="2:27" ht="14.4" customHeight="1">
      <c r="B38" s="4">
        <v>34</v>
      </c>
      <c r="C38" s="39" t="s">
        <v>527</v>
      </c>
      <c r="D38" s="5" t="str">
        <f t="shared" si="39"/>
        <v xml:space="preserve"> 482</v>
      </c>
      <c r="E38" s="6" t="s">
        <v>527</v>
      </c>
      <c r="F38" s="7">
        <f t="shared" si="40"/>
        <v>0</v>
      </c>
      <c r="G38" s="8" t="s">
        <v>21</v>
      </c>
      <c r="H38" s="8" t="s">
        <v>313</v>
      </c>
      <c r="I38" s="8" t="s">
        <v>496</v>
      </c>
      <c r="J38" s="12"/>
      <c r="K38" s="13">
        <f t="shared" si="14"/>
        <v>0</v>
      </c>
      <c r="L38" s="7"/>
      <c r="M38" s="14">
        <f t="shared" si="15"/>
        <v>0</v>
      </c>
      <c r="N38" s="15"/>
      <c r="O38" s="40">
        <f t="shared" si="16"/>
        <v>0</v>
      </c>
      <c r="P38" s="106"/>
      <c r="Q38" s="3"/>
      <c r="R38" s="37"/>
      <c r="S38" s="37">
        <f t="shared" si="20"/>
        <v>0</v>
      </c>
      <c r="T38" s="37">
        <f t="shared" si="7"/>
        <v>0</v>
      </c>
      <c r="U38" s="41">
        <f t="shared" si="8"/>
        <v>0</v>
      </c>
      <c r="V38" s="42" t="e">
        <f t="shared" si="21"/>
        <v>#DIV/0!</v>
      </c>
      <c r="W38" s="41">
        <f t="shared" si="22"/>
        <v>0</v>
      </c>
      <c r="X38" s="43" t="e">
        <f t="shared" si="11"/>
        <v>#DIV/0!</v>
      </c>
      <c r="Y38" s="46">
        <v>112875</v>
      </c>
      <c r="Z38" s="47">
        <f t="shared" ref="Z38" si="41">T38-Y38</f>
        <v>-112875</v>
      </c>
      <c r="AA38" s="48">
        <f t="shared" ref="AA38" si="42">Z38/Y38</f>
        <v>-1</v>
      </c>
    </row>
    <row r="39" spans="2:27" ht="14.4" customHeight="1">
      <c r="B39" s="4">
        <v>35</v>
      </c>
      <c r="C39" s="39" t="s">
        <v>1346</v>
      </c>
      <c r="D39" s="5" t="str">
        <f t="shared" si="39"/>
        <v xml:space="preserve"> 683</v>
      </c>
      <c r="E39" s="6" t="s">
        <v>1346</v>
      </c>
      <c r="F39" s="7">
        <f t="shared" si="40"/>
        <v>0</v>
      </c>
      <c r="G39" s="8" t="s">
        <v>299</v>
      </c>
      <c r="H39" s="8" t="s">
        <v>313</v>
      </c>
      <c r="I39" s="8" t="s">
        <v>529</v>
      </c>
      <c r="J39" s="12"/>
      <c r="K39" s="13">
        <f t="shared" si="14"/>
        <v>0</v>
      </c>
      <c r="L39" s="7"/>
      <c r="M39" s="14">
        <f t="shared" si="15"/>
        <v>0</v>
      </c>
      <c r="N39" s="15"/>
      <c r="O39" s="40">
        <f t="shared" si="16"/>
        <v>0</v>
      </c>
      <c r="P39" s="106"/>
      <c r="Q39" s="3"/>
      <c r="R39" s="37"/>
      <c r="S39" s="37">
        <f t="shared" si="20"/>
        <v>0</v>
      </c>
      <c r="T39" s="37">
        <f t="shared" si="7"/>
        <v>0</v>
      </c>
      <c r="U39" s="41">
        <f t="shared" si="8"/>
        <v>0</v>
      </c>
      <c r="V39" s="42" t="e">
        <f t="shared" si="21"/>
        <v>#DIV/0!</v>
      </c>
      <c r="W39" s="41">
        <f t="shared" si="22"/>
        <v>0</v>
      </c>
      <c r="X39" s="43" t="e">
        <f t="shared" si="11"/>
        <v>#DIV/0!</v>
      </c>
      <c r="Y39" s="44"/>
      <c r="Z39" s="44"/>
      <c r="AA39" s="44"/>
    </row>
    <row r="40" spans="2:27" ht="14.4" customHeight="1">
      <c r="B40" s="4">
        <v>36</v>
      </c>
      <c r="C40" s="39" t="s">
        <v>530</v>
      </c>
      <c r="D40" s="5" t="str">
        <f t="shared" si="39"/>
        <v xml:space="preserve"> 827</v>
      </c>
      <c r="E40" s="6" t="s">
        <v>530</v>
      </c>
      <c r="F40" s="7">
        <f t="shared" si="40"/>
        <v>0</v>
      </c>
      <c r="G40" s="8" t="s">
        <v>299</v>
      </c>
      <c r="H40" s="8" t="s">
        <v>313</v>
      </c>
      <c r="I40" s="8" t="s">
        <v>515</v>
      </c>
      <c r="J40" s="12"/>
      <c r="K40" s="13">
        <f t="shared" si="14"/>
        <v>0</v>
      </c>
      <c r="L40" s="7"/>
      <c r="M40" s="14">
        <f t="shared" si="15"/>
        <v>0</v>
      </c>
      <c r="N40" s="15"/>
      <c r="O40" s="40">
        <f t="shared" si="16"/>
        <v>0</v>
      </c>
      <c r="P40" s="106"/>
      <c r="Q40" s="3"/>
      <c r="R40" s="37"/>
      <c r="S40" s="37">
        <f t="shared" si="20"/>
        <v>0</v>
      </c>
      <c r="T40" s="37">
        <f t="shared" si="7"/>
        <v>0</v>
      </c>
      <c r="U40" s="41">
        <f t="shared" si="8"/>
        <v>0</v>
      </c>
      <c r="V40" s="42" t="e">
        <f t="shared" si="21"/>
        <v>#DIV/0!</v>
      </c>
      <c r="W40" s="41">
        <f t="shared" si="22"/>
        <v>0</v>
      </c>
      <c r="X40" s="43" t="e">
        <f t="shared" si="11"/>
        <v>#DIV/0!</v>
      </c>
      <c r="Y40" s="44"/>
      <c r="Z40" s="44"/>
      <c r="AA40" s="44"/>
    </row>
    <row r="41" spans="2:27" ht="14.4" customHeight="1">
      <c r="B41" s="4">
        <v>37</v>
      </c>
      <c r="C41" s="39" t="s">
        <v>531</v>
      </c>
      <c r="D41" s="5" t="str">
        <f t="shared" si="39"/>
        <v xml:space="preserve"> 332</v>
      </c>
      <c r="E41" s="6" t="s">
        <v>531</v>
      </c>
      <c r="F41" s="7">
        <f t="shared" si="40"/>
        <v>0</v>
      </c>
      <c r="G41" s="8" t="s">
        <v>299</v>
      </c>
      <c r="H41" s="8" t="s">
        <v>313</v>
      </c>
      <c r="I41" s="8" t="s">
        <v>492</v>
      </c>
      <c r="J41" s="12"/>
      <c r="K41" s="13">
        <f t="shared" si="14"/>
        <v>0</v>
      </c>
      <c r="L41" s="7"/>
      <c r="M41" s="14">
        <f t="shared" si="15"/>
        <v>0</v>
      </c>
      <c r="N41" s="15"/>
      <c r="O41" s="40">
        <f t="shared" si="16"/>
        <v>0</v>
      </c>
      <c r="P41" s="106"/>
      <c r="Q41" s="3"/>
      <c r="R41" s="37"/>
      <c r="S41" s="37">
        <f t="shared" si="20"/>
        <v>0</v>
      </c>
      <c r="T41" s="37">
        <f t="shared" si="7"/>
        <v>0</v>
      </c>
      <c r="U41" s="41">
        <f t="shared" si="8"/>
        <v>0</v>
      </c>
      <c r="V41" s="42" t="e">
        <f t="shared" si="21"/>
        <v>#DIV/0!</v>
      </c>
      <c r="W41" s="41">
        <f t="shared" si="22"/>
        <v>0</v>
      </c>
      <c r="X41" s="43" t="e">
        <f t="shared" si="11"/>
        <v>#DIV/0!</v>
      </c>
      <c r="Y41" s="44"/>
      <c r="Z41" s="44"/>
      <c r="AA41" s="44"/>
    </row>
    <row r="42" spans="2:27" ht="14.4" customHeight="1">
      <c r="B42" s="4">
        <v>38</v>
      </c>
      <c r="C42" s="39" t="s">
        <v>537</v>
      </c>
      <c r="D42" s="5" t="str">
        <f t="shared" si="39"/>
        <v xml:space="preserve"> 338</v>
      </c>
      <c r="E42" s="6" t="s">
        <v>537</v>
      </c>
      <c r="F42" s="7">
        <f t="shared" si="40"/>
        <v>0</v>
      </c>
      <c r="G42" s="8" t="s">
        <v>299</v>
      </c>
      <c r="H42" s="8" t="s">
        <v>491</v>
      </c>
      <c r="I42" s="8" t="s">
        <v>496</v>
      </c>
      <c r="J42" s="12"/>
      <c r="K42" s="13">
        <f t="shared" si="14"/>
        <v>0</v>
      </c>
      <c r="L42" s="7"/>
      <c r="M42" s="14">
        <f t="shared" si="15"/>
        <v>0</v>
      </c>
      <c r="N42" s="15"/>
      <c r="O42" s="40">
        <f t="shared" si="16"/>
        <v>0</v>
      </c>
      <c r="P42" s="106"/>
      <c r="Q42" s="3"/>
      <c r="R42" s="37"/>
      <c r="S42" s="37">
        <f t="shared" si="20"/>
        <v>0</v>
      </c>
      <c r="T42" s="37">
        <f t="shared" si="7"/>
        <v>0</v>
      </c>
      <c r="U42" s="41">
        <f t="shared" si="8"/>
        <v>0</v>
      </c>
      <c r="V42" s="42" t="e">
        <f t="shared" si="21"/>
        <v>#DIV/0!</v>
      </c>
      <c r="W42" s="41">
        <f t="shared" si="22"/>
        <v>0</v>
      </c>
      <c r="X42" s="43" t="e">
        <f t="shared" si="11"/>
        <v>#DIV/0!</v>
      </c>
      <c r="Y42" s="44"/>
      <c r="Z42" s="44"/>
      <c r="AA42" s="44"/>
    </row>
    <row r="43" spans="2:27" ht="14.4" customHeight="1">
      <c r="B43" s="4">
        <v>39</v>
      </c>
      <c r="C43" s="5" t="s">
        <v>471</v>
      </c>
      <c r="D43" s="5" t="str">
        <f t="shared" si="39"/>
        <v xml:space="preserve"> 549</v>
      </c>
      <c r="E43" s="6" t="s">
        <v>471</v>
      </c>
      <c r="F43" s="7">
        <f t="shared" si="40"/>
        <v>0</v>
      </c>
      <c r="G43" s="11" t="s">
        <v>299</v>
      </c>
      <c r="H43" s="11" t="s">
        <v>474</v>
      </c>
      <c r="I43" s="11" t="s">
        <v>332</v>
      </c>
      <c r="J43" s="12">
        <v>0</v>
      </c>
      <c r="K43" s="13">
        <f t="shared" si="14"/>
        <v>0</v>
      </c>
      <c r="L43" s="7" t="s">
        <v>472</v>
      </c>
      <c r="M43" s="14">
        <f t="shared" si="15"/>
        <v>0</v>
      </c>
      <c r="N43" s="14">
        <v>0</v>
      </c>
      <c r="O43" s="40">
        <f t="shared" si="16"/>
        <v>0</v>
      </c>
      <c r="P43" s="106"/>
      <c r="Q43" s="3"/>
      <c r="R43" s="37"/>
      <c r="S43" s="37">
        <f t="shared" si="20"/>
        <v>0</v>
      </c>
      <c r="T43" s="37">
        <f t="shared" si="7"/>
        <v>0</v>
      </c>
      <c r="U43" s="41">
        <f t="shared" si="8"/>
        <v>0</v>
      </c>
      <c r="V43" s="42" t="e">
        <f t="shared" si="21"/>
        <v>#DIV/0!</v>
      </c>
      <c r="W43" s="41">
        <f t="shared" si="22"/>
        <v>0</v>
      </c>
      <c r="X43" s="43" t="e">
        <f t="shared" si="11"/>
        <v>#DIV/0!</v>
      </c>
      <c r="Y43" s="44"/>
      <c r="Z43" s="44"/>
      <c r="AA43" s="45"/>
    </row>
    <row r="44" spans="2:27" ht="14.4" customHeight="1">
      <c r="B44" s="4">
        <v>40</v>
      </c>
      <c r="C44" s="39" t="s">
        <v>532</v>
      </c>
      <c r="D44" s="5" t="str">
        <f t="shared" si="39"/>
        <v xml:space="preserve"> 514</v>
      </c>
      <c r="E44" s="6" t="s">
        <v>532</v>
      </c>
      <c r="F44" s="7">
        <f t="shared" si="40"/>
        <v>0</v>
      </c>
      <c r="G44" s="8" t="s">
        <v>21</v>
      </c>
      <c r="H44" s="8" t="s">
        <v>313</v>
      </c>
      <c r="I44" s="8" t="s">
        <v>496</v>
      </c>
      <c r="J44" s="12"/>
      <c r="K44" s="13">
        <f t="shared" si="14"/>
        <v>0</v>
      </c>
      <c r="L44" s="7"/>
      <c r="M44" s="14">
        <f t="shared" si="15"/>
        <v>0</v>
      </c>
      <c r="N44" s="14"/>
      <c r="O44" s="40">
        <f t="shared" si="16"/>
        <v>0</v>
      </c>
      <c r="P44" s="106"/>
      <c r="Q44" s="3"/>
      <c r="R44" s="37"/>
      <c r="S44" s="37">
        <f t="shared" si="20"/>
        <v>0</v>
      </c>
      <c r="T44" s="37">
        <f t="shared" si="7"/>
        <v>0</v>
      </c>
      <c r="U44" s="41">
        <f t="shared" si="8"/>
        <v>0</v>
      </c>
      <c r="V44" s="42" t="e">
        <f t="shared" si="21"/>
        <v>#DIV/0!</v>
      </c>
      <c r="W44" s="41">
        <f t="shared" si="22"/>
        <v>0</v>
      </c>
      <c r="X44" s="43" t="e">
        <f t="shared" si="11"/>
        <v>#DIV/0!</v>
      </c>
      <c r="Y44" s="46">
        <v>125738</v>
      </c>
      <c r="Z44" s="47">
        <f t="shared" ref="Z44:Z45" si="43">T44-Y44</f>
        <v>-125738</v>
      </c>
      <c r="AA44" s="48">
        <f t="shared" ref="AA44:AA45" si="44">Z44/Y44</f>
        <v>-1</v>
      </c>
    </row>
    <row r="45" spans="2:27" ht="14.4" customHeight="1">
      <c r="B45" s="4">
        <v>41</v>
      </c>
      <c r="C45" s="39" t="s">
        <v>533</v>
      </c>
      <c r="D45" s="5" t="str">
        <f t="shared" si="39"/>
        <v xml:space="preserve"> 839</v>
      </c>
      <c r="E45" s="6" t="s">
        <v>533</v>
      </c>
      <c r="F45" s="7">
        <f t="shared" si="40"/>
        <v>0</v>
      </c>
      <c r="G45" s="8" t="s">
        <v>21</v>
      </c>
      <c r="H45" s="8" t="s">
        <v>491</v>
      </c>
      <c r="I45" s="8" t="s">
        <v>496</v>
      </c>
      <c r="J45" s="12"/>
      <c r="K45" s="13">
        <f t="shared" si="14"/>
        <v>0</v>
      </c>
      <c r="L45" s="7"/>
      <c r="M45" s="14">
        <f t="shared" si="15"/>
        <v>0</v>
      </c>
      <c r="N45" s="14"/>
      <c r="O45" s="40">
        <f t="shared" si="16"/>
        <v>0</v>
      </c>
      <c r="P45" s="106"/>
      <c r="Q45" s="3"/>
      <c r="R45" s="37"/>
      <c r="S45" s="37">
        <f t="shared" si="20"/>
        <v>0</v>
      </c>
      <c r="T45" s="37">
        <f t="shared" si="7"/>
        <v>0</v>
      </c>
      <c r="U45" s="41">
        <f t="shared" si="8"/>
        <v>0</v>
      </c>
      <c r="V45" s="42" t="e">
        <f t="shared" si="21"/>
        <v>#DIV/0!</v>
      </c>
      <c r="W45" s="41">
        <f t="shared" si="22"/>
        <v>0</v>
      </c>
      <c r="X45" s="43" t="e">
        <f t="shared" si="11"/>
        <v>#DIV/0!</v>
      </c>
      <c r="Y45" s="46">
        <v>132913</v>
      </c>
      <c r="Z45" s="47">
        <f t="shared" si="43"/>
        <v>-132913</v>
      </c>
      <c r="AA45" s="48">
        <f t="shared" si="44"/>
        <v>-1</v>
      </c>
    </row>
    <row r="46" spans="2:27" ht="14.4" customHeight="1">
      <c r="B46" s="4">
        <v>42</v>
      </c>
      <c r="C46" s="39" t="s">
        <v>534</v>
      </c>
      <c r="D46" s="5" t="str">
        <f t="shared" si="39"/>
        <v xml:space="preserve"> 721</v>
      </c>
      <c r="E46" s="6" t="s">
        <v>534</v>
      </c>
      <c r="F46" s="7">
        <f t="shared" si="40"/>
        <v>0</v>
      </c>
      <c r="G46" s="8" t="s">
        <v>21</v>
      </c>
      <c r="H46" s="8" t="s">
        <v>313</v>
      </c>
      <c r="I46" s="8" t="s">
        <v>496</v>
      </c>
      <c r="J46" s="12"/>
      <c r="K46" s="13">
        <f t="shared" si="14"/>
        <v>0</v>
      </c>
      <c r="L46" s="7"/>
      <c r="M46" s="14">
        <f t="shared" si="15"/>
        <v>0</v>
      </c>
      <c r="N46" s="14"/>
      <c r="O46" s="40">
        <f t="shared" si="16"/>
        <v>0</v>
      </c>
      <c r="P46" s="106"/>
      <c r="Q46" s="3"/>
      <c r="R46" s="37"/>
      <c r="S46" s="37">
        <f t="shared" si="20"/>
        <v>0</v>
      </c>
      <c r="T46" s="37">
        <f t="shared" si="7"/>
        <v>0</v>
      </c>
      <c r="U46" s="41">
        <f t="shared" si="8"/>
        <v>0</v>
      </c>
      <c r="V46" s="42" t="e">
        <f t="shared" si="21"/>
        <v>#DIV/0!</v>
      </c>
      <c r="W46" s="41">
        <f t="shared" si="22"/>
        <v>0</v>
      </c>
      <c r="X46" s="43" t="e">
        <f t="shared" si="11"/>
        <v>#DIV/0!</v>
      </c>
      <c r="Y46" s="46">
        <v>194900</v>
      </c>
      <c r="Z46" s="47">
        <f t="shared" ref="Z46" si="45">T46-Y46</f>
        <v>-194900</v>
      </c>
      <c r="AA46" s="48">
        <f t="shared" ref="AA46" si="46">Z46/Y46</f>
        <v>-1</v>
      </c>
    </row>
    <row r="47" spans="2:27" ht="14.4" customHeight="1">
      <c r="B47" s="4">
        <v>43</v>
      </c>
      <c r="C47" s="5" t="s">
        <v>188</v>
      </c>
      <c r="D47" s="5" t="str">
        <f t="shared" si="39"/>
        <v xml:space="preserve"> 435</v>
      </c>
      <c r="E47" s="6" t="s">
        <v>188</v>
      </c>
      <c r="F47" s="7">
        <f t="shared" si="40"/>
        <v>0</v>
      </c>
      <c r="G47" s="11" t="s">
        <v>299</v>
      </c>
      <c r="H47" s="11" t="s">
        <v>314</v>
      </c>
      <c r="I47" s="11" t="s">
        <v>345</v>
      </c>
      <c r="J47" s="12">
        <v>68000</v>
      </c>
      <c r="K47" s="13">
        <f t="shared" si="14"/>
        <v>3900</v>
      </c>
      <c r="L47" s="7" t="s">
        <v>24</v>
      </c>
      <c r="M47" s="14">
        <f t="shared" ref="M47:M84" si="47">J47-N47</f>
        <v>64100</v>
      </c>
      <c r="N47" s="15">
        <f>2000+200+350+600+750</f>
        <v>3900</v>
      </c>
      <c r="O47" s="40">
        <f t="shared" si="16"/>
        <v>68000</v>
      </c>
      <c r="P47" s="106"/>
      <c r="Q47" s="3" t="s">
        <v>406</v>
      </c>
      <c r="R47" s="37"/>
      <c r="S47" s="37">
        <f t="shared" si="20"/>
        <v>68000</v>
      </c>
      <c r="T47" s="37">
        <f t="shared" si="7"/>
        <v>97142.857142857145</v>
      </c>
      <c r="U47" s="41">
        <f t="shared" si="8"/>
        <v>111020.40816326531</v>
      </c>
      <c r="V47" s="42">
        <f t="shared" si="21"/>
        <v>0.12500000000000003</v>
      </c>
      <c r="W47" s="41">
        <f t="shared" si="22"/>
        <v>111100</v>
      </c>
      <c r="X47" s="43">
        <f t="shared" si="11"/>
        <v>0.3</v>
      </c>
      <c r="Y47" s="44"/>
      <c r="Z47" s="44"/>
      <c r="AA47" s="44"/>
    </row>
    <row r="48" spans="2:27" ht="14.4" customHeight="1">
      <c r="B48" s="4">
        <v>44</v>
      </c>
      <c r="C48" s="5" t="s">
        <v>187</v>
      </c>
      <c r="D48" s="5" t="str">
        <f t="shared" si="39"/>
        <v xml:space="preserve"> 333</v>
      </c>
      <c r="E48" s="6" t="s">
        <v>187</v>
      </c>
      <c r="F48" s="7">
        <f t="shared" si="40"/>
        <v>0</v>
      </c>
      <c r="G48" s="11" t="s">
        <v>299</v>
      </c>
      <c r="H48" s="11" t="s">
        <v>314</v>
      </c>
      <c r="I48" s="11" t="s">
        <v>345</v>
      </c>
      <c r="J48" s="12">
        <v>68000</v>
      </c>
      <c r="K48" s="13">
        <f t="shared" si="14"/>
        <v>3900</v>
      </c>
      <c r="L48" s="7" t="s">
        <v>24</v>
      </c>
      <c r="M48" s="14">
        <f t="shared" si="47"/>
        <v>64100</v>
      </c>
      <c r="N48" s="15">
        <f>2000+200+350+600+750</f>
        <v>3900</v>
      </c>
      <c r="O48" s="40">
        <f t="shared" si="16"/>
        <v>68000</v>
      </c>
      <c r="P48" s="106"/>
      <c r="Q48" s="3" t="s">
        <v>406</v>
      </c>
      <c r="R48" s="37"/>
      <c r="S48" s="37">
        <f t="shared" si="20"/>
        <v>68000</v>
      </c>
      <c r="T48" s="37">
        <f t="shared" si="7"/>
        <v>97142.857142857145</v>
      </c>
      <c r="U48" s="41">
        <f t="shared" si="8"/>
        <v>111020.40816326531</v>
      </c>
      <c r="V48" s="42">
        <f t="shared" si="21"/>
        <v>0.12500000000000003</v>
      </c>
      <c r="W48" s="41">
        <f t="shared" si="22"/>
        <v>111100</v>
      </c>
      <c r="X48" s="43">
        <f t="shared" si="11"/>
        <v>0.3</v>
      </c>
      <c r="Y48" s="44"/>
      <c r="Z48" s="44"/>
      <c r="AA48" s="44"/>
    </row>
    <row r="49" spans="2:27" ht="14.4" customHeight="1">
      <c r="B49" s="4">
        <v>45</v>
      </c>
      <c r="C49" s="5" t="s">
        <v>236</v>
      </c>
      <c r="D49" s="5" t="str">
        <f t="shared" si="39"/>
        <v xml:space="preserve"> 823</v>
      </c>
      <c r="E49" s="6" t="s">
        <v>236</v>
      </c>
      <c r="F49" s="7">
        <f t="shared" si="40"/>
        <v>0</v>
      </c>
      <c r="G49" s="11" t="s">
        <v>299</v>
      </c>
      <c r="H49" s="11" t="s">
        <v>314</v>
      </c>
      <c r="I49" s="11" t="s">
        <v>359</v>
      </c>
      <c r="J49" s="12">
        <v>72500</v>
      </c>
      <c r="K49" s="13">
        <f t="shared" si="14"/>
        <v>3900</v>
      </c>
      <c r="L49" s="7" t="s">
        <v>24</v>
      </c>
      <c r="M49" s="14">
        <f t="shared" si="47"/>
        <v>68600</v>
      </c>
      <c r="N49" s="15">
        <f>2000+200+350+600+750</f>
        <v>3900</v>
      </c>
      <c r="O49" s="40">
        <f t="shared" si="16"/>
        <v>72500</v>
      </c>
      <c r="P49" s="106"/>
      <c r="Q49" s="3" t="s">
        <v>429</v>
      </c>
      <c r="R49" s="37"/>
      <c r="S49" s="37">
        <f t="shared" si="20"/>
        <v>72500</v>
      </c>
      <c r="T49" s="37">
        <f t="shared" si="7"/>
        <v>103571.42857142858</v>
      </c>
      <c r="U49" s="41">
        <f t="shared" si="8"/>
        <v>118367.34693877552</v>
      </c>
      <c r="V49" s="42">
        <f t="shared" si="21"/>
        <v>0.12499999999999999</v>
      </c>
      <c r="W49" s="41">
        <f t="shared" si="22"/>
        <v>118400</v>
      </c>
      <c r="X49" s="43">
        <f t="shared" si="11"/>
        <v>0.30000000000000004</v>
      </c>
      <c r="Y49" s="44"/>
      <c r="Z49" s="44"/>
      <c r="AA49" s="45"/>
    </row>
    <row r="50" spans="2:27" ht="14.4" customHeight="1">
      <c r="B50" s="4">
        <v>46</v>
      </c>
      <c r="C50" s="5" t="s">
        <v>235</v>
      </c>
      <c r="D50" s="5" t="str">
        <f t="shared" si="39"/>
        <v xml:space="preserve"> 388</v>
      </c>
      <c r="E50" s="6" t="s">
        <v>235</v>
      </c>
      <c r="F50" s="7">
        <f t="shared" si="40"/>
        <v>0</v>
      </c>
      <c r="G50" s="11" t="s">
        <v>299</v>
      </c>
      <c r="H50" s="11" t="s">
        <v>314</v>
      </c>
      <c r="I50" s="11" t="s">
        <v>359</v>
      </c>
      <c r="J50" s="12">
        <v>72500</v>
      </c>
      <c r="K50" s="13">
        <f t="shared" si="14"/>
        <v>3900</v>
      </c>
      <c r="L50" s="7" t="s">
        <v>24</v>
      </c>
      <c r="M50" s="14">
        <f t="shared" si="47"/>
        <v>68600</v>
      </c>
      <c r="N50" s="15">
        <f>2000+200+350+600+750</f>
        <v>3900</v>
      </c>
      <c r="O50" s="40">
        <f t="shared" si="16"/>
        <v>72500</v>
      </c>
      <c r="P50" s="106"/>
      <c r="Q50" s="3" t="s">
        <v>429</v>
      </c>
      <c r="R50" s="37"/>
      <c r="S50" s="37">
        <f t="shared" si="20"/>
        <v>72500</v>
      </c>
      <c r="T50" s="37">
        <f t="shared" si="7"/>
        <v>103571.42857142858</v>
      </c>
      <c r="U50" s="41">
        <f t="shared" si="8"/>
        <v>118367.34693877552</v>
      </c>
      <c r="V50" s="42">
        <f t="shared" si="21"/>
        <v>0.12499999999999999</v>
      </c>
      <c r="W50" s="41">
        <f t="shared" si="22"/>
        <v>118400</v>
      </c>
      <c r="X50" s="43">
        <f t="shared" si="11"/>
        <v>0.30000000000000004</v>
      </c>
      <c r="Y50" s="44"/>
      <c r="Z50" s="44"/>
      <c r="AA50" s="44"/>
    </row>
    <row r="51" spans="2:27" ht="14.4" customHeight="1">
      <c r="B51" s="4">
        <v>47</v>
      </c>
      <c r="C51" s="5" t="s">
        <v>186</v>
      </c>
      <c r="D51" s="5" t="str">
        <f t="shared" si="39"/>
        <v xml:space="preserve"> 562</v>
      </c>
      <c r="E51" s="6" t="s">
        <v>186</v>
      </c>
      <c r="F51" s="7">
        <f t="shared" si="40"/>
        <v>0</v>
      </c>
      <c r="G51" s="11" t="s">
        <v>299</v>
      </c>
      <c r="H51" s="11" t="s">
        <v>314</v>
      </c>
      <c r="I51" s="11" t="s">
        <v>345</v>
      </c>
      <c r="J51" s="12">
        <v>83000</v>
      </c>
      <c r="K51" s="13">
        <f t="shared" si="14"/>
        <v>6150</v>
      </c>
      <c r="L51" s="7" t="s">
        <v>24</v>
      </c>
      <c r="M51" s="14">
        <f t="shared" si="47"/>
        <v>76850</v>
      </c>
      <c r="N51" s="15">
        <f t="shared" ref="N51:N58" si="48">2000+200+350+600+3000</f>
        <v>6150</v>
      </c>
      <c r="O51" s="40">
        <f t="shared" si="16"/>
        <v>83000</v>
      </c>
      <c r="P51" s="106"/>
      <c r="Q51" s="3" t="s">
        <v>405</v>
      </c>
      <c r="R51" s="37"/>
      <c r="S51" s="37">
        <f t="shared" si="20"/>
        <v>83000</v>
      </c>
      <c r="T51" s="37">
        <f t="shared" si="7"/>
        <v>118571.42857142858</v>
      </c>
      <c r="U51" s="41">
        <f t="shared" si="8"/>
        <v>135510.20408163266</v>
      </c>
      <c r="V51" s="42">
        <f t="shared" si="21"/>
        <v>0.125</v>
      </c>
      <c r="W51" s="41">
        <f t="shared" si="22"/>
        <v>135600</v>
      </c>
      <c r="X51" s="43">
        <f t="shared" si="11"/>
        <v>0.30000000000000004</v>
      </c>
      <c r="Y51" s="44"/>
      <c r="Z51" s="44"/>
      <c r="AA51" s="45"/>
    </row>
    <row r="52" spans="2:27" ht="14.4" customHeight="1">
      <c r="B52" s="4">
        <v>48</v>
      </c>
      <c r="C52" s="5" t="s">
        <v>183</v>
      </c>
      <c r="D52" s="5" t="str">
        <f t="shared" si="39"/>
        <v xml:space="preserve"> 316</v>
      </c>
      <c r="E52" s="6" t="s">
        <v>183</v>
      </c>
      <c r="F52" s="7">
        <f t="shared" si="40"/>
        <v>0</v>
      </c>
      <c r="G52" s="11" t="s">
        <v>299</v>
      </c>
      <c r="H52" s="11" t="s">
        <v>314</v>
      </c>
      <c r="I52" s="11" t="s">
        <v>345</v>
      </c>
      <c r="J52" s="12">
        <v>88000</v>
      </c>
      <c r="K52" s="13">
        <f t="shared" si="14"/>
        <v>6150</v>
      </c>
      <c r="L52" s="7" t="s">
        <v>24</v>
      </c>
      <c r="M52" s="14">
        <f t="shared" si="47"/>
        <v>81850</v>
      </c>
      <c r="N52" s="15">
        <f t="shared" si="48"/>
        <v>6150</v>
      </c>
      <c r="O52" s="40">
        <f t="shared" si="16"/>
        <v>88000</v>
      </c>
      <c r="P52" s="107"/>
      <c r="Q52" s="3" t="s">
        <v>405</v>
      </c>
      <c r="R52" s="37"/>
      <c r="S52" s="37">
        <f t="shared" si="20"/>
        <v>88000</v>
      </c>
      <c r="T52" s="37">
        <f t="shared" si="7"/>
        <v>125714.28571428572</v>
      </c>
      <c r="U52" s="41">
        <f t="shared" si="8"/>
        <v>143673.46938775512</v>
      </c>
      <c r="V52" s="42">
        <f t="shared" si="21"/>
        <v>0.12500000000000003</v>
      </c>
      <c r="W52" s="41">
        <f t="shared" si="22"/>
        <v>143700</v>
      </c>
      <c r="X52" s="43">
        <f t="shared" si="11"/>
        <v>0.30000000000000004</v>
      </c>
      <c r="Y52" s="44"/>
      <c r="Z52" s="44"/>
      <c r="AA52" s="44"/>
    </row>
    <row r="53" spans="2:27" ht="14.4" customHeight="1">
      <c r="B53" s="4">
        <v>49</v>
      </c>
      <c r="C53" s="5" t="s">
        <v>184</v>
      </c>
      <c r="D53" s="5" t="str">
        <f t="shared" si="39"/>
        <v xml:space="preserve"> 446</v>
      </c>
      <c r="E53" s="6" t="s">
        <v>184</v>
      </c>
      <c r="F53" s="7">
        <f t="shared" si="40"/>
        <v>0</v>
      </c>
      <c r="G53" s="11" t="s">
        <v>299</v>
      </c>
      <c r="H53" s="11" t="s">
        <v>314</v>
      </c>
      <c r="I53" s="11" t="s">
        <v>345</v>
      </c>
      <c r="J53" s="12">
        <v>83000</v>
      </c>
      <c r="K53" s="13">
        <f t="shared" si="14"/>
        <v>6150</v>
      </c>
      <c r="L53" s="7" t="s">
        <v>24</v>
      </c>
      <c r="M53" s="14">
        <f t="shared" si="47"/>
        <v>76850</v>
      </c>
      <c r="N53" s="15">
        <f t="shared" si="48"/>
        <v>6150</v>
      </c>
      <c r="O53" s="40">
        <f t="shared" si="16"/>
        <v>83000</v>
      </c>
      <c r="P53" s="107"/>
      <c r="Q53" s="3" t="s">
        <v>405</v>
      </c>
      <c r="R53" s="37"/>
      <c r="S53" s="37">
        <f t="shared" si="20"/>
        <v>83000</v>
      </c>
      <c r="T53" s="37">
        <f t="shared" si="7"/>
        <v>118571.42857142858</v>
      </c>
      <c r="U53" s="41">
        <f t="shared" si="8"/>
        <v>135510.20408163266</v>
      </c>
      <c r="V53" s="42">
        <f t="shared" si="21"/>
        <v>0.125</v>
      </c>
      <c r="W53" s="41">
        <f t="shared" si="22"/>
        <v>135600</v>
      </c>
      <c r="X53" s="43">
        <f t="shared" si="11"/>
        <v>0.30000000000000004</v>
      </c>
      <c r="Y53" s="44"/>
      <c r="Z53" s="44"/>
      <c r="AA53" s="44"/>
    </row>
    <row r="54" spans="2:27" ht="14.4" customHeight="1">
      <c r="B54" s="4">
        <v>50</v>
      </c>
      <c r="C54" s="5" t="s">
        <v>185</v>
      </c>
      <c r="D54" s="5" t="str">
        <f t="shared" si="39"/>
        <v xml:space="preserve"> 517</v>
      </c>
      <c r="E54" s="6" t="s">
        <v>185</v>
      </c>
      <c r="F54" s="7">
        <f t="shared" si="40"/>
        <v>0</v>
      </c>
      <c r="G54" s="11" t="s">
        <v>299</v>
      </c>
      <c r="H54" s="11" t="s">
        <v>314</v>
      </c>
      <c r="I54" s="11" t="s">
        <v>345</v>
      </c>
      <c r="J54" s="12">
        <v>88000</v>
      </c>
      <c r="K54" s="13">
        <f t="shared" si="14"/>
        <v>6150</v>
      </c>
      <c r="L54" s="7" t="s">
        <v>24</v>
      </c>
      <c r="M54" s="14">
        <f t="shared" si="47"/>
        <v>81850</v>
      </c>
      <c r="N54" s="15">
        <f t="shared" si="48"/>
        <v>6150</v>
      </c>
      <c r="O54" s="40">
        <f t="shared" si="16"/>
        <v>88000</v>
      </c>
      <c r="P54" s="106"/>
      <c r="Q54" s="3" t="s">
        <v>405</v>
      </c>
      <c r="R54" s="37"/>
      <c r="S54" s="37">
        <f t="shared" si="20"/>
        <v>88000</v>
      </c>
      <c r="T54" s="37">
        <f t="shared" si="7"/>
        <v>125714.28571428572</v>
      </c>
      <c r="U54" s="41">
        <f t="shared" si="8"/>
        <v>143673.46938775512</v>
      </c>
      <c r="V54" s="42">
        <f t="shared" si="21"/>
        <v>0.12500000000000003</v>
      </c>
      <c r="W54" s="41">
        <f t="shared" si="22"/>
        <v>143700</v>
      </c>
      <c r="X54" s="43">
        <f t="shared" si="11"/>
        <v>0.30000000000000004</v>
      </c>
      <c r="Y54" s="44"/>
      <c r="Z54" s="44"/>
      <c r="AA54" s="45"/>
    </row>
    <row r="55" spans="2:27" ht="14.4" customHeight="1">
      <c r="B55" s="4">
        <v>51</v>
      </c>
      <c r="C55" s="5" t="s">
        <v>26</v>
      </c>
      <c r="D55" s="5" t="str">
        <f t="shared" si="39"/>
        <v xml:space="preserve"> 368</v>
      </c>
      <c r="E55" s="6" t="s">
        <v>26</v>
      </c>
      <c r="F55" s="7">
        <f t="shared" si="40"/>
        <v>0</v>
      </c>
      <c r="G55" s="11" t="s">
        <v>21</v>
      </c>
      <c r="H55" s="11" t="s">
        <v>314</v>
      </c>
      <c r="I55" s="11" t="s">
        <v>345</v>
      </c>
      <c r="J55" s="12">
        <v>87500</v>
      </c>
      <c r="K55" s="13">
        <f t="shared" si="14"/>
        <v>6150</v>
      </c>
      <c r="L55" s="7" t="s">
        <v>24</v>
      </c>
      <c r="M55" s="14">
        <f t="shared" si="47"/>
        <v>81350</v>
      </c>
      <c r="N55" s="15">
        <f t="shared" si="48"/>
        <v>6150</v>
      </c>
      <c r="O55" s="40">
        <f t="shared" si="16"/>
        <v>87500</v>
      </c>
      <c r="P55" s="106"/>
      <c r="Q55" s="3" t="s">
        <v>405</v>
      </c>
      <c r="R55" s="37">
        <v>3000</v>
      </c>
      <c r="S55" s="37">
        <f t="shared" si="20"/>
        <v>90500</v>
      </c>
      <c r="T55" s="37">
        <f t="shared" si="7"/>
        <v>129285.71428571429</v>
      </c>
      <c r="U55" s="41">
        <f t="shared" si="8"/>
        <v>147755.10204081633</v>
      </c>
      <c r="V55" s="42">
        <f t="shared" si="21"/>
        <v>0.125</v>
      </c>
      <c r="W55" s="41">
        <f t="shared" si="22"/>
        <v>147800</v>
      </c>
      <c r="X55" s="43">
        <f t="shared" si="11"/>
        <v>0.32320441988950277</v>
      </c>
      <c r="Y55" s="46">
        <v>126438</v>
      </c>
      <c r="Z55" s="47">
        <f t="shared" ref="Z55:Z60" si="49">T55-Y55</f>
        <v>2847.7142857142899</v>
      </c>
      <c r="AA55" s="48">
        <f t="shared" ref="AA55:AA60" si="50">Z55/Y55</f>
        <v>2.2522614132731378E-2</v>
      </c>
    </row>
    <row r="56" spans="2:27" ht="14.4" customHeight="1">
      <c r="B56" s="4">
        <v>52</v>
      </c>
      <c r="C56" s="5" t="s">
        <v>27</v>
      </c>
      <c r="D56" s="5" t="str">
        <f t="shared" si="39"/>
        <v xml:space="preserve"> 432</v>
      </c>
      <c r="E56" s="6" t="s">
        <v>27</v>
      </c>
      <c r="F56" s="7">
        <f t="shared" si="40"/>
        <v>0</v>
      </c>
      <c r="G56" s="11" t="s">
        <v>21</v>
      </c>
      <c r="H56" s="11" t="s">
        <v>315</v>
      </c>
      <c r="I56" s="11" t="s">
        <v>345</v>
      </c>
      <c r="J56" s="12">
        <v>82500</v>
      </c>
      <c r="K56" s="13">
        <f t="shared" si="14"/>
        <v>6150</v>
      </c>
      <c r="L56" s="7" t="s">
        <v>24</v>
      </c>
      <c r="M56" s="14">
        <f t="shared" si="47"/>
        <v>76350</v>
      </c>
      <c r="N56" s="15">
        <f t="shared" si="48"/>
        <v>6150</v>
      </c>
      <c r="O56" s="40">
        <f t="shared" si="16"/>
        <v>82500</v>
      </c>
      <c r="P56" s="106"/>
      <c r="Q56" s="3" t="s">
        <v>405</v>
      </c>
      <c r="R56" s="37">
        <v>4000</v>
      </c>
      <c r="S56" s="37">
        <f t="shared" si="20"/>
        <v>86500</v>
      </c>
      <c r="T56" s="37">
        <f t="shared" si="7"/>
        <v>123571.42857142858</v>
      </c>
      <c r="U56" s="41">
        <f t="shared" si="8"/>
        <v>141224.48979591837</v>
      </c>
      <c r="V56" s="42">
        <f t="shared" si="21"/>
        <v>0.12499999999999997</v>
      </c>
      <c r="W56" s="41">
        <f t="shared" si="22"/>
        <v>141300</v>
      </c>
      <c r="X56" s="43">
        <f t="shared" si="11"/>
        <v>0.33236994219653182</v>
      </c>
      <c r="Y56" s="46">
        <v>122150</v>
      </c>
      <c r="Z56" s="47">
        <f t="shared" si="49"/>
        <v>1421.4285714285797</v>
      </c>
      <c r="AA56" s="48">
        <f t="shared" si="50"/>
        <v>1.163674638910012E-2</v>
      </c>
    </row>
    <row r="57" spans="2:27" ht="14.4" customHeight="1">
      <c r="B57" s="4">
        <v>53</v>
      </c>
      <c r="C57" s="5" t="s">
        <v>83</v>
      </c>
      <c r="D57" s="5" t="str">
        <f t="shared" si="39"/>
        <v xml:space="preserve"> 876</v>
      </c>
      <c r="E57" s="6" t="s">
        <v>83</v>
      </c>
      <c r="F57" s="7">
        <f t="shared" si="40"/>
        <v>0</v>
      </c>
      <c r="G57" s="11" t="s">
        <v>21</v>
      </c>
      <c r="H57" s="11" t="s">
        <v>314</v>
      </c>
      <c r="I57" s="11" t="s">
        <v>345</v>
      </c>
      <c r="J57" s="12">
        <v>87500</v>
      </c>
      <c r="K57" s="13">
        <f t="shared" si="14"/>
        <v>6150</v>
      </c>
      <c r="L57" s="7" t="s">
        <v>24</v>
      </c>
      <c r="M57" s="14">
        <f t="shared" si="47"/>
        <v>81350</v>
      </c>
      <c r="N57" s="15">
        <f t="shared" si="48"/>
        <v>6150</v>
      </c>
      <c r="O57" s="40">
        <f t="shared" si="16"/>
        <v>87500</v>
      </c>
      <c r="P57" s="106"/>
      <c r="Q57" s="3" t="s">
        <v>405</v>
      </c>
      <c r="R57" s="37"/>
      <c r="S57" s="37">
        <f t="shared" si="20"/>
        <v>87500</v>
      </c>
      <c r="T57" s="37">
        <f t="shared" si="7"/>
        <v>125000.00000000001</v>
      </c>
      <c r="U57" s="41">
        <f t="shared" si="8"/>
        <v>142857.14285714287</v>
      </c>
      <c r="V57" s="42">
        <f t="shared" si="21"/>
        <v>0.12499999999999997</v>
      </c>
      <c r="W57" s="41">
        <f t="shared" si="22"/>
        <v>142900</v>
      </c>
      <c r="X57" s="43">
        <f t="shared" si="11"/>
        <v>0.3000000000000001</v>
      </c>
      <c r="Y57" s="46">
        <v>126438</v>
      </c>
      <c r="Z57" s="47">
        <f t="shared" si="49"/>
        <v>-1437.9999999999854</v>
      </c>
      <c r="AA57" s="48">
        <f t="shared" si="50"/>
        <v>-1.1373163131336983E-2</v>
      </c>
    </row>
    <row r="58" spans="2:27" ht="14.4" customHeight="1">
      <c r="B58" s="4">
        <v>54</v>
      </c>
      <c r="C58" s="5" t="s">
        <v>84</v>
      </c>
      <c r="D58" s="5" t="str">
        <f t="shared" si="39"/>
        <v xml:space="preserve"> 636</v>
      </c>
      <c r="E58" s="6" t="s">
        <v>84</v>
      </c>
      <c r="F58" s="7">
        <f t="shared" si="40"/>
        <v>0</v>
      </c>
      <c r="G58" s="11" t="s">
        <v>21</v>
      </c>
      <c r="H58" s="11" t="s">
        <v>315</v>
      </c>
      <c r="I58" s="11" t="s">
        <v>345</v>
      </c>
      <c r="J58" s="12">
        <v>82500</v>
      </c>
      <c r="K58" s="13">
        <f t="shared" si="14"/>
        <v>6150</v>
      </c>
      <c r="L58" s="7" t="s">
        <v>24</v>
      </c>
      <c r="M58" s="14">
        <f t="shared" si="47"/>
        <v>76350</v>
      </c>
      <c r="N58" s="15">
        <f t="shared" si="48"/>
        <v>6150</v>
      </c>
      <c r="O58" s="40">
        <f t="shared" si="16"/>
        <v>82500</v>
      </c>
      <c r="P58" s="106"/>
      <c r="Q58" s="3" t="s">
        <v>405</v>
      </c>
      <c r="R58" s="37"/>
      <c r="S58" s="37">
        <f t="shared" si="20"/>
        <v>82500</v>
      </c>
      <c r="T58" s="37">
        <f t="shared" si="7"/>
        <v>117857.14285714287</v>
      </c>
      <c r="U58" s="41">
        <f t="shared" si="8"/>
        <v>134693.87755102041</v>
      </c>
      <c r="V58" s="42">
        <f t="shared" si="21"/>
        <v>0.12499999999999994</v>
      </c>
      <c r="W58" s="41">
        <f t="shared" si="22"/>
        <v>134700</v>
      </c>
      <c r="X58" s="43">
        <f t="shared" si="11"/>
        <v>0.3000000000000001</v>
      </c>
      <c r="Y58" s="46">
        <v>120750</v>
      </c>
      <c r="Z58" s="47">
        <f t="shared" si="49"/>
        <v>-2892.8571428571304</v>
      </c>
      <c r="AA58" s="48">
        <f t="shared" si="50"/>
        <v>-2.3957409050576649E-2</v>
      </c>
    </row>
    <row r="59" spans="2:27" ht="14.4" customHeight="1">
      <c r="B59" s="4">
        <v>55</v>
      </c>
      <c r="C59" s="39" t="s">
        <v>535</v>
      </c>
      <c r="D59" s="5" t="str">
        <f t="shared" si="39"/>
        <v xml:space="preserve"> 240</v>
      </c>
      <c r="E59" s="6" t="s">
        <v>535</v>
      </c>
      <c r="F59" s="7">
        <f t="shared" si="40"/>
        <v>0</v>
      </c>
      <c r="G59" s="8" t="s">
        <v>299</v>
      </c>
      <c r="H59" s="8" t="s">
        <v>316</v>
      </c>
      <c r="I59" s="8" t="s">
        <v>536</v>
      </c>
      <c r="J59" s="12"/>
      <c r="K59" s="13">
        <f t="shared" si="14"/>
        <v>0</v>
      </c>
      <c r="L59" s="7"/>
      <c r="M59" s="14">
        <f t="shared" si="15"/>
        <v>0</v>
      </c>
      <c r="N59" s="15"/>
      <c r="O59" s="40">
        <f t="shared" si="16"/>
        <v>0</v>
      </c>
      <c r="P59" s="106"/>
      <c r="Q59" s="3"/>
      <c r="R59" s="37"/>
      <c r="S59" s="37">
        <f t="shared" si="20"/>
        <v>0</v>
      </c>
      <c r="T59" s="37">
        <f t="shared" si="7"/>
        <v>0</v>
      </c>
      <c r="U59" s="41">
        <f t="shared" si="8"/>
        <v>0</v>
      </c>
      <c r="V59" s="42" t="e">
        <f t="shared" si="21"/>
        <v>#DIV/0!</v>
      </c>
      <c r="W59" s="41">
        <f t="shared" si="22"/>
        <v>0</v>
      </c>
      <c r="X59" s="43" t="e">
        <f t="shared" si="11"/>
        <v>#DIV/0!</v>
      </c>
      <c r="Y59" s="46"/>
      <c r="Z59" s="47"/>
      <c r="AA59" s="48"/>
    </row>
    <row r="60" spans="2:27" ht="14.4" customHeight="1">
      <c r="B60" s="4">
        <v>56</v>
      </c>
      <c r="C60" s="5" t="s">
        <v>82</v>
      </c>
      <c r="D60" s="5" t="str">
        <f t="shared" si="39"/>
        <v xml:space="preserve"> 716</v>
      </c>
      <c r="E60" s="6" t="s">
        <v>82</v>
      </c>
      <c r="F60" s="7">
        <f t="shared" si="40"/>
        <v>0</v>
      </c>
      <c r="G60" s="11" t="s">
        <v>21</v>
      </c>
      <c r="H60" s="11" t="s">
        <v>316</v>
      </c>
      <c r="I60" s="11" t="s">
        <v>346</v>
      </c>
      <c r="J60" s="12">
        <v>132500</v>
      </c>
      <c r="K60" s="13">
        <f t="shared" si="14"/>
        <v>6250</v>
      </c>
      <c r="L60" s="7" t="s">
        <v>24</v>
      </c>
      <c r="M60" s="14">
        <f t="shared" si="47"/>
        <v>126250</v>
      </c>
      <c r="N60" s="15">
        <f>2000+200+350+600+3100</f>
        <v>6250</v>
      </c>
      <c r="O60" s="40">
        <f t="shared" si="16"/>
        <v>132500</v>
      </c>
      <c r="P60" s="106"/>
      <c r="Q60" s="3" t="s">
        <v>407</v>
      </c>
      <c r="R60" s="37"/>
      <c r="S60" s="37">
        <f t="shared" si="20"/>
        <v>132500</v>
      </c>
      <c r="T60" s="37">
        <f t="shared" si="7"/>
        <v>189285.71428571429</v>
      </c>
      <c r="U60" s="41">
        <f t="shared" si="8"/>
        <v>216326.53061224491</v>
      </c>
      <c r="V60" s="42">
        <f t="shared" si="21"/>
        <v>0.12500000000000003</v>
      </c>
      <c r="W60" s="41">
        <f t="shared" si="22"/>
        <v>216400</v>
      </c>
      <c r="X60" s="43">
        <f t="shared" si="11"/>
        <v>0.3</v>
      </c>
      <c r="Y60" s="46">
        <v>188650</v>
      </c>
      <c r="Z60" s="47">
        <f t="shared" si="49"/>
        <v>635.71428571428987</v>
      </c>
      <c r="AA60" s="48">
        <f t="shared" si="50"/>
        <v>3.3698080345310887E-3</v>
      </c>
    </row>
    <row r="61" spans="2:27" ht="14.4" customHeight="1">
      <c r="B61" s="4">
        <v>57</v>
      </c>
      <c r="C61" s="39" t="s">
        <v>538</v>
      </c>
      <c r="D61" s="5" t="str">
        <f t="shared" si="39"/>
        <v xml:space="preserve"> 628</v>
      </c>
      <c r="E61" s="6" t="s">
        <v>538</v>
      </c>
      <c r="F61" s="7">
        <f t="shared" si="40"/>
        <v>0</v>
      </c>
      <c r="G61" s="8" t="s">
        <v>299</v>
      </c>
      <c r="H61" s="8" t="s">
        <v>316</v>
      </c>
      <c r="I61" s="8" t="s">
        <v>517</v>
      </c>
      <c r="J61" s="12"/>
      <c r="K61" s="13">
        <f t="shared" si="14"/>
        <v>0</v>
      </c>
      <c r="L61" s="7"/>
      <c r="M61" s="14">
        <f t="shared" si="15"/>
        <v>0</v>
      </c>
      <c r="N61" s="15"/>
      <c r="O61" s="40">
        <f t="shared" si="16"/>
        <v>0</v>
      </c>
      <c r="P61" s="106"/>
      <c r="Q61" s="3"/>
      <c r="R61" s="37"/>
      <c r="S61" s="37">
        <f t="shared" si="20"/>
        <v>0</v>
      </c>
      <c r="T61" s="37">
        <f t="shared" si="7"/>
        <v>0</v>
      </c>
      <c r="U61" s="41">
        <f t="shared" si="8"/>
        <v>0</v>
      </c>
      <c r="V61" s="42" t="e">
        <f t="shared" si="21"/>
        <v>#DIV/0!</v>
      </c>
      <c r="W61" s="41">
        <f t="shared" si="22"/>
        <v>0</v>
      </c>
      <c r="X61" s="43" t="e">
        <f t="shared" si="11"/>
        <v>#DIV/0!</v>
      </c>
      <c r="Y61" s="46"/>
      <c r="Z61" s="47"/>
      <c r="AA61" s="48"/>
    </row>
    <row r="62" spans="2:27" ht="14.4" customHeight="1">
      <c r="B62" s="4">
        <v>58</v>
      </c>
      <c r="C62" s="39" t="s">
        <v>539</v>
      </c>
      <c r="D62" s="5" t="str">
        <f t="shared" si="39"/>
        <v xml:space="preserve"> 287</v>
      </c>
      <c r="E62" s="6" t="s">
        <v>539</v>
      </c>
      <c r="F62" s="7">
        <f t="shared" si="40"/>
        <v>0</v>
      </c>
      <c r="G62" s="8" t="s">
        <v>21</v>
      </c>
      <c r="H62" s="8" t="s">
        <v>316</v>
      </c>
      <c r="I62" s="8" t="s">
        <v>540</v>
      </c>
      <c r="J62" s="12"/>
      <c r="K62" s="13">
        <f t="shared" si="14"/>
        <v>0</v>
      </c>
      <c r="L62" s="7"/>
      <c r="M62" s="14">
        <f t="shared" si="15"/>
        <v>0</v>
      </c>
      <c r="N62" s="15"/>
      <c r="O62" s="40">
        <f t="shared" si="16"/>
        <v>0</v>
      </c>
      <c r="P62" s="106"/>
      <c r="Q62" s="3"/>
      <c r="R62" s="37"/>
      <c r="S62" s="37">
        <f t="shared" si="20"/>
        <v>0</v>
      </c>
      <c r="T62" s="37">
        <f t="shared" si="7"/>
        <v>0</v>
      </c>
      <c r="U62" s="41">
        <f t="shared" si="8"/>
        <v>0</v>
      </c>
      <c r="V62" s="42" t="e">
        <f t="shared" si="21"/>
        <v>#DIV/0!</v>
      </c>
      <c r="W62" s="41">
        <f t="shared" si="22"/>
        <v>0</v>
      </c>
      <c r="X62" s="43" t="e">
        <f t="shared" si="11"/>
        <v>#DIV/0!</v>
      </c>
      <c r="Y62" s="46">
        <v>183575</v>
      </c>
      <c r="Z62" s="47">
        <f t="shared" ref="Z62:Z63" si="51">T62-Y62</f>
        <v>-183575</v>
      </c>
      <c r="AA62" s="48">
        <f t="shared" ref="AA62:AA63" si="52">Z62/Y62</f>
        <v>-1</v>
      </c>
    </row>
    <row r="63" spans="2:27" ht="14.4" customHeight="1">
      <c r="B63" s="4">
        <v>59</v>
      </c>
      <c r="C63" s="39" t="s">
        <v>541</v>
      </c>
      <c r="D63" s="5" t="str">
        <f t="shared" si="39"/>
        <v xml:space="preserve"> 956</v>
      </c>
      <c r="E63" s="6" t="s">
        <v>541</v>
      </c>
      <c r="F63" s="7">
        <f t="shared" si="40"/>
        <v>0</v>
      </c>
      <c r="G63" s="8" t="s">
        <v>21</v>
      </c>
      <c r="H63" s="8" t="s">
        <v>316</v>
      </c>
      <c r="I63" s="8" t="s">
        <v>496</v>
      </c>
      <c r="J63" s="12"/>
      <c r="K63" s="13">
        <f t="shared" si="14"/>
        <v>0</v>
      </c>
      <c r="L63" s="7"/>
      <c r="M63" s="14">
        <f t="shared" si="15"/>
        <v>0</v>
      </c>
      <c r="N63" s="15"/>
      <c r="O63" s="40">
        <f t="shared" si="16"/>
        <v>0</v>
      </c>
      <c r="P63" s="106"/>
      <c r="Q63" s="3"/>
      <c r="R63" s="37"/>
      <c r="S63" s="37">
        <f t="shared" si="20"/>
        <v>0</v>
      </c>
      <c r="T63" s="37">
        <f t="shared" si="7"/>
        <v>0</v>
      </c>
      <c r="U63" s="41">
        <f t="shared" si="8"/>
        <v>0</v>
      </c>
      <c r="V63" s="42" t="e">
        <f t="shared" si="21"/>
        <v>#DIV/0!</v>
      </c>
      <c r="W63" s="41">
        <f t="shared" si="22"/>
        <v>0</v>
      </c>
      <c r="X63" s="43" t="e">
        <f t="shared" si="11"/>
        <v>#DIV/0!</v>
      </c>
      <c r="Y63" s="46">
        <v>145775</v>
      </c>
      <c r="Z63" s="47">
        <f t="shared" si="51"/>
        <v>-145775</v>
      </c>
      <c r="AA63" s="48">
        <f t="shared" si="52"/>
        <v>-1</v>
      </c>
    </row>
    <row r="64" spans="2:27" ht="14.4" customHeight="1">
      <c r="B64" s="4">
        <v>60</v>
      </c>
      <c r="C64" s="39" t="s">
        <v>542</v>
      </c>
      <c r="D64" s="5" t="str">
        <f t="shared" si="39"/>
        <v xml:space="preserve"> 634</v>
      </c>
      <c r="E64" s="6" t="s">
        <v>542</v>
      </c>
      <c r="F64" s="7">
        <f t="shared" si="40"/>
        <v>0</v>
      </c>
      <c r="G64" s="8" t="s">
        <v>299</v>
      </c>
      <c r="H64" s="8" t="s">
        <v>316</v>
      </c>
      <c r="I64" s="8" t="s">
        <v>543</v>
      </c>
      <c r="J64" s="12"/>
      <c r="K64" s="13">
        <f t="shared" si="14"/>
        <v>0</v>
      </c>
      <c r="L64" s="7"/>
      <c r="M64" s="14">
        <f t="shared" si="15"/>
        <v>0</v>
      </c>
      <c r="N64" s="15"/>
      <c r="O64" s="40">
        <f t="shared" si="16"/>
        <v>0</v>
      </c>
      <c r="P64" s="106"/>
      <c r="Q64" s="3"/>
      <c r="R64" s="37"/>
      <c r="S64" s="37">
        <f t="shared" si="20"/>
        <v>0</v>
      </c>
      <c r="T64" s="37">
        <f t="shared" si="7"/>
        <v>0</v>
      </c>
      <c r="U64" s="41">
        <f t="shared" si="8"/>
        <v>0</v>
      </c>
      <c r="V64" s="42" t="e">
        <f t="shared" si="21"/>
        <v>#DIV/0!</v>
      </c>
      <c r="W64" s="41">
        <f t="shared" si="22"/>
        <v>0</v>
      </c>
      <c r="X64" s="43" t="e">
        <f t="shared" si="11"/>
        <v>#DIV/0!</v>
      </c>
      <c r="Y64" s="46"/>
      <c r="Z64" s="47"/>
      <c r="AA64" s="48"/>
    </row>
    <row r="65" spans="2:27" ht="14.25" customHeight="1">
      <c r="B65" s="4">
        <v>61</v>
      </c>
      <c r="C65" s="39" t="s">
        <v>1348</v>
      </c>
      <c r="D65" s="5" t="str">
        <f t="shared" si="39"/>
        <v xml:space="preserve"> 114</v>
      </c>
      <c r="E65" s="6" t="s">
        <v>1348</v>
      </c>
      <c r="F65" s="7">
        <f t="shared" si="40"/>
        <v>0</v>
      </c>
      <c r="G65" s="8" t="s">
        <v>299</v>
      </c>
      <c r="H65" s="8" t="s">
        <v>316</v>
      </c>
      <c r="I65" s="8" t="s">
        <v>536</v>
      </c>
      <c r="J65" s="12"/>
      <c r="K65" s="13">
        <f t="shared" si="14"/>
        <v>0</v>
      </c>
      <c r="L65" s="7"/>
      <c r="M65" s="14">
        <f t="shared" si="15"/>
        <v>0</v>
      </c>
      <c r="N65" s="15"/>
      <c r="O65" s="40">
        <f t="shared" si="16"/>
        <v>0</v>
      </c>
      <c r="P65" s="106"/>
      <c r="Q65" s="3"/>
      <c r="R65" s="37"/>
      <c r="S65" s="37">
        <f t="shared" si="20"/>
        <v>0</v>
      </c>
      <c r="T65" s="37">
        <f t="shared" si="7"/>
        <v>0</v>
      </c>
      <c r="U65" s="41">
        <f t="shared" si="8"/>
        <v>0</v>
      </c>
      <c r="V65" s="42" t="e">
        <f t="shared" si="21"/>
        <v>#DIV/0!</v>
      </c>
      <c r="W65" s="41">
        <f t="shared" si="22"/>
        <v>0</v>
      </c>
      <c r="X65" s="43" t="e">
        <f t="shared" si="11"/>
        <v>#DIV/0!</v>
      </c>
      <c r="Y65" s="46"/>
      <c r="Z65" s="47"/>
      <c r="AA65" s="48"/>
    </row>
    <row r="66" spans="2:27" ht="14.25" customHeight="1">
      <c r="B66" s="4">
        <v>62</v>
      </c>
      <c r="C66" s="39" t="s">
        <v>545</v>
      </c>
      <c r="D66" s="5" t="str">
        <f t="shared" si="39"/>
        <v xml:space="preserve"> 293</v>
      </c>
      <c r="E66" s="6" t="s">
        <v>545</v>
      </c>
      <c r="F66" s="7">
        <f t="shared" si="40"/>
        <v>0</v>
      </c>
      <c r="G66" s="8" t="s">
        <v>21</v>
      </c>
      <c r="H66" s="8" t="s">
        <v>316</v>
      </c>
      <c r="I66" s="8" t="s">
        <v>496</v>
      </c>
      <c r="J66" s="12"/>
      <c r="K66" s="13">
        <f t="shared" si="14"/>
        <v>0</v>
      </c>
      <c r="L66" s="7"/>
      <c r="M66" s="14">
        <f t="shared" si="15"/>
        <v>0</v>
      </c>
      <c r="N66" s="15"/>
      <c r="O66" s="40">
        <f t="shared" si="16"/>
        <v>0</v>
      </c>
      <c r="P66" s="106"/>
      <c r="Q66" s="3"/>
      <c r="R66" s="37"/>
      <c r="S66" s="37">
        <f t="shared" si="20"/>
        <v>0</v>
      </c>
      <c r="T66" s="37">
        <f t="shared" si="7"/>
        <v>0</v>
      </c>
      <c r="U66" s="41">
        <f t="shared" si="8"/>
        <v>0</v>
      </c>
      <c r="V66" s="42" t="e">
        <f t="shared" si="21"/>
        <v>#DIV/0!</v>
      </c>
      <c r="W66" s="41">
        <f t="shared" si="22"/>
        <v>0</v>
      </c>
      <c r="X66" s="43" t="e">
        <f t="shared" si="11"/>
        <v>#DIV/0!</v>
      </c>
      <c r="Y66" s="46">
        <v>160038</v>
      </c>
      <c r="Z66" s="47">
        <f t="shared" ref="Z66" si="53">T66-Y66</f>
        <v>-160038</v>
      </c>
      <c r="AA66" s="48">
        <f t="shared" ref="AA66" si="54">Z66/Y66</f>
        <v>-1</v>
      </c>
    </row>
    <row r="67" spans="2:27" ht="14.25" customHeight="1">
      <c r="B67" s="4">
        <v>63</v>
      </c>
      <c r="C67" s="39" t="s">
        <v>546</v>
      </c>
      <c r="D67" s="5" t="str">
        <f t="shared" si="39"/>
        <v xml:space="preserve"> 903</v>
      </c>
      <c r="E67" s="6" t="s">
        <v>546</v>
      </c>
      <c r="F67" s="7">
        <f t="shared" si="40"/>
        <v>0</v>
      </c>
      <c r="G67" s="8" t="s">
        <v>299</v>
      </c>
      <c r="H67" s="8" t="s">
        <v>316</v>
      </c>
      <c r="I67" s="8" t="s">
        <v>547</v>
      </c>
      <c r="J67" s="12"/>
      <c r="K67" s="13">
        <f t="shared" si="14"/>
        <v>0</v>
      </c>
      <c r="L67" s="7"/>
      <c r="M67" s="14">
        <f t="shared" si="15"/>
        <v>0</v>
      </c>
      <c r="N67" s="15"/>
      <c r="O67" s="40">
        <f t="shared" si="16"/>
        <v>0</v>
      </c>
      <c r="P67" s="106"/>
      <c r="Q67" s="3"/>
      <c r="R67" s="37"/>
      <c r="S67" s="37">
        <f t="shared" si="20"/>
        <v>0</v>
      </c>
      <c r="T67" s="37">
        <f t="shared" si="7"/>
        <v>0</v>
      </c>
      <c r="U67" s="41">
        <f t="shared" si="8"/>
        <v>0</v>
      </c>
      <c r="V67" s="42" t="e">
        <f t="shared" si="21"/>
        <v>#DIV/0!</v>
      </c>
      <c r="W67" s="41">
        <f t="shared" si="22"/>
        <v>0</v>
      </c>
      <c r="X67" s="43" t="e">
        <f t="shared" si="11"/>
        <v>#DIV/0!</v>
      </c>
      <c r="Y67" s="46"/>
      <c r="Z67" s="47"/>
      <c r="AA67" s="48"/>
    </row>
    <row r="68" spans="2:27" ht="14.25" customHeight="1">
      <c r="B68" s="4">
        <v>64</v>
      </c>
      <c r="C68" s="39" t="s">
        <v>548</v>
      </c>
      <c r="D68" s="5" t="str">
        <f t="shared" si="39"/>
        <v xml:space="preserve"> 587</v>
      </c>
      <c r="E68" s="6" t="s">
        <v>548</v>
      </c>
      <c r="F68" s="7">
        <f t="shared" si="40"/>
        <v>0</v>
      </c>
      <c r="G68" s="8" t="s">
        <v>299</v>
      </c>
      <c r="H68" s="8" t="s">
        <v>316</v>
      </c>
      <c r="I68" s="8" t="s">
        <v>504</v>
      </c>
      <c r="J68" s="12">
        <f>M68</f>
        <v>120000</v>
      </c>
      <c r="K68" s="13">
        <f t="shared" si="14"/>
        <v>0</v>
      </c>
      <c r="L68" s="17" t="s">
        <v>23</v>
      </c>
      <c r="M68" s="18">
        <v>120000</v>
      </c>
      <c r="N68" s="15">
        <f>2000+200+350+600+3100</f>
        <v>6250</v>
      </c>
      <c r="O68" s="40">
        <f t="shared" si="16"/>
        <v>126250</v>
      </c>
      <c r="P68" s="106"/>
      <c r="Q68" s="78" t="s">
        <v>1373</v>
      </c>
      <c r="R68" s="37"/>
      <c r="S68" s="37">
        <f t="shared" si="20"/>
        <v>126250</v>
      </c>
      <c r="T68" s="37">
        <f t="shared" si="7"/>
        <v>180357.14285714287</v>
      </c>
      <c r="U68" s="41">
        <f t="shared" si="8"/>
        <v>206122.44897959186</v>
      </c>
      <c r="V68" s="42">
        <f t="shared" si="21"/>
        <v>0.12500000000000006</v>
      </c>
      <c r="W68" s="41">
        <f t="shared" si="22"/>
        <v>206200</v>
      </c>
      <c r="X68" s="43">
        <f t="shared" si="11"/>
        <v>0.30000000000000004</v>
      </c>
      <c r="Y68" s="46"/>
      <c r="Z68" s="47"/>
      <c r="AA68" s="48"/>
    </row>
    <row r="69" spans="2:27" ht="14.25" customHeight="1">
      <c r="B69" s="4">
        <v>65</v>
      </c>
      <c r="C69" s="39" t="s">
        <v>549</v>
      </c>
      <c r="D69" s="5" t="str">
        <f t="shared" si="39"/>
        <v xml:space="preserve"> 497</v>
      </c>
      <c r="E69" s="6" t="s">
        <v>549</v>
      </c>
      <c r="F69" s="7">
        <f t="shared" si="40"/>
        <v>0</v>
      </c>
      <c r="G69" s="8" t="s">
        <v>299</v>
      </c>
      <c r="H69" s="8" t="s">
        <v>316</v>
      </c>
      <c r="I69" s="8" t="s">
        <v>536</v>
      </c>
      <c r="J69" s="12"/>
      <c r="K69" s="13">
        <f t="shared" ref="K69:K132" si="55">J69-M69</f>
        <v>0</v>
      </c>
      <c r="L69" s="7"/>
      <c r="M69" s="14">
        <f t="shared" ref="M69:M76" si="56">J69-N69</f>
        <v>0</v>
      </c>
      <c r="N69" s="15"/>
      <c r="O69" s="40">
        <f t="shared" si="16"/>
        <v>0</v>
      </c>
      <c r="P69" s="106"/>
      <c r="Q69" s="3"/>
      <c r="R69" s="37"/>
      <c r="S69" s="37">
        <f t="shared" si="20"/>
        <v>0</v>
      </c>
      <c r="T69" s="37">
        <f t="shared" ref="T69:T132" si="57">S69/0.7</f>
        <v>0</v>
      </c>
      <c r="U69" s="41">
        <f t="shared" ref="U69:U132" si="58">T69/0.875</f>
        <v>0</v>
      </c>
      <c r="V69" s="42" t="e">
        <f t="shared" si="21"/>
        <v>#DIV/0!</v>
      </c>
      <c r="W69" s="41">
        <f t="shared" si="22"/>
        <v>0</v>
      </c>
      <c r="X69" s="43" t="e">
        <f t="shared" ref="X69:X132" si="59">(T69-O69)/T69</f>
        <v>#DIV/0!</v>
      </c>
      <c r="Y69" s="46"/>
      <c r="Z69" s="47"/>
      <c r="AA69" s="48"/>
    </row>
    <row r="70" spans="2:27" ht="14.25" customHeight="1">
      <c r="B70" s="4">
        <v>66</v>
      </c>
      <c r="C70" s="39" t="s">
        <v>477</v>
      </c>
      <c r="D70" s="5" t="str">
        <f t="shared" si="39"/>
        <v xml:space="preserve"> 984</v>
      </c>
      <c r="E70" s="6" t="s">
        <v>477</v>
      </c>
      <c r="F70" s="7">
        <f t="shared" si="40"/>
        <v>0</v>
      </c>
      <c r="G70" s="8" t="s">
        <v>299</v>
      </c>
      <c r="H70" s="8" t="s">
        <v>316</v>
      </c>
      <c r="I70" s="8" t="s">
        <v>547</v>
      </c>
      <c r="J70" s="12"/>
      <c r="K70" s="13">
        <f t="shared" si="55"/>
        <v>0</v>
      </c>
      <c r="L70" s="7"/>
      <c r="M70" s="14">
        <f t="shared" si="56"/>
        <v>0</v>
      </c>
      <c r="N70" s="15"/>
      <c r="O70" s="40">
        <f t="shared" ref="O70:O133" si="60">M70+N70</f>
        <v>0</v>
      </c>
      <c r="P70" s="106"/>
      <c r="Q70" s="3"/>
      <c r="R70" s="37"/>
      <c r="S70" s="37">
        <f t="shared" si="20"/>
        <v>0</v>
      </c>
      <c r="T70" s="37">
        <f t="shared" si="57"/>
        <v>0</v>
      </c>
      <c r="U70" s="41">
        <f t="shared" si="58"/>
        <v>0</v>
      </c>
      <c r="V70" s="42" t="e">
        <f t="shared" si="21"/>
        <v>#DIV/0!</v>
      </c>
      <c r="W70" s="41">
        <f t="shared" si="22"/>
        <v>0</v>
      </c>
      <c r="X70" s="43" t="e">
        <f t="shared" si="59"/>
        <v>#DIV/0!</v>
      </c>
      <c r="Y70" s="46"/>
      <c r="Z70" s="47"/>
      <c r="AA70" s="48"/>
    </row>
    <row r="71" spans="2:27" ht="14.25" customHeight="1">
      <c r="B71" s="4">
        <v>67</v>
      </c>
      <c r="C71" s="39" t="s">
        <v>550</v>
      </c>
      <c r="D71" s="5" t="str">
        <f t="shared" si="39"/>
        <v xml:space="preserve"> 461</v>
      </c>
      <c r="E71" s="6" t="s">
        <v>550</v>
      </c>
      <c r="F71" s="7">
        <f t="shared" si="40"/>
        <v>0</v>
      </c>
      <c r="G71" s="8" t="s">
        <v>299</v>
      </c>
      <c r="H71" s="8" t="s">
        <v>316</v>
      </c>
      <c r="I71" s="8" t="s">
        <v>536</v>
      </c>
      <c r="J71" s="12"/>
      <c r="K71" s="13">
        <f t="shared" si="55"/>
        <v>0</v>
      </c>
      <c r="L71" s="7"/>
      <c r="M71" s="14">
        <f t="shared" si="56"/>
        <v>0</v>
      </c>
      <c r="N71" s="15"/>
      <c r="O71" s="40">
        <f t="shared" si="60"/>
        <v>0</v>
      </c>
      <c r="P71" s="106"/>
      <c r="Q71" s="3"/>
      <c r="R71" s="37"/>
      <c r="S71" s="37">
        <f t="shared" si="20"/>
        <v>0</v>
      </c>
      <c r="T71" s="37">
        <f t="shared" si="57"/>
        <v>0</v>
      </c>
      <c r="U71" s="41">
        <f t="shared" si="58"/>
        <v>0</v>
      </c>
      <c r="V71" s="42" t="e">
        <f t="shared" si="21"/>
        <v>#DIV/0!</v>
      </c>
      <c r="W71" s="41">
        <f t="shared" si="22"/>
        <v>0</v>
      </c>
      <c r="X71" s="43" t="e">
        <f t="shared" si="59"/>
        <v>#DIV/0!</v>
      </c>
      <c r="Y71" s="46"/>
      <c r="Z71" s="47"/>
      <c r="AA71" s="48"/>
    </row>
    <row r="72" spans="2:27" ht="14.25" customHeight="1">
      <c r="B72" s="4">
        <v>68</v>
      </c>
      <c r="C72" s="39" t="s">
        <v>551</v>
      </c>
      <c r="D72" s="5" t="str">
        <f t="shared" si="39"/>
        <v xml:space="preserve"> 686</v>
      </c>
      <c r="E72" s="6" t="s">
        <v>551</v>
      </c>
      <c r="F72" s="7">
        <f t="shared" si="40"/>
        <v>0</v>
      </c>
      <c r="G72" s="8" t="s">
        <v>21</v>
      </c>
      <c r="H72" s="8" t="s">
        <v>316</v>
      </c>
      <c r="I72" s="8" t="s">
        <v>496</v>
      </c>
      <c r="J72" s="12"/>
      <c r="K72" s="13">
        <f t="shared" si="55"/>
        <v>0</v>
      </c>
      <c r="L72" s="7"/>
      <c r="M72" s="14">
        <f t="shared" si="56"/>
        <v>0</v>
      </c>
      <c r="N72" s="15"/>
      <c r="O72" s="40">
        <f t="shared" si="60"/>
        <v>0</v>
      </c>
      <c r="P72" s="106"/>
      <c r="Q72" s="3"/>
      <c r="R72" s="37"/>
      <c r="S72" s="37">
        <f t="shared" si="20"/>
        <v>0</v>
      </c>
      <c r="T72" s="37">
        <f t="shared" si="57"/>
        <v>0</v>
      </c>
      <c r="U72" s="41">
        <f t="shared" si="58"/>
        <v>0</v>
      </c>
      <c r="V72" s="42" t="e">
        <f t="shared" si="21"/>
        <v>#DIV/0!</v>
      </c>
      <c r="W72" s="41">
        <f t="shared" si="22"/>
        <v>0</v>
      </c>
      <c r="X72" s="43" t="e">
        <f t="shared" si="59"/>
        <v>#DIV/0!</v>
      </c>
      <c r="Y72" s="46">
        <v>187163</v>
      </c>
      <c r="Z72" s="47">
        <f t="shared" ref="Z72" si="61">T72-Y72</f>
        <v>-187163</v>
      </c>
      <c r="AA72" s="48">
        <f t="shared" ref="AA72" si="62">Z72/Y72</f>
        <v>-1</v>
      </c>
    </row>
    <row r="73" spans="2:27" ht="14.25" customHeight="1">
      <c r="B73" s="4">
        <v>69</v>
      </c>
      <c r="C73" s="39" t="s">
        <v>552</v>
      </c>
      <c r="D73" s="5" t="str">
        <f t="shared" si="39"/>
        <v xml:space="preserve"> 490</v>
      </c>
      <c r="E73" s="6" t="s">
        <v>552</v>
      </c>
      <c r="F73" s="7">
        <f t="shared" si="40"/>
        <v>0</v>
      </c>
      <c r="G73" s="8" t="s">
        <v>299</v>
      </c>
      <c r="H73" s="8" t="s">
        <v>316</v>
      </c>
      <c r="I73" s="8" t="s">
        <v>536</v>
      </c>
      <c r="J73" s="12"/>
      <c r="K73" s="13">
        <f t="shared" si="55"/>
        <v>0</v>
      </c>
      <c r="L73" s="7"/>
      <c r="M73" s="14">
        <f t="shared" si="56"/>
        <v>0</v>
      </c>
      <c r="N73" s="15"/>
      <c r="O73" s="40">
        <f t="shared" si="60"/>
        <v>0</v>
      </c>
      <c r="P73" s="106"/>
      <c r="Q73" s="3"/>
      <c r="R73" s="37"/>
      <c r="S73" s="37">
        <f t="shared" si="20"/>
        <v>0</v>
      </c>
      <c r="T73" s="37">
        <f t="shared" si="57"/>
        <v>0</v>
      </c>
      <c r="U73" s="41">
        <f t="shared" si="58"/>
        <v>0</v>
      </c>
      <c r="V73" s="42" t="e">
        <f t="shared" si="21"/>
        <v>#DIV/0!</v>
      </c>
      <c r="W73" s="41">
        <f t="shared" si="22"/>
        <v>0</v>
      </c>
      <c r="X73" s="43" t="e">
        <f t="shared" si="59"/>
        <v>#DIV/0!</v>
      </c>
      <c r="Y73" s="46"/>
      <c r="Z73" s="47"/>
      <c r="AA73" s="48"/>
    </row>
    <row r="74" spans="2:27" ht="14.25" customHeight="1">
      <c r="B74" s="4">
        <v>70</v>
      </c>
      <c r="C74" s="39" t="s">
        <v>553</v>
      </c>
      <c r="D74" s="5" t="str">
        <f t="shared" si="39"/>
        <v xml:space="preserve"> 646</v>
      </c>
      <c r="E74" s="6" t="s">
        <v>553</v>
      </c>
      <c r="F74" s="7">
        <f t="shared" si="40"/>
        <v>0</v>
      </c>
      <c r="G74" s="8" t="s">
        <v>21</v>
      </c>
      <c r="H74" s="8" t="s">
        <v>316</v>
      </c>
      <c r="I74" s="8" t="s">
        <v>496</v>
      </c>
      <c r="J74" s="12"/>
      <c r="K74" s="13">
        <f t="shared" si="55"/>
        <v>0</v>
      </c>
      <c r="L74" s="7"/>
      <c r="M74" s="14">
        <f t="shared" si="56"/>
        <v>0</v>
      </c>
      <c r="N74" s="15"/>
      <c r="O74" s="40">
        <f t="shared" si="60"/>
        <v>0</v>
      </c>
      <c r="P74" s="106"/>
      <c r="Q74" s="3"/>
      <c r="R74" s="37"/>
      <c r="S74" s="37">
        <f t="shared" si="20"/>
        <v>0</v>
      </c>
      <c r="T74" s="37">
        <f t="shared" si="57"/>
        <v>0</v>
      </c>
      <c r="U74" s="41">
        <f t="shared" si="58"/>
        <v>0</v>
      </c>
      <c r="V74" s="42" t="e">
        <f t="shared" si="21"/>
        <v>#DIV/0!</v>
      </c>
      <c r="W74" s="41">
        <f t="shared" si="22"/>
        <v>0</v>
      </c>
      <c r="X74" s="43" t="e">
        <f t="shared" si="59"/>
        <v>#DIV/0!</v>
      </c>
      <c r="Y74" s="46">
        <v>187163</v>
      </c>
      <c r="Z74" s="47">
        <f t="shared" ref="Z74" si="63">T74-Y74</f>
        <v>-187163</v>
      </c>
      <c r="AA74" s="48">
        <f t="shared" ref="AA74" si="64">Z74/Y74</f>
        <v>-1</v>
      </c>
    </row>
    <row r="75" spans="2:27" ht="14.25" customHeight="1">
      <c r="B75" s="4">
        <v>71</v>
      </c>
      <c r="C75" s="39" t="s">
        <v>554</v>
      </c>
      <c r="D75" s="5" t="str">
        <f t="shared" si="39"/>
        <v xml:space="preserve"> 133</v>
      </c>
      <c r="E75" s="6" t="s">
        <v>554</v>
      </c>
      <c r="F75" s="7">
        <f t="shared" si="40"/>
        <v>0</v>
      </c>
      <c r="G75" s="8" t="s">
        <v>299</v>
      </c>
      <c r="H75" s="8" t="s">
        <v>316</v>
      </c>
      <c r="I75" s="8" t="s">
        <v>555</v>
      </c>
      <c r="J75" s="12">
        <v>140000</v>
      </c>
      <c r="K75" s="13">
        <f t="shared" si="55"/>
        <v>6250</v>
      </c>
      <c r="L75" s="7"/>
      <c r="M75" s="14">
        <f t="shared" si="56"/>
        <v>133750</v>
      </c>
      <c r="N75" s="15">
        <f>2000+200+350+600+3100</f>
        <v>6250</v>
      </c>
      <c r="O75" s="40">
        <f t="shared" si="60"/>
        <v>140000</v>
      </c>
      <c r="P75" s="106"/>
      <c r="Q75" s="78" t="s">
        <v>1384</v>
      </c>
      <c r="R75" s="37"/>
      <c r="S75" s="37">
        <f t="shared" si="20"/>
        <v>140000</v>
      </c>
      <c r="T75" s="37">
        <f t="shared" si="57"/>
        <v>200000</v>
      </c>
      <c r="U75" s="41">
        <f t="shared" si="58"/>
        <v>228571.42857142858</v>
      </c>
      <c r="V75" s="42">
        <f t="shared" si="21"/>
        <v>0.12500000000000003</v>
      </c>
      <c r="W75" s="41">
        <f t="shared" si="22"/>
        <v>228600</v>
      </c>
      <c r="X75" s="43">
        <f t="shared" si="59"/>
        <v>0.3</v>
      </c>
      <c r="Y75" s="46"/>
      <c r="Z75" s="47"/>
      <c r="AA75" s="48"/>
    </row>
    <row r="76" spans="2:27" ht="14.4" customHeight="1">
      <c r="B76" s="4">
        <v>72</v>
      </c>
      <c r="C76" s="39" t="s">
        <v>556</v>
      </c>
      <c r="D76" s="5" t="str">
        <f t="shared" si="39"/>
        <v xml:space="preserve"> 257</v>
      </c>
      <c r="E76" s="6" t="s">
        <v>556</v>
      </c>
      <c r="F76" s="7">
        <f t="shared" si="40"/>
        <v>0</v>
      </c>
      <c r="G76" s="8" t="s">
        <v>21</v>
      </c>
      <c r="H76" s="8" t="s">
        <v>316</v>
      </c>
      <c r="I76" s="8" t="s">
        <v>547</v>
      </c>
      <c r="J76" s="12"/>
      <c r="K76" s="13">
        <f t="shared" si="55"/>
        <v>0</v>
      </c>
      <c r="L76" s="7"/>
      <c r="M76" s="14">
        <f t="shared" si="56"/>
        <v>0</v>
      </c>
      <c r="N76" s="15"/>
      <c r="O76" s="40">
        <f t="shared" si="60"/>
        <v>0</v>
      </c>
      <c r="P76" s="106"/>
      <c r="Q76" s="3"/>
      <c r="R76" s="37"/>
      <c r="S76" s="37">
        <f t="shared" si="20"/>
        <v>0</v>
      </c>
      <c r="T76" s="37">
        <f t="shared" si="57"/>
        <v>0</v>
      </c>
      <c r="U76" s="41">
        <f t="shared" si="58"/>
        <v>0</v>
      </c>
      <c r="V76" s="42" t="e">
        <f t="shared" si="21"/>
        <v>#DIV/0!</v>
      </c>
      <c r="W76" s="41">
        <f t="shared" si="22"/>
        <v>0</v>
      </c>
      <c r="X76" s="43" t="e">
        <f t="shared" si="59"/>
        <v>#DIV/0!</v>
      </c>
      <c r="Y76" s="46">
        <v>165725</v>
      </c>
      <c r="Z76" s="47">
        <f t="shared" ref="Z76" si="65">T76-Y76</f>
        <v>-165725</v>
      </c>
      <c r="AA76" s="48">
        <f t="shared" ref="AA76" si="66">Z76/Y76</f>
        <v>-1</v>
      </c>
    </row>
    <row r="77" spans="2:27" ht="14.4" customHeight="1">
      <c r="B77" s="4">
        <v>73</v>
      </c>
      <c r="C77" s="5" t="s">
        <v>480</v>
      </c>
      <c r="D77" s="5" t="str">
        <f t="shared" si="39"/>
        <v xml:space="preserve"> 223</v>
      </c>
      <c r="E77" s="6" t="s">
        <v>480</v>
      </c>
      <c r="F77" s="7">
        <f t="shared" si="40"/>
        <v>0</v>
      </c>
      <c r="G77" s="11" t="s">
        <v>484</v>
      </c>
      <c r="H77" s="11" t="s">
        <v>316</v>
      </c>
      <c r="I77" s="11" t="s">
        <v>346</v>
      </c>
      <c r="J77" s="12">
        <v>0</v>
      </c>
      <c r="K77" s="13">
        <f t="shared" si="55"/>
        <v>0</v>
      </c>
      <c r="L77" s="7" t="s">
        <v>472</v>
      </c>
      <c r="M77" s="14">
        <f t="shared" si="47"/>
        <v>0</v>
      </c>
      <c r="N77" s="15">
        <v>0</v>
      </c>
      <c r="O77" s="40">
        <f t="shared" si="60"/>
        <v>0</v>
      </c>
      <c r="P77" s="106"/>
      <c r="Q77" s="3"/>
      <c r="R77" s="37"/>
      <c r="S77" s="37">
        <f t="shared" si="20"/>
        <v>0</v>
      </c>
      <c r="T77" s="37">
        <f t="shared" si="57"/>
        <v>0</v>
      </c>
      <c r="U77" s="41">
        <f t="shared" si="58"/>
        <v>0</v>
      </c>
      <c r="V77" s="42" t="e">
        <f t="shared" si="21"/>
        <v>#DIV/0!</v>
      </c>
      <c r="W77" s="41">
        <f t="shared" si="22"/>
        <v>0</v>
      </c>
      <c r="X77" s="43" t="e">
        <f t="shared" si="59"/>
        <v>#DIV/0!</v>
      </c>
      <c r="Y77" s="44"/>
      <c r="Z77" s="44"/>
      <c r="AA77" s="44"/>
    </row>
    <row r="78" spans="2:27" ht="14.4" customHeight="1">
      <c r="B78" s="4">
        <v>74</v>
      </c>
      <c r="C78" s="5" t="s">
        <v>189</v>
      </c>
      <c r="D78" s="5" t="str">
        <f t="shared" si="39"/>
        <v xml:space="preserve"> 720</v>
      </c>
      <c r="E78" s="6" t="s">
        <v>189</v>
      </c>
      <c r="F78" s="7">
        <f t="shared" si="40"/>
        <v>0</v>
      </c>
      <c r="G78" s="11" t="s">
        <v>299</v>
      </c>
      <c r="H78" s="11" t="s">
        <v>316</v>
      </c>
      <c r="I78" s="11" t="s">
        <v>346</v>
      </c>
      <c r="J78" s="12">
        <v>132500</v>
      </c>
      <c r="K78" s="13">
        <f t="shared" si="55"/>
        <v>6250</v>
      </c>
      <c r="L78" s="7" t="s">
        <v>24</v>
      </c>
      <c r="M78" s="14">
        <f t="shared" si="47"/>
        <v>126250</v>
      </c>
      <c r="N78" s="15">
        <f>2000+200+350+600+3100</f>
        <v>6250</v>
      </c>
      <c r="O78" s="40">
        <f t="shared" si="60"/>
        <v>132500</v>
      </c>
      <c r="P78" s="106"/>
      <c r="Q78" s="3" t="s">
        <v>407</v>
      </c>
      <c r="R78" s="37"/>
      <c r="S78" s="37">
        <f t="shared" ref="S78:S141" si="67">R78+O78</f>
        <v>132500</v>
      </c>
      <c r="T78" s="37">
        <f t="shared" si="57"/>
        <v>189285.71428571429</v>
      </c>
      <c r="U78" s="41">
        <f t="shared" si="58"/>
        <v>216326.53061224491</v>
      </c>
      <c r="V78" s="42">
        <f t="shared" ref="V78:V141" si="68">(U78-T78)/U78</f>
        <v>0.12500000000000003</v>
      </c>
      <c r="W78" s="41">
        <f t="shared" ref="W78:W141" si="69">(ROUNDUP((U78/100),0))*100</f>
        <v>216400</v>
      </c>
      <c r="X78" s="43">
        <f t="shared" si="59"/>
        <v>0.3</v>
      </c>
      <c r="Y78" s="44"/>
      <c r="Z78" s="44"/>
      <c r="AA78" s="44"/>
    </row>
    <row r="79" spans="2:27" ht="14.4" customHeight="1">
      <c r="B79" s="4">
        <v>75</v>
      </c>
      <c r="C79" s="39" t="s">
        <v>557</v>
      </c>
      <c r="D79" s="5" t="str">
        <f t="shared" si="39"/>
        <v xml:space="preserve"> 457</v>
      </c>
      <c r="E79" s="6" t="s">
        <v>557</v>
      </c>
      <c r="F79" s="7">
        <f t="shared" si="40"/>
        <v>0</v>
      </c>
      <c r="G79" s="8" t="s">
        <v>21</v>
      </c>
      <c r="H79" s="8" t="s">
        <v>316</v>
      </c>
      <c r="I79" s="8" t="s">
        <v>540</v>
      </c>
      <c r="J79" s="12"/>
      <c r="K79" s="13">
        <f t="shared" si="55"/>
        <v>0</v>
      </c>
      <c r="L79" s="7"/>
      <c r="M79" s="14">
        <f t="shared" si="47"/>
        <v>0</v>
      </c>
      <c r="N79" s="15"/>
      <c r="O79" s="40">
        <f t="shared" si="60"/>
        <v>0</v>
      </c>
      <c r="P79" s="106"/>
      <c r="Q79" s="3"/>
      <c r="R79" s="37"/>
      <c r="S79" s="37">
        <f t="shared" si="67"/>
        <v>0</v>
      </c>
      <c r="T79" s="37">
        <f t="shared" si="57"/>
        <v>0</v>
      </c>
      <c r="U79" s="41">
        <f t="shared" si="58"/>
        <v>0</v>
      </c>
      <c r="V79" s="42" t="e">
        <f t="shared" si="68"/>
        <v>#DIV/0!</v>
      </c>
      <c r="W79" s="41">
        <f t="shared" si="69"/>
        <v>0</v>
      </c>
      <c r="X79" s="43" t="e">
        <f t="shared" si="59"/>
        <v>#DIV/0!</v>
      </c>
      <c r="Y79" s="46">
        <v>184363</v>
      </c>
      <c r="Z79" s="47">
        <f t="shared" ref="Z79:Z80" si="70">T79-Y79</f>
        <v>-184363</v>
      </c>
      <c r="AA79" s="48">
        <f t="shared" ref="AA79:AA80" si="71">Z79/Y79</f>
        <v>-1</v>
      </c>
    </row>
    <row r="80" spans="2:27" ht="14.4" customHeight="1">
      <c r="B80" s="4">
        <v>76</v>
      </c>
      <c r="C80" s="39" t="s">
        <v>558</v>
      </c>
      <c r="D80" s="5" t="str">
        <f t="shared" si="39"/>
        <v xml:space="preserve"> 534</v>
      </c>
      <c r="E80" s="6" t="s">
        <v>558</v>
      </c>
      <c r="F80" s="7">
        <f t="shared" si="40"/>
        <v>0</v>
      </c>
      <c r="G80" s="8" t="s">
        <v>21</v>
      </c>
      <c r="H80" s="8" t="s">
        <v>316</v>
      </c>
      <c r="I80" s="8" t="s">
        <v>559</v>
      </c>
      <c r="J80" s="101">
        <v>126000</v>
      </c>
      <c r="K80" s="101">
        <f t="shared" si="55"/>
        <v>0</v>
      </c>
      <c r="L80" s="115" t="s">
        <v>1438</v>
      </c>
      <c r="M80" s="97">
        <f>J80</f>
        <v>126000</v>
      </c>
      <c r="N80" s="98">
        <f t="shared" ref="N80" si="72">2000+3000+500+200+300</f>
        <v>6000</v>
      </c>
      <c r="O80" s="112">
        <f t="shared" si="60"/>
        <v>132000</v>
      </c>
      <c r="P80" s="106" t="s">
        <v>1437</v>
      </c>
      <c r="Q80" s="99" t="s">
        <v>1423</v>
      </c>
      <c r="R80" s="37"/>
      <c r="S80" s="37">
        <f t="shared" si="67"/>
        <v>132000</v>
      </c>
      <c r="T80" s="37">
        <f t="shared" si="57"/>
        <v>188571.42857142858</v>
      </c>
      <c r="U80" s="41">
        <f t="shared" si="58"/>
        <v>215510.20408163266</v>
      </c>
      <c r="V80" s="42">
        <f t="shared" si="68"/>
        <v>0.125</v>
      </c>
      <c r="W80" s="41">
        <f t="shared" si="69"/>
        <v>215600</v>
      </c>
      <c r="X80" s="43">
        <f t="shared" si="59"/>
        <v>0.30000000000000004</v>
      </c>
      <c r="Y80" s="46">
        <v>190050</v>
      </c>
      <c r="Z80" s="47">
        <f t="shared" si="70"/>
        <v>-1478.5714285714203</v>
      </c>
      <c r="AA80" s="48">
        <f t="shared" si="71"/>
        <v>-7.7799075431277042E-3</v>
      </c>
    </row>
    <row r="81" spans="2:27" ht="14.4" customHeight="1">
      <c r="B81" s="4">
        <v>77</v>
      </c>
      <c r="C81" s="39" t="s">
        <v>560</v>
      </c>
      <c r="D81" s="5" t="str">
        <f t="shared" si="39"/>
        <v xml:space="preserve"> 881</v>
      </c>
      <c r="E81" s="6" t="s">
        <v>560</v>
      </c>
      <c r="F81" s="7">
        <f t="shared" si="40"/>
        <v>0</v>
      </c>
      <c r="G81" s="8" t="s">
        <v>299</v>
      </c>
      <c r="H81" s="8" t="s">
        <v>316</v>
      </c>
      <c r="I81" s="8" t="s">
        <v>543</v>
      </c>
      <c r="J81" s="12"/>
      <c r="K81" s="13">
        <f t="shared" si="55"/>
        <v>0</v>
      </c>
      <c r="L81" s="7"/>
      <c r="M81" s="14">
        <f t="shared" si="47"/>
        <v>0</v>
      </c>
      <c r="N81" s="15"/>
      <c r="O81" s="40">
        <f t="shared" si="60"/>
        <v>0</v>
      </c>
      <c r="P81" s="106"/>
      <c r="Q81" s="3"/>
      <c r="R81" s="37"/>
      <c r="S81" s="37">
        <f t="shared" si="67"/>
        <v>0</v>
      </c>
      <c r="T81" s="37">
        <f t="shared" si="57"/>
        <v>0</v>
      </c>
      <c r="U81" s="41">
        <f t="shared" si="58"/>
        <v>0</v>
      </c>
      <c r="V81" s="42" t="e">
        <f t="shared" si="68"/>
        <v>#DIV/0!</v>
      </c>
      <c r="W81" s="41">
        <f t="shared" si="69"/>
        <v>0</v>
      </c>
      <c r="X81" s="43" t="e">
        <f t="shared" si="59"/>
        <v>#DIV/0!</v>
      </c>
      <c r="Y81" s="44"/>
      <c r="Z81" s="44"/>
      <c r="AA81" s="44"/>
    </row>
    <row r="82" spans="2:27" ht="14.4" customHeight="1">
      <c r="B82" s="4">
        <v>78</v>
      </c>
      <c r="C82" s="39" t="s">
        <v>561</v>
      </c>
      <c r="D82" s="5" t="str">
        <f t="shared" si="39"/>
        <v xml:space="preserve"> 172</v>
      </c>
      <c r="E82" s="6" t="s">
        <v>561</v>
      </c>
      <c r="F82" s="7">
        <f t="shared" si="40"/>
        <v>0</v>
      </c>
      <c r="G82" s="8" t="s">
        <v>299</v>
      </c>
      <c r="H82" s="8" t="s">
        <v>316</v>
      </c>
      <c r="I82" s="8" t="s">
        <v>517</v>
      </c>
      <c r="J82" s="12"/>
      <c r="K82" s="13">
        <f t="shared" si="55"/>
        <v>0</v>
      </c>
      <c r="L82" s="7"/>
      <c r="M82" s="14">
        <f t="shared" si="47"/>
        <v>0</v>
      </c>
      <c r="N82" s="15"/>
      <c r="O82" s="40">
        <f t="shared" si="60"/>
        <v>0</v>
      </c>
      <c r="P82" s="106"/>
      <c r="Q82" s="3"/>
      <c r="R82" s="37"/>
      <c r="S82" s="37">
        <f t="shared" si="67"/>
        <v>0</v>
      </c>
      <c r="T82" s="37">
        <f t="shared" si="57"/>
        <v>0</v>
      </c>
      <c r="U82" s="41">
        <f t="shared" si="58"/>
        <v>0</v>
      </c>
      <c r="V82" s="42" t="e">
        <f t="shared" si="68"/>
        <v>#DIV/0!</v>
      </c>
      <c r="W82" s="41">
        <f t="shared" si="69"/>
        <v>0</v>
      </c>
      <c r="X82" s="43" t="e">
        <f t="shared" si="59"/>
        <v>#DIV/0!</v>
      </c>
      <c r="Y82" s="44"/>
      <c r="Z82" s="44"/>
      <c r="AA82" s="44"/>
    </row>
    <row r="83" spans="2:27" ht="14.4" customHeight="1">
      <c r="B83" s="4">
        <v>79</v>
      </c>
      <c r="C83" s="5" t="s">
        <v>476</v>
      </c>
      <c r="D83" s="5" t="str">
        <f t="shared" si="39"/>
        <v xml:space="preserve"> 832</v>
      </c>
      <c r="E83" s="6" t="s">
        <v>476</v>
      </c>
      <c r="F83" s="7">
        <f t="shared" si="40"/>
        <v>0</v>
      </c>
      <c r="G83" s="11" t="s">
        <v>299</v>
      </c>
      <c r="H83" s="11" t="s">
        <v>319</v>
      </c>
      <c r="I83" s="11" t="s">
        <v>352</v>
      </c>
      <c r="J83" s="12"/>
      <c r="K83" s="13">
        <f t="shared" si="55"/>
        <v>0</v>
      </c>
      <c r="L83" s="7"/>
      <c r="M83" s="14">
        <f t="shared" si="47"/>
        <v>0</v>
      </c>
      <c r="N83" s="15"/>
      <c r="O83" s="40">
        <f t="shared" si="60"/>
        <v>0</v>
      </c>
      <c r="P83" s="106"/>
      <c r="Q83" s="3"/>
      <c r="R83" s="37"/>
      <c r="S83" s="37">
        <f t="shared" si="67"/>
        <v>0</v>
      </c>
      <c r="T83" s="37">
        <f t="shared" si="57"/>
        <v>0</v>
      </c>
      <c r="U83" s="41">
        <f t="shared" si="58"/>
        <v>0</v>
      </c>
      <c r="V83" s="42" t="e">
        <f t="shared" si="68"/>
        <v>#DIV/0!</v>
      </c>
      <c r="W83" s="41">
        <f t="shared" si="69"/>
        <v>0</v>
      </c>
      <c r="X83" s="43" t="e">
        <f t="shared" si="59"/>
        <v>#DIV/0!</v>
      </c>
      <c r="Y83" s="44"/>
      <c r="Z83" s="44"/>
      <c r="AA83" s="44"/>
    </row>
    <row r="84" spans="2:27" ht="14.4" customHeight="1">
      <c r="B84" s="4">
        <v>80</v>
      </c>
      <c r="C84" s="39" t="s">
        <v>562</v>
      </c>
      <c r="D84" s="5" t="str">
        <f t="shared" si="39"/>
        <v xml:space="preserve"> 652</v>
      </c>
      <c r="E84" s="6" t="s">
        <v>562</v>
      </c>
      <c r="F84" s="7">
        <f t="shared" si="40"/>
        <v>0</v>
      </c>
      <c r="G84" s="8" t="s">
        <v>21</v>
      </c>
      <c r="H84" s="8" t="s">
        <v>319</v>
      </c>
      <c r="I84" s="8" t="s">
        <v>563</v>
      </c>
      <c r="J84" s="101">
        <v>120000</v>
      </c>
      <c r="K84" s="101">
        <f t="shared" si="55"/>
        <v>0</v>
      </c>
      <c r="L84" s="115" t="s">
        <v>1438</v>
      </c>
      <c r="M84" s="97">
        <f>J84</f>
        <v>120000</v>
      </c>
      <c r="N84" s="98">
        <f t="shared" ref="N84" si="73">2000+2850+500+200+200</f>
        <v>5750</v>
      </c>
      <c r="O84" s="112">
        <f t="shared" si="60"/>
        <v>125750</v>
      </c>
      <c r="P84" s="106"/>
      <c r="Q84" s="99" t="s">
        <v>1430</v>
      </c>
      <c r="R84" s="37"/>
      <c r="S84" s="37">
        <f t="shared" si="67"/>
        <v>125750</v>
      </c>
      <c r="T84" s="37">
        <f t="shared" si="57"/>
        <v>179642.85714285716</v>
      </c>
      <c r="U84" s="41">
        <f t="shared" si="58"/>
        <v>205306.12244897962</v>
      </c>
      <c r="V84" s="42">
        <f t="shared" si="68"/>
        <v>0.12500000000000003</v>
      </c>
      <c r="W84" s="41">
        <f t="shared" si="69"/>
        <v>205400</v>
      </c>
      <c r="X84" s="43">
        <f t="shared" si="59"/>
        <v>0.30000000000000004</v>
      </c>
      <c r="Y84" s="46">
        <v>179725</v>
      </c>
      <c r="Z84" s="47">
        <f t="shared" ref="Z84" si="74">T84-Y84</f>
        <v>-82.142857142840512</v>
      </c>
      <c r="AA84" s="48">
        <f t="shared" ref="AA84" si="75">Z84/Y84</f>
        <v>-4.5704747332224514E-4</v>
      </c>
    </row>
    <row r="85" spans="2:27" ht="14.4" customHeight="1">
      <c r="B85" s="4">
        <v>81</v>
      </c>
      <c r="C85" s="5" t="s">
        <v>25</v>
      </c>
      <c r="D85" s="5" t="str">
        <f t="shared" si="39"/>
        <v xml:space="preserve"> 899</v>
      </c>
      <c r="E85" s="6" t="s">
        <v>25</v>
      </c>
      <c r="F85" s="7">
        <f t="shared" si="40"/>
        <v>0</v>
      </c>
      <c r="G85" s="11" t="s">
        <v>21</v>
      </c>
      <c r="H85" s="11" t="s">
        <v>319</v>
      </c>
      <c r="I85" s="11" t="s">
        <v>352</v>
      </c>
      <c r="J85" s="12">
        <v>140000</v>
      </c>
      <c r="K85" s="13">
        <f t="shared" si="55"/>
        <v>6000</v>
      </c>
      <c r="L85" s="7" t="s">
        <v>24</v>
      </c>
      <c r="M85" s="14">
        <f t="shared" ref="M85:M100" si="76">J85-N85</f>
        <v>134000</v>
      </c>
      <c r="N85" s="15">
        <f>2000+200+200+600+3000</f>
        <v>6000</v>
      </c>
      <c r="O85" s="40">
        <f t="shared" si="60"/>
        <v>140000</v>
      </c>
      <c r="P85" s="106"/>
      <c r="Q85" s="3" t="s">
        <v>415</v>
      </c>
      <c r="R85" s="37"/>
      <c r="S85" s="37">
        <f t="shared" si="67"/>
        <v>140000</v>
      </c>
      <c r="T85" s="37">
        <f t="shared" si="57"/>
        <v>200000</v>
      </c>
      <c r="U85" s="41">
        <f t="shared" si="58"/>
        <v>228571.42857142858</v>
      </c>
      <c r="V85" s="42">
        <f t="shared" si="68"/>
        <v>0.12500000000000003</v>
      </c>
      <c r="W85" s="41">
        <f t="shared" si="69"/>
        <v>228600</v>
      </c>
      <c r="X85" s="43">
        <f t="shared" si="59"/>
        <v>0.3</v>
      </c>
      <c r="Y85" s="46">
        <v>192150</v>
      </c>
      <c r="Z85" s="47">
        <f>T85-Y85</f>
        <v>7850</v>
      </c>
      <c r="AA85" s="48">
        <f>Z85/Y85</f>
        <v>4.0853499869893312E-2</v>
      </c>
    </row>
    <row r="86" spans="2:27" ht="14.4" customHeight="1">
      <c r="B86" s="4">
        <v>82</v>
      </c>
      <c r="C86" s="39" t="s">
        <v>564</v>
      </c>
      <c r="D86" s="5" t="str">
        <f t="shared" si="39"/>
        <v xml:space="preserve"> 678</v>
      </c>
      <c r="E86" s="6" t="s">
        <v>564</v>
      </c>
      <c r="F86" s="7">
        <f t="shared" si="40"/>
        <v>0</v>
      </c>
      <c r="G86" s="8" t="s">
        <v>21</v>
      </c>
      <c r="H86" s="8" t="s">
        <v>319</v>
      </c>
      <c r="I86" s="8" t="s">
        <v>563</v>
      </c>
      <c r="J86" s="101">
        <v>200000</v>
      </c>
      <c r="K86" s="101">
        <f t="shared" si="55"/>
        <v>0</v>
      </c>
      <c r="L86" s="115" t="s">
        <v>1438</v>
      </c>
      <c r="M86" s="97">
        <f>J86</f>
        <v>200000</v>
      </c>
      <c r="N86" s="98">
        <f t="shared" ref="N86" si="77">2000+2850+500+200+200</f>
        <v>5750</v>
      </c>
      <c r="O86" s="112">
        <f t="shared" si="60"/>
        <v>205750</v>
      </c>
      <c r="P86" s="106"/>
      <c r="Q86" s="99" t="s">
        <v>1430</v>
      </c>
      <c r="R86" s="37"/>
      <c r="S86" s="37">
        <f t="shared" si="67"/>
        <v>205750</v>
      </c>
      <c r="T86" s="37">
        <f t="shared" si="57"/>
        <v>293928.57142857142</v>
      </c>
      <c r="U86" s="41">
        <f t="shared" si="58"/>
        <v>335918.36734693876</v>
      </c>
      <c r="V86" s="42">
        <f t="shared" si="68"/>
        <v>0.12499999999999997</v>
      </c>
      <c r="W86" s="41">
        <f t="shared" si="69"/>
        <v>336000</v>
      </c>
      <c r="X86" s="43">
        <f t="shared" si="59"/>
        <v>0.3</v>
      </c>
      <c r="Y86" s="46">
        <v>289713</v>
      </c>
      <c r="Z86" s="47">
        <f>T86-Y86</f>
        <v>4215.5714285714203</v>
      </c>
      <c r="AA86" s="48">
        <f>Z86/Y86</f>
        <v>1.4550853529428849E-2</v>
      </c>
    </row>
    <row r="87" spans="2:27" ht="14.4" customHeight="1">
      <c r="B87" s="4">
        <v>83</v>
      </c>
      <c r="C87" s="5" t="s">
        <v>207</v>
      </c>
      <c r="D87" s="5" t="str">
        <f t="shared" si="39"/>
        <v xml:space="preserve"> 902</v>
      </c>
      <c r="E87" s="6" t="s">
        <v>207</v>
      </c>
      <c r="F87" s="7">
        <f t="shared" si="40"/>
        <v>0</v>
      </c>
      <c r="G87" s="11" t="s">
        <v>299</v>
      </c>
      <c r="H87" s="11" t="s">
        <v>319</v>
      </c>
      <c r="I87" s="11" t="s">
        <v>352</v>
      </c>
      <c r="J87" s="12">
        <v>244000</v>
      </c>
      <c r="K87" s="13">
        <f t="shared" si="55"/>
        <v>6000</v>
      </c>
      <c r="L87" s="7" t="s">
        <v>24</v>
      </c>
      <c r="M87" s="14">
        <f t="shared" si="76"/>
        <v>238000</v>
      </c>
      <c r="N87" s="15">
        <f>2000+200+200+600+3000</f>
        <v>6000</v>
      </c>
      <c r="O87" s="40">
        <f t="shared" si="60"/>
        <v>244000</v>
      </c>
      <c r="P87" s="106"/>
      <c r="Q87" s="3" t="s">
        <v>415</v>
      </c>
      <c r="R87" s="37"/>
      <c r="S87" s="37">
        <f t="shared" si="67"/>
        <v>244000</v>
      </c>
      <c r="T87" s="37">
        <f t="shared" si="57"/>
        <v>348571.42857142858</v>
      </c>
      <c r="U87" s="41">
        <f t="shared" si="58"/>
        <v>398367.3469387755</v>
      </c>
      <c r="V87" s="42">
        <f t="shared" si="68"/>
        <v>0.12499999999999996</v>
      </c>
      <c r="W87" s="41">
        <f t="shared" si="69"/>
        <v>398400</v>
      </c>
      <c r="X87" s="43">
        <f t="shared" si="59"/>
        <v>0.30000000000000004</v>
      </c>
      <c r="Y87" s="44"/>
      <c r="Z87" s="44"/>
      <c r="AA87" s="44"/>
    </row>
    <row r="88" spans="2:27" ht="14.4" customHeight="1">
      <c r="B88" s="4">
        <v>84</v>
      </c>
      <c r="C88" s="39" t="s">
        <v>565</v>
      </c>
      <c r="D88" s="5" t="str">
        <f t="shared" si="39"/>
        <v xml:space="preserve"> 173</v>
      </c>
      <c r="E88" s="6" t="s">
        <v>565</v>
      </c>
      <c r="F88" s="7">
        <f t="shared" si="40"/>
        <v>0</v>
      </c>
      <c r="G88" s="8" t="s">
        <v>21</v>
      </c>
      <c r="H88" s="8" t="s">
        <v>319</v>
      </c>
      <c r="I88" s="8" t="s">
        <v>563</v>
      </c>
      <c r="J88" s="101">
        <v>200000</v>
      </c>
      <c r="K88" s="101">
        <f t="shared" si="55"/>
        <v>0</v>
      </c>
      <c r="L88" s="115" t="s">
        <v>1438</v>
      </c>
      <c r="M88" s="97">
        <f>J88</f>
        <v>200000</v>
      </c>
      <c r="N88" s="98">
        <f t="shared" ref="N88" si="78">2000+2850+500+200+200</f>
        <v>5750</v>
      </c>
      <c r="O88" s="112">
        <f t="shared" si="60"/>
        <v>205750</v>
      </c>
      <c r="P88" s="106"/>
      <c r="Q88" s="99" t="s">
        <v>1430</v>
      </c>
      <c r="R88" s="37"/>
      <c r="S88" s="37">
        <f t="shared" si="67"/>
        <v>205750</v>
      </c>
      <c r="T88" s="37">
        <f t="shared" si="57"/>
        <v>293928.57142857142</v>
      </c>
      <c r="U88" s="41">
        <f t="shared" si="58"/>
        <v>335918.36734693876</v>
      </c>
      <c r="V88" s="42">
        <f t="shared" si="68"/>
        <v>0.12499999999999997</v>
      </c>
      <c r="W88" s="41">
        <f t="shared" si="69"/>
        <v>336000</v>
      </c>
      <c r="X88" s="43">
        <f t="shared" si="59"/>
        <v>0.3</v>
      </c>
      <c r="Y88" s="46">
        <v>289713</v>
      </c>
      <c r="Z88" s="47">
        <f>T88-Y88</f>
        <v>4215.5714285714203</v>
      </c>
      <c r="AA88" s="48">
        <f>Z88/Y88</f>
        <v>1.4550853529428849E-2</v>
      </c>
    </row>
    <row r="89" spans="2:27" ht="14.4" customHeight="1">
      <c r="B89" s="4">
        <v>85</v>
      </c>
      <c r="C89" s="5" t="s">
        <v>206</v>
      </c>
      <c r="D89" s="5" t="str">
        <f t="shared" si="39"/>
        <v xml:space="preserve"> 573</v>
      </c>
      <c r="E89" s="6" t="s">
        <v>206</v>
      </c>
      <c r="F89" s="7">
        <f t="shared" si="40"/>
        <v>0</v>
      </c>
      <c r="G89" s="11" t="s">
        <v>299</v>
      </c>
      <c r="H89" s="11" t="s">
        <v>319</v>
      </c>
      <c r="I89" s="11" t="s">
        <v>352</v>
      </c>
      <c r="J89" s="12">
        <v>206000</v>
      </c>
      <c r="K89" s="13">
        <f t="shared" si="55"/>
        <v>6000</v>
      </c>
      <c r="L89" s="7" t="s">
        <v>24</v>
      </c>
      <c r="M89" s="14">
        <f t="shared" si="76"/>
        <v>200000</v>
      </c>
      <c r="N89" s="15">
        <f>2000+200+200+600+3000</f>
        <v>6000</v>
      </c>
      <c r="O89" s="40">
        <f t="shared" si="60"/>
        <v>206000</v>
      </c>
      <c r="P89" s="108"/>
      <c r="Q89" s="3" t="s">
        <v>415</v>
      </c>
      <c r="R89" s="37"/>
      <c r="S89" s="37">
        <f t="shared" si="67"/>
        <v>206000</v>
      </c>
      <c r="T89" s="37">
        <f t="shared" si="57"/>
        <v>294285.71428571432</v>
      </c>
      <c r="U89" s="41">
        <f t="shared" si="58"/>
        <v>336326.53061224491</v>
      </c>
      <c r="V89" s="42">
        <f t="shared" si="68"/>
        <v>0.12499999999999993</v>
      </c>
      <c r="W89" s="41">
        <f t="shared" si="69"/>
        <v>336400</v>
      </c>
      <c r="X89" s="43">
        <f t="shared" si="59"/>
        <v>0.3000000000000001</v>
      </c>
      <c r="Y89" s="44"/>
      <c r="Z89" s="44"/>
      <c r="AA89" s="44"/>
    </row>
    <row r="90" spans="2:27" ht="14.4" customHeight="1">
      <c r="B90" s="4">
        <v>86</v>
      </c>
      <c r="C90" s="5" t="s">
        <v>208</v>
      </c>
      <c r="D90" s="5" t="str">
        <f t="shared" si="39"/>
        <v xml:space="preserve"> 666</v>
      </c>
      <c r="E90" s="6" t="s">
        <v>208</v>
      </c>
      <c r="F90" s="7">
        <f t="shared" si="40"/>
        <v>0</v>
      </c>
      <c r="G90" s="11" t="s">
        <v>299</v>
      </c>
      <c r="H90" s="11" t="s">
        <v>319</v>
      </c>
      <c r="I90" s="11" t="s">
        <v>352</v>
      </c>
      <c r="J90" s="12">
        <v>214000</v>
      </c>
      <c r="K90" s="13">
        <f t="shared" si="55"/>
        <v>6000</v>
      </c>
      <c r="L90" s="7" t="s">
        <v>24</v>
      </c>
      <c r="M90" s="14">
        <f t="shared" si="76"/>
        <v>208000</v>
      </c>
      <c r="N90" s="15">
        <f>2000+200+200+600+3000</f>
        <v>6000</v>
      </c>
      <c r="O90" s="40">
        <f t="shared" si="60"/>
        <v>214000</v>
      </c>
      <c r="P90" s="106"/>
      <c r="Q90" s="3" t="s">
        <v>415</v>
      </c>
      <c r="R90" s="37"/>
      <c r="S90" s="37">
        <f t="shared" si="67"/>
        <v>214000</v>
      </c>
      <c r="T90" s="37">
        <f t="shared" si="57"/>
        <v>305714.28571428574</v>
      </c>
      <c r="U90" s="41">
        <f t="shared" si="58"/>
        <v>349387.75510204083</v>
      </c>
      <c r="V90" s="42">
        <f t="shared" si="68"/>
        <v>0.12499999999999996</v>
      </c>
      <c r="W90" s="41">
        <f t="shared" si="69"/>
        <v>349400</v>
      </c>
      <c r="X90" s="43">
        <f t="shared" si="59"/>
        <v>0.30000000000000004</v>
      </c>
      <c r="Y90" s="44"/>
      <c r="Z90" s="44"/>
      <c r="AA90" s="44"/>
    </row>
    <row r="91" spans="2:27" ht="14.4" customHeight="1">
      <c r="B91" s="4">
        <v>87</v>
      </c>
      <c r="C91" s="5" t="s">
        <v>1356</v>
      </c>
      <c r="D91" s="5" t="str">
        <f t="shared" si="39"/>
        <v xml:space="preserve"> 151</v>
      </c>
      <c r="E91" s="6" t="s">
        <v>1356</v>
      </c>
      <c r="F91" s="7">
        <f t="shared" si="40"/>
        <v>0</v>
      </c>
      <c r="G91" s="11" t="s">
        <v>299</v>
      </c>
      <c r="H91" s="11" t="s">
        <v>319</v>
      </c>
      <c r="I91" s="11" t="s">
        <v>1357</v>
      </c>
      <c r="J91" s="12">
        <v>130000</v>
      </c>
      <c r="K91" s="13">
        <f t="shared" si="55"/>
        <v>6000</v>
      </c>
      <c r="L91" s="7"/>
      <c r="M91" s="14">
        <f t="shared" si="76"/>
        <v>124000</v>
      </c>
      <c r="N91" s="15">
        <f>2000+200+200+600+3000</f>
        <v>6000</v>
      </c>
      <c r="O91" s="40">
        <f t="shared" si="60"/>
        <v>130000</v>
      </c>
      <c r="P91" s="106"/>
      <c r="Q91" s="78" t="s">
        <v>1367</v>
      </c>
      <c r="R91" s="37"/>
      <c r="S91" s="37">
        <f t="shared" si="67"/>
        <v>130000</v>
      </c>
      <c r="T91" s="37">
        <f t="shared" si="57"/>
        <v>185714.28571428574</v>
      </c>
      <c r="U91" s="41">
        <f t="shared" si="58"/>
        <v>212244.8979591837</v>
      </c>
      <c r="V91" s="42">
        <f t="shared" si="68"/>
        <v>0.12499999999999999</v>
      </c>
      <c r="W91" s="41">
        <f t="shared" si="69"/>
        <v>212300</v>
      </c>
      <c r="X91" s="43">
        <f t="shared" si="59"/>
        <v>0.3000000000000001</v>
      </c>
      <c r="Y91" s="44"/>
      <c r="Z91" s="44"/>
      <c r="AA91" s="44"/>
    </row>
    <row r="92" spans="2:27" ht="14.4" customHeight="1">
      <c r="B92" s="4">
        <v>88</v>
      </c>
      <c r="C92" s="5" t="s">
        <v>151</v>
      </c>
      <c r="D92" s="5" t="str">
        <f t="shared" si="39"/>
        <v xml:space="preserve"> 139</v>
      </c>
      <c r="E92" s="6" t="s">
        <v>151</v>
      </c>
      <c r="F92" s="7">
        <f t="shared" si="40"/>
        <v>0</v>
      </c>
      <c r="G92" s="11" t="s">
        <v>299</v>
      </c>
      <c r="H92" s="11" t="s">
        <v>311</v>
      </c>
      <c r="I92" s="11" t="s">
        <v>337</v>
      </c>
      <c r="J92" s="12">
        <v>80000</v>
      </c>
      <c r="K92" s="13">
        <f t="shared" si="55"/>
        <v>2800</v>
      </c>
      <c r="L92" s="7" t="s">
        <v>24</v>
      </c>
      <c r="M92" s="14">
        <f t="shared" si="76"/>
        <v>77200</v>
      </c>
      <c r="N92" s="14">
        <f>2000+200+600</f>
        <v>2800</v>
      </c>
      <c r="O92" s="40">
        <f t="shared" si="60"/>
        <v>80000</v>
      </c>
      <c r="P92" s="107"/>
      <c r="Q92" s="3" t="s">
        <v>392</v>
      </c>
      <c r="R92" s="37">
        <v>5000</v>
      </c>
      <c r="S92" s="37">
        <f t="shared" si="67"/>
        <v>85000</v>
      </c>
      <c r="T92" s="37">
        <f t="shared" si="57"/>
        <v>121428.57142857143</v>
      </c>
      <c r="U92" s="41">
        <f t="shared" si="58"/>
        <v>138775.51020408163</v>
      </c>
      <c r="V92" s="42">
        <f t="shared" si="68"/>
        <v>0.12499999999999992</v>
      </c>
      <c r="W92" s="41">
        <f t="shared" si="69"/>
        <v>138800</v>
      </c>
      <c r="X92" s="43">
        <f t="shared" si="59"/>
        <v>0.3411764705882353</v>
      </c>
      <c r="Y92" s="44"/>
      <c r="Z92" s="44"/>
      <c r="AA92" s="45"/>
    </row>
    <row r="93" spans="2:27" ht="14.4" customHeight="1">
      <c r="B93" s="4">
        <v>89</v>
      </c>
      <c r="C93" s="5" t="s">
        <v>150</v>
      </c>
      <c r="D93" s="5" t="str">
        <f t="shared" si="39"/>
        <v xml:space="preserve"> 426</v>
      </c>
      <c r="E93" s="6" t="s">
        <v>150</v>
      </c>
      <c r="F93" s="7">
        <f t="shared" si="40"/>
        <v>0</v>
      </c>
      <c r="G93" s="11" t="s">
        <v>299</v>
      </c>
      <c r="H93" s="11" t="s">
        <v>311</v>
      </c>
      <c r="I93" s="11" t="s">
        <v>337</v>
      </c>
      <c r="J93" s="12">
        <v>80000</v>
      </c>
      <c r="K93" s="13">
        <f t="shared" si="55"/>
        <v>2800</v>
      </c>
      <c r="L93" s="7" t="s">
        <v>24</v>
      </c>
      <c r="M93" s="14">
        <f t="shared" si="76"/>
        <v>77200</v>
      </c>
      <c r="N93" s="14">
        <f>2000+200+600</f>
        <v>2800</v>
      </c>
      <c r="O93" s="40">
        <f t="shared" si="60"/>
        <v>80000</v>
      </c>
      <c r="P93" s="107"/>
      <c r="Q93" s="3" t="s">
        <v>392</v>
      </c>
      <c r="R93" s="37">
        <v>5000</v>
      </c>
      <c r="S93" s="37">
        <f t="shared" si="67"/>
        <v>85000</v>
      </c>
      <c r="T93" s="37">
        <f t="shared" si="57"/>
        <v>121428.57142857143</v>
      </c>
      <c r="U93" s="41">
        <f t="shared" si="58"/>
        <v>138775.51020408163</v>
      </c>
      <c r="V93" s="42">
        <f t="shared" si="68"/>
        <v>0.12499999999999992</v>
      </c>
      <c r="W93" s="41">
        <f t="shared" si="69"/>
        <v>138800</v>
      </c>
      <c r="X93" s="43">
        <f t="shared" si="59"/>
        <v>0.3411764705882353</v>
      </c>
      <c r="Y93" s="44"/>
      <c r="Z93" s="44"/>
      <c r="AA93" s="45"/>
    </row>
    <row r="94" spans="2:27" ht="14.4" customHeight="1">
      <c r="B94" s="4">
        <v>90</v>
      </c>
      <c r="C94" s="5" t="s">
        <v>28</v>
      </c>
      <c r="D94" s="5" t="str">
        <f t="shared" si="39"/>
        <v xml:space="preserve"> 923</v>
      </c>
      <c r="E94" s="6" t="s">
        <v>28</v>
      </c>
      <c r="F94" s="7">
        <f>IF(C94=E94,0,1)</f>
        <v>0</v>
      </c>
      <c r="G94" s="11" t="s">
        <v>21</v>
      </c>
      <c r="H94" s="11" t="s">
        <v>319</v>
      </c>
      <c r="I94" s="11" t="s">
        <v>352</v>
      </c>
      <c r="J94" s="12">
        <v>90000</v>
      </c>
      <c r="K94" s="13">
        <f t="shared" si="55"/>
        <v>3750</v>
      </c>
      <c r="L94" s="7" t="s">
        <v>24</v>
      </c>
      <c r="M94" s="14">
        <f t="shared" si="76"/>
        <v>86250</v>
      </c>
      <c r="N94" s="15">
        <f>2000+200+200+600+750</f>
        <v>3750</v>
      </c>
      <c r="O94" s="40">
        <f t="shared" si="60"/>
        <v>90000</v>
      </c>
      <c r="P94" s="107"/>
      <c r="Q94" s="3" t="s">
        <v>416</v>
      </c>
      <c r="R94" s="37"/>
      <c r="S94" s="37">
        <f t="shared" si="67"/>
        <v>90000</v>
      </c>
      <c r="T94" s="37">
        <f t="shared" si="57"/>
        <v>128571.42857142858</v>
      </c>
      <c r="U94" s="41">
        <f t="shared" si="58"/>
        <v>146938.77551020408</v>
      </c>
      <c r="V94" s="42">
        <f t="shared" si="68"/>
        <v>0.12499999999999994</v>
      </c>
      <c r="W94" s="41">
        <f t="shared" si="69"/>
        <v>147000</v>
      </c>
      <c r="X94" s="43">
        <f t="shared" si="59"/>
        <v>0.30000000000000004</v>
      </c>
      <c r="Y94" s="46">
        <v>107188</v>
      </c>
      <c r="Z94" s="47">
        <f>T94-Y94</f>
        <v>21383.42857142858</v>
      </c>
      <c r="AA94" s="48">
        <f>Z94/Y94</f>
        <v>0.19949461293641621</v>
      </c>
    </row>
    <row r="95" spans="2:27" ht="14.4" customHeight="1">
      <c r="B95" s="4">
        <v>91</v>
      </c>
      <c r="C95" s="39" t="s">
        <v>566</v>
      </c>
      <c r="D95" s="5" t="str">
        <f t="shared" si="39"/>
        <v xml:space="preserve"> 889</v>
      </c>
      <c r="E95" s="6" t="s">
        <v>566</v>
      </c>
      <c r="F95" s="7">
        <f t="shared" ref="F95:F100" si="79">IF(C95=E95,0,1)</f>
        <v>0</v>
      </c>
      <c r="G95" s="8" t="s">
        <v>299</v>
      </c>
      <c r="H95" s="8" t="s">
        <v>567</v>
      </c>
      <c r="I95" s="8" t="s">
        <v>517</v>
      </c>
      <c r="J95" s="12"/>
      <c r="K95" s="13">
        <f t="shared" si="55"/>
        <v>0</v>
      </c>
      <c r="L95" s="7"/>
      <c r="M95" s="14">
        <f t="shared" si="76"/>
        <v>0</v>
      </c>
      <c r="N95" s="15"/>
      <c r="O95" s="40">
        <f t="shared" si="60"/>
        <v>0</v>
      </c>
      <c r="P95" s="107"/>
      <c r="Q95" s="3"/>
      <c r="R95" s="37"/>
      <c r="S95" s="37">
        <f t="shared" si="67"/>
        <v>0</v>
      </c>
      <c r="T95" s="37">
        <f t="shared" si="57"/>
        <v>0</v>
      </c>
      <c r="U95" s="41">
        <f t="shared" si="58"/>
        <v>0</v>
      </c>
      <c r="V95" s="42" t="e">
        <f t="shared" si="68"/>
        <v>#DIV/0!</v>
      </c>
      <c r="W95" s="41">
        <f t="shared" si="69"/>
        <v>0</v>
      </c>
      <c r="X95" s="43" t="e">
        <f t="shared" si="59"/>
        <v>#DIV/0!</v>
      </c>
      <c r="Y95" s="46"/>
      <c r="Z95" s="47"/>
      <c r="AA95" s="48"/>
    </row>
    <row r="96" spans="2:27" ht="14.4" customHeight="1">
      <c r="B96" s="4">
        <v>92</v>
      </c>
      <c r="C96" s="39" t="s">
        <v>568</v>
      </c>
      <c r="D96" s="5" t="str">
        <f t="shared" si="39"/>
        <v xml:space="preserve"> 475</v>
      </c>
      <c r="E96" s="6" t="s">
        <v>568</v>
      </c>
      <c r="F96" s="7">
        <f t="shared" si="79"/>
        <v>0</v>
      </c>
      <c r="G96" s="8" t="s">
        <v>21</v>
      </c>
      <c r="H96" s="8" t="s">
        <v>567</v>
      </c>
      <c r="I96" s="8" t="s">
        <v>569</v>
      </c>
      <c r="J96" s="101">
        <v>53000</v>
      </c>
      <c r="K96" s="101">
        <f>J96-M96</f>
        <v>0</v>
      </c>
      <c r="L96" s="115" t="s">
        <v>1438</v>
      </c>
      <c r="M96" s="97">
        <f>J96</f>
        <v>53000</v>
      </c>
      <c r="N96" s="98">
        <f t="shared" ref="N96" si="80">2000+500+500+200</f>
        <v>3200</v>
      </c>
      <c r="O96" s="112">
        <f>M96+N96</f>
        <v>56200</v>
      </c>
      <c r="P96" s="106"/>
      <c r="Q96" s="99" t="s">
        <v>1422</v>
      </c>
      <c r="R96" s="37"/>
      <c r="S96" s="37">
        <f t="shared" si="67"/>
        <v>56200</v>
      </c>
      <c r="T96" s="37">
        <f t="shared" si="57"/>
        <v>80285.71428571429</v>
      </c>
      <c r="U96" s="41">
        <f t="shared" si="58"/>
        <v>91755.102040816331</v>
      </c>
      <c r="V96" s="42">
        <f t="shared" si="68"/>
        <v>0.125</v>
      </c>
      <c r="W96" s="41">
        <f t="shared" si="69"/>
        <v>91800</v>
      </c>
      <c r="X96" s="43">
        <f t="shared" si="59"/>
        <v>0.30000000000000004</v>
      </c>
      <c r="Y96" s="46">
        <v>81725</v>
      </c>
      <c r="Z96" s="47">
        <f>T96-Y96</f>
        <v>-1439.2857142857101</v>
      </c>
      <c r="AA96" s="48">
        <f>Z96/Y96</f>
        <v>-1.761132718612065E-2</v>
      </c>
    </row>
    <row r="97" spans="2:27" ht="14.4" customHeight="1">
      <c r="B97" s="4">
        <v>93</v>
      </c>
      <c r="C97" s="39" t="s">
        <v>570</v>
      </c>
      <c r="D97" s="5" t="str">
        <f t="shared" si="39"/>
        <v xml:space="preserve"> 282</v>
      </c>
      <c r="E97" s="6" t="s">
        <v>570</v>
      </c>
      <c r="F97" s="7">
        <f t="shared" si="79"/>
        <v>0</v>
      </c>
      <c r="G97" s="8" t="s">
        <v>299</v>
      </c>
      <c r="H97" s="8" t="s">
        <v>567</v>
      </c>
      <c r="I97" s="8" t="s">
        <v>517</v>
      </c>
      <c r="J97" s="12"/>
      <c r="K97" s="13">
        <f t="shared" si="55"/>
        <v>0</v>
      </c>
      <c r="L97" s="7"/>
      <c r="M97" s="14">
        <f t="shared" si="76"/>
        <v>0</v>
      </c>
      <c r="N97" s="15"/>
      <c r="O97" s="40">
        <f t="shared" si="60"/>
        <v>0</v>
      </c>
      <c r="P97" s="107"/>
      <c r="Q97" s="3"/>
      <c r="R97" s="37"/>
      <c r="S97" s="37">
        <f t="shared" si="67"/>
        <v>0</v>
      </c>
      <c r="T97" s="37">
        <f t="shared" si="57"/>
        <v>0</v>
      </c>
      <c r="U97" s="41">
        <f t="shared" si="58"/>
        <v>0</v>
      </c>
      <c r="V97" s="42" t="e">
        <f t="shared" si="68"/>
        <v>#DIV/0!</v>
      </c>
      <c r="W97" s="41">
        <f t="shared" si="69"/>
        <v>0</v>
      </c>
      <c r="X97" s="43" t="e">
        <f t="shared" si="59"/>
        <v>#DIV/0!</v>
      </c>
      <c r="Y97" s="46"/>
      <c r="Z97" s="47"/>
      <c r="AA97" s="48"/>
    </row>
    <row r="98" spans="2:27" ht="14.4" customHeight="1">
      <c r="B98" s="4">
        <v>94</v>
      </c>
      <c r="C98" s="39" t="s">
        <v>571</v>
      </c>
      <c r="D98" s="5" t="str">
        <f t="shared" si="39"/>
        <v xml:space="preserve"> 524</v>
      </c>
      <c r="E98" s="6" t="s">
        <v>571</v>
      </c>
      <c r="F98" s="7">
        <f t="shared" si="79"/>
        <v>0</v>
      </c>
      <c r="G98" s="8" t="s">
        <v>299</v>
      </c>
      <c r="H98" s="8" t="s">
        <v>567</v>
      </c>
      <c r="I98" s="8" t="s">
        <v>572</v>
      </c>
      <c r="J98" s="12"/>
      <c r="K98" s="13">
        <f t="shared" si="55"/>
        <v>0</v>
      </c>
      <c r="L98" s="7"/>
      <c r="M98" s="14">
        <f t="shared" si="76"/>
        <v>0</v>
      </c>
      <c r="N98" s="15"/>
      <c r="O98" s="40">
        <f t="shared" si="60"/>
        <v>0</v>
      </c>
      <c r="P98" s="107"/>
      <c r="Q98" s="3"/>
      <c r="R98" s="37"/>
      <c r="S98" s="37">
        <f t="shared" si="67"/>
        <v>0</v>
      </c>
      <c r="T98" s="37">
        <f t="shared" si="57"/>
        <v>0</v>
      </c>
      <c r="U98" s="41">
        <f t="shared" si="58"/>
        <v>0</v>
      </c>
      <c r="V98" s="42" t="e">
        <f t="shared" si="68"/>
        <v>#DIV/0!</v>
      </c>
      <c r="W98" s="41">
        <f t="shared" si="69"/>
        <v>0</v>
      </c>
      <c r="X98" s="43" t="e">
        <f t="shared" si="59"/>
        <v>#DIV/0!</v>
      </c>
      <c r="Y98" s="46"/>
      <c r="Z98" s="47"/>
      <c r="AA98" s="48"/>
    </row>
    <row r="99" spans="2:27" ht="14.4" customHeight="1">
      <c r="B99" s="4">
        <v>95</v>
      </c>
      <c r="C99" s="39" t="s">
        <v>573</v>
      </c>
      <c r="D99" s="5" t="str">
        <f t="shared" si="39"/>
        <v xml:space="preserve"> 707</v>
      </c>
      <c r="E99" s="6" t="s">
        <v>573</v>
      </c>
      <c r="F99" s="7">
        <f t="shared" si="79"/>
        <v>0</v>
      </c>
      <c r="G99" s="8" t="s">
        <v>21</v>
      </c>
      <c r="H99" s="8" t="s">
        <v>567</v>
      </c>
      <c r="I99" s="8" t="s">
        <v>540</v>
      </c>
      <c r="J99" s="12"/>
      <c r="K99" s="13">
        <f t="shared" si="55"/>
        <v>0</v>
      </c>
      <c r="L99" s="7"/>
      <c r="M99" s="14">
        <f t="shared" si="76"/>
        <v>0</v>
      </c>
      <c r="N99" s="15"/>
      <c r="O99" s="40">
        <f t="shared" si="60"/>
        <v>0</v>
      </c>
      <c r="P99" s="107"/>
      <c r="Q99" s="3"/>
      <c r="R99" s="37"/>
      <c r="S99" s="37">
        <f t="shared" si="67"/>
        <v>0</v>
      </c>
      <c r="T99" s="37">
        <f t="shared" si="57"/>
        <v>0</v>
      </c>
      <c r="U99" s="41">
        <f t="shared" si="58"/>
        <v>0</v>
      </c>
      <c r="V99" s="42" t="e">
        <f t="shared" si="68"/>
        <v>#DIV/0!</v>
      </c>
      <c r="W99" s="41">
        <f t="shared" si="69"/>
        <v>0</v>
      </c>
      <c r="X99" s="43" t="e">
        <f t="shared" si="59"/>
        <v>#DIV/0!</v>
      </c>
      <c r="Y99" s="46">
        <v>96250</v>
      </c>
      <c r="Z99" s="47">
        <f>T99-Y99</f>
        <v>-96250</v>
      </c>
      <c r="AA99" s="48">
        <f>Z99/Y99</f>
        <v>-1</v>
      </c>
    </row>
    <row r="100" spans="2:27" ht="14.25" customHeight="1">
      <c r="B100" s="4">
        <v>96</v>
      </c>
      <c r="C100" s="39" t="s">
        <v>574</v>
      </c>
      <c r="D100" s="5" t="str">
        <f t="shared" si="39"/>
        <v xml:space="preserve"> 382</v>
      </c>
      <c r="E100" s="6" t="s">
        <v>574</v>
      </c>
      <c r="F100" s="7">
        <f t="shared" si="79"/>
        <v>0</v>
      </c>
      <c r="G100" s="8" t="s">
        <v>299</v>
      </c>
      <c r="H100" s="8" t="s">
        <v>567</v>
      </c>
      <c r="I100" s="8" t="s">
        <v>572</v>
      </c>
      <c r="J100" s="12"/>
      <c r="K100" s="13">
        <f t="shared" si="55"/>
        <v>0</v>
      </c>
      <c r="L100" s="7"/>
      <c r="M100" s="14">
        <f t="shared" si="76"/>
        <v>0</v>
      </c>
      <c r="N100" s="15"/>
      <c r="O100" s="40">
        <f t="shared" si="60"/>
        <v>0</v>
      </c>
      <c r="P100" s="107"/>
      <c r="Q100" s="3"/>
      <c r="R100" s="37"/>
      <c r="S100" s="37">
        <f t="shared" si="67"/>
        <v>0</v>
      </c>
      <c r="T100" s="37">
        <f t="shared" si="57"/>
        <v>0</v>
      </c>
      <c r="U100" s="41">
        <f t="shared" si="58"/>
        <v>0</v>
      </c>
      <c r="V100" s="42" t="e">
        <f t="shared" si="68"/>
        <v>#DIV/0!</v>
      </c>
      <c r="W100" s="41">
        <f t="shared" si="69"/>
        <v>0</v>
      </c>
      <c r="X100" s="43" t="e">
        <f t="shared" si="59"/>
        <v>#DIV/0!</v>
      </c>
      <c r="Y100" s="46"/>
      <c r="Z100" s="47"/>
      <c r="AA100" s="48"/>
    </row>
    <row r="101" spans="2:27" ht="14.4" customHeight="1">
      <c r="B101" s="4">
        <v>97</v>
      </c>
      <c r="C101" s="5" t="s">
        <v>298</v>
      </c>
      <c r="D101" s="5" t="str">
        <f t="shared" si="39"/>
        <v xml:space="preserve"> 793</v>
      </c>
      <c r="E101" s="6" t="s">
        <v>298</v>
      </c>
      <c r="F101" s="7">
        <f t="shared" si="40"/>
        <v>0</v>
      </c>
      <c r="G101" s="11" t="s">
        <v>299</v>
      </c>
      <c r="H101" s="11" t="s">
        <v>31</v>
      </c>
      <c r="I101" s="11" t="s">
        <v>372</v>
      </c>
      <c r="J101" s="12">
        <f>M101</f>
        <v>66000</v>
      </c>
      <c r="K101" s="13">
        <f t="shared" si="55"/>
        <v>0</v>
      </c>
      <c r="L101" s="17" t="s">
        <v>23</v>
      </c>
      <c r="M101" s="18">
        <v>66000</v>
      </c>
      <c r="N101" s="15">
        <f>2000+200+350+300+800+600</f>
        <v>4250</v>
      </c>
      <c r="O101" s="40">
        <f t="shared" si="60"/>
        <v>70250</v>
      </c>
      <c r="P101" s="106"/>
      <c r="Q101" s="3" t="s">
        <v>468</v>
      </c>
      <c r="R101" s="37"/>
      <c r="S101" s="37">
        <f t="shared" si="67"/>
        <v>70250</v>
      </c>
      <c r="T101" s="37">
        <f t="shared" si="57"/>
        <v>100357.14285714287</v>
      </c>
      <c r="U101" s="41">
        <f t="shared" si="58"/>
        <v>114693.87755102043</v>
      </c>
      <c r="V101" s="42">
        <f t="shared" si="68"/>
        <v>0.12500000000000006</v>
      </c>
      <c r="W101" s="41">
        <f t="shared" si="69"/>
        <v>114700</v>
      </c>
      <c r="X101" s="43">
        <f t="shared" si="59"/>
        <v>0.3000000000000001</v>
      </c>
      <c r="Y101" s="44"/>
      <c r="Z101" s="44"/>
      <c r="AA101" s="45"/>
    </row>
    <row r="102" spans="2:27" ht="14.4" customHeight="1">
      <c r="B102" s="4">
        <v>98</v>
      </c>
      <c r="C102" s="39" t="s">
        <v>575</v>
      </c>
      <c r="D102" s="5" t="str">
        <f t="shared" si="39"/>
        <v xml:space="preserve"> 444</v>
      </c>
      <c r="E102" s="6" t="s">
        <v>575</v>
      </c>
      <c r="F102" s="7">
        <f t="shared" si="40"/>
        <v>0</v>
      </c>
      <c r="G102" s="8" t="s">
        <v>299</v>
      </c>
      <c r="H102" s="8" t="s">
        <v>31</v>
      </c>
      <c r="I102" s="8" t="s">
        <v>515</v>
      </c>
      <c r="J102" s="12"/>
      <c r="K102" s="13">
        <f t="shared" si="55"/>
        <v>0</v>
      </c>
      <c r="L102" s="7"/>
      <c r="M102" s="14">
        <f t="shared" ref="M102" si="81">J102-N102</f>
        <v>0</v>
      </c>
      <c r="N102" s="15"/>
      <c r="O102" s="40">
        <f t="shared" si="60"/>
        <v>0</v>
      </c>
      <c r="P102" s="106"/>
      <c r="Q102" s="3"/>
      <c r="R102" s="37"/>
      <c r="S102" s="37">
        <f t="shared" si="67"/>
        <v>0</v>
      </c>
      <c r="T102" s="37">
        <f t="shared" si="57"/>
        <v>0</v>
      </c>
      <c r="U102" s="41">
        <f t="shared" si="58"/>
        <v>0</v>
      </c>
      <c r="V102" s="42" t="e">
        <f t="shared" si="68"/>
        <v>#DIV/0!</v>
      </c>
      <c r="W102" s="41">
        <f t="shared" si="69"/>
        <v>0</v>
      </c>
      <c r="X102" s="43" t="e">
        <f t="shared" si="59"/>
        <v>#DIV/0!</v>
      </c>
      <c r="Y102" s="44"/>
      <c r="Z102" s="44"/>
      <c r="AA102" s="45"/>
    </row>
    <row r="103" spans="2:27" ht="14.4" customHeight="1">
      <c r="B103" s="4">
        <v>99</v>
      </c>
      <c r="C103" s="5" t="s">
        <v>87</v>
      </c>
      <c r="D103" s="5" t="str">
        <f t="shared" si="39"/>
        <v xml:space="preserve"> 153</v>
      </c>
      <c r="E103" s="6" t="s">
        <v>87</v>
      </c>
      <c r="F103" s="7">
        <f t="shared" si="40"/>
        <v>0</v>
      </c>
      <c r="G103" s="11" t="s">
        <v>21</v>
      </c>
      <c r="H103" s="11" t="s">
        <v>29</v>
      </c>
      <c r="I103" s="11" t="s">
        <v>361</v>
      </c>
      <c r="J103" s="12">
        <f>M103</f>
        <v>81500</v>
      </c>
      <c r="K103" s="13">
        <f t="shared" si="55"/>
        <v>0</v>
      </c>
      <c r="L103" s="17" t="s">
        <v>23</v>
      </c>
      <c r="M103" s="18">
        <v>81500</v>
      </c>
      <c r="N103" s="15">
        <f>2000+200+300+800+500+2850</f>
        <v>6650</v>
      </c>
      <c r="O103" s="40">
        <f t="shared" si="60"/>
        <v>88150</v>
      </c>
      <c r="P103" s="106"/>
      <c r="Q103" s="3" t="s">
        <v>420</v>
      </c>
      <c r="R103" s="37"/>
      <c r="S103" s="37">
        <f t="shared" si="67"/>
        <v>88150</v>
      </c>
      <c r="T103" s="37">
        <f t="shared" si="57"/>
        <v>125928.57142857143</v>
      </c>
      <c r="U103" s="41">
        <f t="shared" si="58"/>
        <v>143918.36734693879</v>
      </c>
      <c r="V103" s="42">
        <f t="shared" si="68"/>
        <v>0.12500000000000003</v>
      </c>
      <c r="W103" s="41">
        <f t="shared" si="69"/>
        <v>144000</v>
      </c>
      <c r="X103" s="43">
        <f t="shared" si="59"/>
        <v>0.30000000000000004</v>
      </c>
      <c r="Y103" s="46">
        <v>123813</v>
      </c>
      <c r="Z103" s="47">
        <f>T103-Y103</f>
        <v>2115.5714285714348</v>
      </c>
      <c r="AA103" s="48">
        <f>Z103/Y103</f>
        <v>1.7086827946753855E-2</v>
      </c>
    </row>
    <row r="104" spans="2:27" ht="14.4" customHeight="1">
      <c r="B104" s="4">
        <v>100</v>
      </c>
      <c r="C104" s="5" t="s">
        <v>32</v>
      </c>
      <c r="D104" s="5" t="str">
        <f t="shared" si="39"/>
        <v xml:space="preserve"> 603</v>
      </c>
      <c r="E104" s="6" t="s">
        <v>32</v>
      </c>
      <c r="F104" s="7">
        <f t="shared" si="40"/>
        <v>0</v>
      </c>
      <c r="G104" s="11" t="s">
        <v>21</v>
      </c>
      <c r="H104" s="11" t="s">
        <v>306</v>
      </c>
      <c r="I104" s="11" t="s">
        <v>354</v>
      </c>
      <c r="J104" s="12">
        <v>103000</v>
      </c>
      <c r="K104" s="13">
        <f t="shared" si="55"/>
        <v>6700</v>
      </c>
      <c r="L104" s="7" t="s">
        <v>24</v>
      </c>
      <c r="M104" s="14">
        <f>J104-N104</f>
        <v>96300</v>
      </c>
      <c r="N104" s="15">
        <f>2000+200+350+600+550+3000</f>
        <v>6700</v>
      </c>
      <c r="O104" s="40">
        <f t="shared" si="60"/>
        <v>103000</v>
      </c>
      <c r="P104" s="107"/>
      <c r="Q104" s="3" t="s">
        <v>420</v>
      </c>
      <c r="R104" s="37"/>
      <c r="S104" s="37">
        <f t="shared" si="67"/>
        <v>103000</v>
      </c>
      <c r="T104" s="37">
        <f t="shared" si="57"/>
        <v>147142.85714285716</v>
      </c>
      <c r="U104" s="41">
        <f t="shared" si="58"/>
        <v>168163.26530612246</v>
      </c>
      <c r="V104" s="42">
        <f t="shared" si="68"/>
        <v>0.12499999999999993</v>
      </c>
      <c r="W104" s="41">
        <f t="shared" si="69"/>
        <v>168200</v>
      </c>
      <c r="X104" s="43">
        <f t="shared" si="59"/>
        <v>0.3000000000000001</v>
      </c>
      <c r="Y104" s="46">
        <v>142888</v>
      </c>
      <c r="Z104" s="47">
        <f>T104-Y104</f>
        <v>4254.8571428571595</v>
      </c>
      <c r="AA104" s="48">
        <f>Z104/Y104</f>
        <v>2.9777568045302332E-2</v>
      </c>
    </row>
    <row r="105" spans="2:27" ht="14.4" customHeight="1">
      <c r="B105" s="4">
        <v>101</v>
      </c>
      <c r="C105" s="5" t="s">
        <v>86</v>
      </c>
      <c r="D105" s="5" t="str">
        <f t="shared" si="39"/>
        <v xml:space="preserve"> 442</v>
      </c>
      <c r="E105" s="6" t="s">
        <v>86</v>
      </c>
      <c r="F105" s="7">
        <f t="shared" si="40"/>
        <v>0</v>
      </c>
      <c r="G105" s="11" t="s">
        <v>21</v>
      </c>
      <c r="H105" s="11" t="s">
        <v>29</v>
      </c>
      <c r="I105" s="11" t="s">
        <v>361</v>
      </c>
      <c r="J105" s="12">
        <f>M105</f>
        <v>87000</v>
      </c>
      <c r="K105" s="13">
        <f t="shared" si="55"/>
        <v>0</v>
      </c>
      <c r="L105" s="17" t="s">
        <v>23</v>
      </c>
      <c r="M105" s="18">
        <v>87000</v>
      </c>
      <c r="N105" s="15">
        <f>2000+200+300+800+500+2850</f>
        <v>6650</v>
      </c>
      <c r="O105" s="40">
        <f t="shared" si="60"/>
        <v>93650</v>
      </c>
      <c r="P105" s="107"/>
      <c r="Q105" s="3" t="s">
        <v>420</v>
      </c>
      <c r="R105" s="37"/>
      <c r="S105" s="37">
        <f t="shared" si="67"/>
        <v>93650</v>
      </c>
      <c r="T105" s="37">
        <f t="shared" si="57"/>
        <v>133785.71428571429</v>
      </c>
      <c r="U105" s="41">
        <f t="shared" si="58"/>
        <v>152897.95918367346</v>
      </c>
      <c r="V105" s="42">
        <f t="shared" si="68"/>
        <v>0.12499999999999993</v>
      </c>
      <c r="W105" s="41">
        <f t="shared" si="69"/>
        <v>152900</v>
      </c>
      <c r="X105" s="43">
        <f t="shared" si="59"/>
        <v>0.30000000000000004</v>
      </c>
      <c r="Y105" s="46">
        <v>132388</v>
      </c>
      <c r="Z105" s="47">
        <f>T105-Y105</f>
        <v>1397.7142857142899</v>
      </c>
      <c r="AA105" s="48">
        <f>Z105/Y105</f>
        <v>1.055771131608824E-2</v>
      </c>
    </row>
    <row r="106" spans="2:27" ht="14.4" customHeight="1">
      <c r="B106" s="4">
        <v>102</v>
      </c>
      <c r="C106" s="5" t="s">
        <v>297</v>
      </c>
      <c r="D106" s="5" t="str">
        <f t="shared" si="39"/>
        <v xml:space="preserve"> 983</v>
      </c>
      <c r="E106" s="6" t="s">
        <v>297</v>
      </c>
      <c r="F106" s="7">
        <f t="shared" si="40"/>
        <v>0</v>
      </c>
      <c r="G106" s="11" t="s">
        <v>299</v>
      </c>
      <c r="H106" s="11" t="s">
        <v>329</v>
      </c>
      <c r="I106" s="11" t="s">
        <v>372</v>
      </c>
      <c r="J106" s="12">
        <f>M106</f>
        <v>71500</v>
      </c>
      <c r="K106" s="13">
        <f t="shared" si="55"/>
        <v>0</v>
      </c>
      <c r="L106" s="17" t="s">
        <v>23</v>
      </c>
      <c r="M106" s="18">
        <v>71500</v>
      </c>
      <c r="N106" s="15">
        <f>2000+200+350+600+300+3000</f>
        <v>6450</v>
      </c>
      <c r="O106" s="40">
        <f t="shared" si="60"/>
        <v>77950</v>
      </c>
      <c r="P106" s="106"/>
      <c r="Q106" s="3" t="s">
        <v>469</v>
      </c>
      <c r="R106" s="37"/>
      <c r="S106" s="37">
        <f t="shared" si="67"/>
        <v>77950</v>
      </c>
      <c r="T106" s="37">
        <f t="shared" si="57"/>
        <v>111357.14285714287</v>
      </c>
      <c r="U106" s="41">
        <f t="shared" si="58"/>
        <v>127265.30612244899</v>
      </c>
      <c r="V106" s="42">
        <f t="shared" si="68"/>
        <v>0.125</v>
      </c>
      <c r="W106" s="41">
        <f t="shared" si="69"/>
        <v>127300</v>
      </c>
      <c r="X106" s="43">
        <f t="shared" si="59"/>
        <v>0.3000000000000001</v>
      </c>
      <c r="Y106" s="44"/>
      <c r="Z106" s="44"/>
      <c r="AA106" s="44"/>
    </row>
    <row r="107" spans="2:27" ht="14.4" customHeight="1">
      <c r="B107" s="4">
        <v>103</v>
      </c>
      <c r="C107" s="5" t="s">
        <v>90</v>
      </c>
      <c r="D107" s="5" t="str">
        <f t="shared" si="39"/>
        <v xml:space="preserve"> 467</v>
      </c>
      <c r="E107" s="6" t="s">
        <v>90</v>
      </c>
      <c r="F107" s="7">
        <f t="shared" si="40"/>
        <v>0</v>
      </c>
      <c r="G107" s="11" t="s">
        <v>21</v>
      </c>
      <c r="H107" s="11" t="s">
        <v>306</v>
      </c>
      <c r="I107" s="11" t="s">
        <v>354</v>
      </c>
      <c r="J107" s="12">
        <v>104000</v>
      </c>
      <c r="K107" s="13">
        <f t="shared" si="55"/>
        <v>6700</v>
      </c>
      <c r="L107" s="7" t="s">
        <v>24</v>
      </c>
      <c r="M107" s="14">
        <f>J107-N107</f>
        <v>97300</v>
      </c>
      <c r="N107" s="15">
        <f>2000+200+350+600+550+3000</f>
        <v>6700</v>
      </c>
      <c r="O107" s="40">
        <f t="shared" si="60"/>
        <v>104000</v>
      </c>
      <c r="P107" s="107"/>
      <c r="Q107" s="3" t="s">
        <v>420</v>
      </c>
      <c r="R107" s="37"/>
      <c r="S107" s="37">
        <f t="shared" si="67"/>
        <v>104000</v>
      </c>
      <c r="T107" s="37">
        <f t="shared" si="57"/>
        <v>148571.42857142858</v>
      </c>
      <c r="U107" s="41">
        <f t="shared" si="58"/>
        <v>169795.91836734695</v>
      </c>
      <c r="V107" s="42">
        <f t="shared" si="68"/>
        <v>0.12500000000000003</v>
      </c>
      <c r="W107" s="41">
        <f t="shared" si="69"/>
        <v>169800</v>
      </c>
      <c r="X107" s="43">
        <f t="shared" si="59"/>
        <v>0.30000000000000004</v>
      </c>
      <c r="Y107" s="46">
        <v>145775</v>
      </c>
      <c r="Z107" s="47">
        <f>T107-Y107</f>
        <v>2796.4285714285797</v>
      </c>
      <c r="AA107" s="48">
        <f>Z107/Y107</f>
        <v>1.9183183477472679E-2</v>
      </c>
    </row>
    <row r="108" spans="2:27" ht="14.4" customHeight="1">
      <c r="B108" s="4">
        <v>104</v>
      </c>
      <c r="C108" s="5" t="s">
        <v>481</v>
      </c>
      <c r="D108" s="5" t="str">
        <f t="shared" si="39"/>
        <v xml:space="preserve"> 275</v>
      </c>
      <c r="E108" s="6" t="s">
        <v>481</v>
      </c>
      <c r="F108" s="7">
        <f t="shared" si="40"/>
        <v>0</v>
      </c>
      <c r="G108" s="11" t="s">
        <v>299</v>
      </c>
      <c r="H108" s="11" t="s">
        <v>43</v>
      </c>
      <c r="I108" s="11" t="s">
        <v>361</v>
      </c>
      <c r="J108" s="12"/>
      <c r="K108" s="13">
        <f t="shared" si="55"/>
        <v>0</v>
      </c>
      <c r="L108" s="7"/>
      <c r="M108" s="14">
        <f t="shared" ref="M108" si="82">J108-N108</f>
        <v>0</v>
      </c>
      <c r="N108" s="15"/>
      <c r="O108" s="40">
        <f t="shared" si="60"/>
        <v>0</v>
      </c>
      <c r="P108" s="106"/>
      <c r="Q108" s="3"/>
      <c r="R108" s="37"/>
      <c r="S108" s="37">
        <f t="shared" si="67"/>
        <v>0</v>
      </c>
      <c r="T108" s="37">
        <f t="shared" si="57"/>
        <v>0</v>
      </c>
      <c r="U108" s="41">
        <f t="shared" si="58"/>
        <v>0</v>
      </c>
      <c r="V108" s="42" t="e">
        <f t="shared" si="68"/>
        <v>#DIV/0!</v>
      </c>
      <c r="W108" s="41">
        <f t="shared" si="69"/>
        <v>0</v>
      </c>
      <c r="X108" s="43" t="e">
        <f t="shared" si="59"/>
        <v>#DIV/0!</v>
      </c>
      <c r="Y108" s="44"/>
      <c r="Z108" s="44"/>
      <c r="AA108" s="44"/>
    </row>
    <row r="109" spans="2:27" ht="14.4" customHeight="1">
      <c r="B109" s="4">
        <v>105</v>
      </c>
      <c r="C109" s="5" t="s">
        <v>85</v>
      </c>
      <c r="D109" s="5" t="str">
        <f t="shared" si="39"/>
        <v xml:space="preserve"> 373</v>
      </c>
      <c r="E109" s="6" t="s">
        <v>85</v>
      </c>
      <c r="F109" s="7">
        <f t="shared" si="40"/>
        <v>0</v>
      </c>
      <c r="G109" s="11" t="s">
        <v>21</v>
      </c>
      <c r="H109" s="11" t="s">
        <v>29</v>
      </c>
      <c r="I109" s="11" t="s">
        <v>361</v>
      </c>
      <c r="J109" s="12">
        <f>M109</f>
        <v>87000</v>
      </c>
      <c r="K109" s="13">
        <f t="shared" si="55"/>
        <v>0</v>
      </c>
      <c r="L109" s="17" t="s">
        <v>23</v>
      </c>
      <c r="M109" s="18">
        <v>87000</v>
      </c>
      <c r="N109" s="15">
        <f>2000+400+1000+800+2850</f>
        <v>7050</v>
      </c>
      <c r="O109" s="40">
        <f t="shared" si="60"/>
        <v>94050</v>
      </c>
      <c r="P109" s="107"/>
      <c r="Q109" s="3" t="s">
        <v>440</v>
      </c>
      <c r="R109" s="37"/>
      <c r="S109" s="37">
        <f t="shared" si="67"/>
        <v>94050</v>
      </c>
      <c r="T109" s="37">
        <f t="shared" si="57"/>
        <v>134357.14285714287</v>
      </c>
      <c r="U109" s="41">
        <f t="shared" si="58"/>
        <v>153551.02040816328</v>
      </c>
      <c r="V109" s="42">
        <f t="shared" si="68"/>
        <v>0.12500000000000003</v>
      </c>
      <c r="W109" s="41">
        <f t="shared" si="69"/>
        <v>153600</v>
      </c>
      <c r="X109" s="43">
        <f t="shared" si="59"/>
        <v>0.30000000000000004</v>
      </c>
      <c r="Y109" s="46">
        <v>127225</v>
      </c>
      <c r="Z109" s="47">
        <f>T109-Y109</f>
        <v>7132.1428571428696</v>
      </c>
      <c r="AA109" s="48">
        <f>Z109/Y109</f>
        <v>5.6059287538949655E-2</v>
      </c>
    </row>
    <row r="110" spans="2:27" ht="14.4" customHeight="1">
      <c r="B110" s="4">
        <v>106</v>
      </c>
      <c r="C110" s="39" t="s">
        <v>576</v>
      </c>
      <c r="D110" s="5" t="str">
        <f t="shared" si="39"/>
        <v xml:space="preserve"> 747</v>
      </c>
      <c r="E110" s="6" t="s">
        <v>576</v>
      </c>
      <c r="F110" s="7">
        <f t="shared" si="40"/>
        <v>0</v>
      </c>
      <c r="G110" s="8" t="s">
        <v>21</v>
      </c>
      <c r="H110" s="8" t="s">
        <v>29</v>
      </c>
      <c r="I110" s="8" t="s">
        <v>577</v>
      </c>
      <c r="J110" s="12">
        <v>90000</v>
      </c>
      <c r="K110" s="13">
        <f>J110-M110</f>
        <v>6150</v>
      </c>
      <c r="L110" s="7"/>
      <c r="M110" s="14">
        <f>J110-N110</f>
        <v>83850</v>
      </c>
      <c r="N110" s="15">
        <f>2000+200+350+600+3000</f>
        <v>6150</v>
      </c>
      <c r="O110" s="40">
        <f>M110+N110</f>
        <v>90000</v>
      </c>
      <c r="P110" s="107"/>
      <c r="Q110" s="78" t="s">
        <v>1385</v>
      </c>
      <c r="R110" s="37"/>
      <c r="S110" s="37">
        <f t="shared" si="67"/>
        <v>90000</v>
      </c>
      <c r="T110" s="37">
        <f t="shared" si="57"/>
        <v>128571.42857142858</v>
      </c>
      <c r="U110" s="41">
        <f t="shared" si="58"/>
        <v>146938.77551020408</v>
      </c>
      <c r="V110" s="42">
        <f t="shared" si="68"/>
        <v>0.12499999999999994</v>
      </c>
      <c r="W110" s="41">
        <f t="shared" si="69"/>
        <v>147000</v>
      </c>
      <c r="X110" s="43">
        <f t="shared" si="59"/>
        <v>0.30000000000000004</v>
      </c>
      <c r="Y110" s="46">
        <v>129500</v>
      </c>
      <c r="Z110" s="47">
        <f>T110-Y110</f>
        <v>-928.57142857142026</v>
      </c>
      <c r="AA110" s="48">
        <f>Z110/Y110</f>
        <v>-7.170435741864249E-3</v>
      </c>
    </row>
    <row r="111" spans="2:27" ht="14.4" customHeight="1">
      <c r="B111" s="4">
        <v>107</v>
      </c>
      <c r="C111" s="5" t="s">
        <v>130</v>
      </c>
      <c r="D111" s="5" t="str">
        <f t="shared" si="39"/>
        <v xml:space="preserve"> 358</v>
      </c>
      <c r="E111" s="6" t="s">
        <v>130</v>
      </c>
      <c r="F111" s="7">
        <f t="shared" si="40"/>
        <v>0</v>
      </c>
      <c r="G111" s="11" t="s">
        <v>299</v>
      </c>
      <c r="H111" s="11" t="s">
        <v>306</v>
      </c>
      <c r="I111" s="11" t="s">
        <v>332</v>
      </c>
      <c r="J111" s="12">
        <v>88000</v>
      </c>
      <c r="K111" s="13">
        <f t="shared" si="55"/>
        <v>3900</v>
      </c>
      <c r="L111" s="7" t="s">
        <v>24</v>
      </c>
      <c r="M111" s="14">
        <f>J111-N111</f>
        <v>84100</v>
      </c>
      <c r="N111" s="14">
        <f>2000+200+350+600+750</f>
        <v>3900</v>
      </c>
      <c r="O111" s="40">
        <f t="shared" si="60"/>
        <v>88000</v>
      </c>
      <c r="P111" s="106"/>
      <c r="Q111" s="3" t="s">
        <v>375</v>
      </c>
      <c r="R111" s="37">
        <v>5000</v>
      </c>
      <c r="S111" s="37">
        <f t="shared" si="67"/>
        <v>93000</v>
      </c>
      <c r="T111" s="37">
        <f t="shared" si="57"/>
        <v>132857.14285714287</v>
      </c>
      <c r="U111" s="41">
        <f t="shared" si="58"/>
        <v>151836.73469387757</v>
      </c>
      <c r="V111" s="42">
        <f t="shared" si="68"/>
        <v>0.12500000000000006</v>
      </c>
      <c r="W111" s="41">
        <f t="shared" si="69"/>
        <v>151900</v>
      </c>
      <c r="X111" s="43">
        <f t="shared" si="59"/>
        <v>0.3376344086021506</v>
      </c>
      <c r="Y111" s="44"/>
      <c r="Z111" s="44"/>
      <c r="AA111" s="44"/>
    </row>
    <row r="112" spans="2:27" ht="14.4" customHeight="1">
      <c r="B112" s="4">
        <v>108</v>
      </c>
      <c r="C112" s="5" t="s">
        <v>1358</v>
      </c>
      <c r="D112" s="5" t="str">
        <f t="shared" si="39"/>
        <v xml:space="preserve"> 321</v>
      </c>
      <c r="E112" s="6" t="s">
        <v>1358</v>
      </c>
      <c r="F112" s="7">
        <f t="shared" si="40"/>
        <v>0</v>
      </c>
      <c r="G112" s="11" t="s">
        <v>299</v>
      </c>
      <c r="H112" s="11" t="s">
        <v>582</v>
      </c>
      <c r="I112" s="11"/>
      <c r="J112" s="12"/>
      <c r="K112" s="13">
        <f t="shared" si="55"/>
        <v>0</v>
      </c>
      <c r="L112" s="7"/>
      <c r="M112" s="14"/>
      <c r="N112" s="14"/>
      <c r="O112" s="40">
        <f t="shared" si="60"/>
        <v>0</v>
      </c>
      <c r="P112" s="106"/>
      <c r="Q112" s="3"/>
      <c r="R112" s="37"/>
      <c r="S112" s="37">
        <f t="shared" si="67"/>
        <v>0</v>
      </c>
      <c r="T112" s="37">
        <f t="shared" si="57"/>
        <v>0</v>
      </c>
      <c r="U112" s="41">
        <f t="shared" si="58"/>
        <v>0</v>
      </c>
      <c r="V112" s="42" t="e">
        <f t="shared" si="68"/>
        <v>#DIV/0!</v>
      </c>
      <c r="W112" s="41">
        <f t="shared" si="69"/>
        <v>0</v>
      </c>
      <c r="X112" s="43" t="e">
        <f t="shared" si="59"/>
        <v>#DIV/0!</v>
      </c>
      <c r="Y112" s="44"/>
      <c r="Z112" s="44"/>
      <c r="AA112" s="44"/>
    </row>
    <row r="113" spans="2:27" ht="14.4" customHeight="1">
      <c r="B113" s="4">
        <v>109</v>
      </c>
      <c r="C113" s="5" t="s">
        <v>247</v>
      </c>
      <c r="D113" s="5" t="str">
        <f t="shared" si="39"/>
        <v xml:space="preserve"> 102</v>
      </c>
      <c r="E113" s="6" t="s">
        <v>247</v>
      </c>
      <c r="F113" s="7">
        <f t="shared" si="40"/>
        <v>0</v>
      </c>
      <c r="G113" s="11" t="s">
        <v>299</v>
      </c>
      <c r="H113" s="11" t="s">
        <v>306</v>
      </c>
      <c r="I113" s="11" t="s">
        <v>361</v>
      </c>
      <c r="J113" s="12">
        <f>M113</f>
        <v>81000</v>
      </c>
      <c r="K113" s="13">
        <f t="shared" si="55"/>
        <v>0</v>
      </c>
      <c r="L113" s="17" t="s">
        <v>23</v>
      </c>
      <c r="M113" s="18">
        <v>81000</v>
      </c>
      <c r="N113" s="15">
        <f>2000+200+350+600+300+800</f>
        <v>4250</v>
      </c>
      <c r="O113" s="40">
        <f t="shared" si="60"/>
        <v>85250</v>
      </c>
      <c r="P113" s="106"/>
      <c r="Q113" s="3" t="s">
        <v>421</v>
      </c>
      <c r="R113" s="37"/>
      <c r="S113" s="37">
        <f t="shared" si="67"/>
        <v>85250</v>
      </c>
      <c r="T113" s="37">
        <f t="shared" si="57"/>
        <v>121785.71428571429</v>
      </c>
      <c r="U113" s="41">
        <f t="shared" si="58"/>
        <v>139183.67346938775</v>
      </c>
      <c r="V113" s="42">
        <f t="shared" si="68"/>
        <v>0.12499999999999994</v>
      </c>
      <c r="W113" s="41">
        <f t="shared" si="69"/>
        <v>139200</v>
      </c>
      <c r="X113" s="43">
        <f t="shared" si="59"/>
        <v>0.30000000000000004</v>
      </c>
      <c r="Y113" s="44"/>
      <c r="Z113" s="44"/>
      <c r="AA113" s="44"/>
    </row>
    <row r="114" spans="2:27" ht="14.4" customHeight="1">
      <c r="B114" s="4">
        <v>110</v>
      </c>
      <c r="C114" s="5" t="s">
        <v>89</v>
      </c>
      <c r="D114" s="5" t="str">
        <f t="shared" si="39"/>
        <v xml:space="preserve"> 381</v>
      </c>
      <c r="E114" s="6" t="s">
        <v>89</v>
      </c>
      <c r="F114" s="7">
        <f t="shared" si="40"/>
        <v>0</v>
      </c>
      <c r="G114" s="11" t="s">
        <v>21</v>
      </c>
      <c r="H114" s="11" t="s">
        <v>306</v>
      </c>
      <c r="I114" s="11" t="s">
        <v>332</v>
      </c>
      <c r="J114" s="12">
        <v>105000</v>
      </c>
      <c r="K114" s="13">
        <f t="shared" si="55"/>
        <v>6700</v>
      </c>
      <c r="L114" s="7" t="s">
        <v>24</v>
      </c>
      <c r="M114" s="14">
        <f>J114-N114</f>
        <v>98300</v>
      </c>
      <c r="N114" s="14">
        <f>2000+200+350+600+550+3000</f>
        <v>6700</v>
      </c>
      <c r="O114" s="40">
        <f t="shared" si="60"/>
        <v>105000</v>
      </c>
      <c r="P114" s="106"/>
      <c r="Q114" s="3" t="s">
        <v>380</v>
      </c>
      <c r="R114" s="37"/>
      <c r="S114" s="37">
        <f t="shared" si="67"/>
        <v>105000</v>
      </c>
      <c r="T114" s="37">
        <f t="shared" si="57"/>
        <v>150000</v>
      </c>
      <c r="U114" s="41">
        <f t="shared" si="58"/>
        <v>171428.57142857142</v>
      </c>
      <c r="V114" s="42">
        <f t="shared" si="68"/>
        <v>0.12499999999999996</v>
      </c>
      <c r="W114" s="41">
        <f t="shared" si="69"/>
        <v>171500</v>
      </c>
      <c r="X114" s="43">
        <f t="shared" si="59"/>
        <v>0.3</v>
      </c>
      <c r="Y114" s="46">
        <v>148575</v>
      </c>
      <c r="Z114" s="47">
        <f>T114-Y114</f>
        <v>1425</v>
      </c>
      <c r="AA114" s="48">
        <f>Z114/Y114</f>
        <v>9.5911155981827367E-3</v>
      </c>
    </row>
    <row r="115" spans="2:27" ht="14.4" customHeight="1">
      <c r="B115" s="4">
        <v>111</v>
      </c>
      <c r="C115" s="5" t="s">
        <v>225</v>
      </c>
      <c r="D115" s="5" t="str">
        <f t="shared" si="39"/>
        <v xml:space="preserve"> 201</v>
      </c>
      <c r="E115" s="6" t="s">
        <v>225</v>
      </c>
      <c r="F115" s="7">
        <f t="shared" si="40"/>
        <v>0</v>
      </c>
      <c r="G115" s="11" t="s">
        <v>299</v>
      </c>
      <c r="H115" s="11" t="s">
        <v>29</v>
      </c>
      <c r="I115" s="11" t="s">
        <v>356</v>
      </c>
      <c r="J115" s="12">
        <v>97000</v>
      </c>
      <c r="K115" s="13">
        <f t="shared" si="55"/>
        <v>6450</v>
      </c>
      <c r="L115" s="7" t="s">
        <v>24</v>
      </c>
      <c r="M115" s="14">
        <f>J115-N115</f>
        <v>90550</v>
      </c>
      <c r="N115" s="15">
        <f>2000+200+350+600+300+3000</f>
        <v>6450</v>
      </c>
      <c r="O115" s="40">
        <f t="shared" si="60"/>
        <v>97000</v>
      </c>
      <c r="P115" s="107"/>
      <c r="Q115" s="3" t="s">
        <v>426</v>
      </c>
      <c r="R115" s="37"/>
      <c r="S115" s="37">
        <f t="shared" si="67"/>
        <v>97000</v>
      </c>
      <c r="T115" s="37">
        <f t="shared" si="57"/>
        <v>138571.42857142858</v>
      </c>
      <c r="U115" s="41">
        <f t="shared" si="58"/>
        <v>158367.34693877553</v>
      </c>
      <c r="V115" s="42">
        <f t="shared" si="68"/>
        <v>0.12500000000000006</v>
      </c>
      <c r="W115" s="41">
        <f t="shared" si="69"/>
        <v>158400</v>
      </c>
      <c r="X115" s="43">
        <f t="shared" si="59"/>
        <v>0.30000000000000004</v>
      </c>
      <c r="Y115" s="44"/>
      <c r="Z115" s="44"/>
      <c r="AA115" s="44"/>
    </row>
    <row r="116" spans="2:27" ht="14.4" customHeight="1">
      <c r="B116" s="4">
        <v>112</v>
      </c>
      <c r="C116" s="39" t="s">
        <v>578</v>
      </c>
      <c r="D116" s="5" t="str">
        <f t="shared" si="39"/>
        <v xml:space="preserve"> 270</v>
      </c>
      <c r="E116" s="6" t="s">
        <v>578</v>
      </c>
      <c r="F116" s="7">
        <f t="shared" si="40"/>
        <v>0</v>
      </c>
      <c r="G116" s="8" t="s">
        <v>299</v>
      </c>
      <c r="H116" s="8" t="s">
        <v>31</v>
      </c>
      <c r="I116" s="8" t="s">
        <v>579</v>
      </c>
      <c r="J116" s="12"/>
      <c r="K116" s="13">
        <f t="shared" si="55"/>
        <v>0</v>
      </c>
      <c r="L116" s="7"/>
      <c r="M116" s="14">
        <f t="shared" ref="M116" si="83">J116-N116</f>
        <v>0</v>
      </c>
      <c r="N116" s="15"/>
      <c r="O116" s="40">
        <f t="shared" si="60"/>
        <v>0</v>
      </c>
      <c r="P116" s="107"/>
      <c r="Q116" s="3"/>
      <c r="R116" s="37"/>
      <c r="S116" s="37">
        <f t="shared" si="67"/>
        <v>0</v>
      </c>
      <c r="T116" s="37">
        <f t="shared" si="57"/>
        <v>0</v>
      </c>
      <c r="U116" s="41">
        <f t="shared" si="58"/>
        <v>0</v>
      </c>
      <c r="V116" s="42" t="e">
        <f t="shared" si="68"/>
        <v>#DIV/0!</v>
      </c>
      <c r="W116" s="41">
        <f t="shared" si="69"/>
        <v>0</v>
      </c>
      <c r="X116" s="43" t="e">
        <f t="shared" si="59"/>
        <v>#DIV/0!</v>
      </c>
      <c r="Y116" s="44"/>
      <c r="Z116" s="44"/>
      <c r="AA116" s="44"/>
    </row>
    <row r="117" spans="2:27" ht="14.4" customHeight="1">
      <c r="B117" s="4">
        <v>113</v>
      </c>
      <c r="C117" s="5" t="s">
        <v>246</v>
      </c>
      <c r="D117" s="5" t="str">
        <f t="shared" si="39"/>
        <v xml:space="preserve"> 359</v>
      </c>
      <c r="E117" s="6" t="s">
        <v>246</v>
      </c>
      <c r="F117" s="7">
        <f t="shared" si="40"/>
        <v>0</v>
      </c>
      <c r="G117" s="11" t="s">
        <v>299</v>
      </c>
      <c r="H117" s="11" t="s">
        <v>46</v>
      </c>
      <c r="I117" s="11" t="s">
        <v>361</v>
      </c>
      <c r="J117" s="12">
        <f>M117</f>
        <v>87000</v>
      </c>
      <c r="K117" s="13">
        <f t="shared" si="55"/>
        <v>0</v>
      </c>
      <c r="L117" s="17" t="s">
        <v>23</v>
      </c>
      <c r="M117" s="18">
        <v>87000</v>
      </c>
      <c r="N117" s="15">
        <f>2000+200+350+600+800</f>
        <v>3950</v>
      </c>
      <c r="O117" s="40">
        <f t="shared" si="60"/>
        <v>90950</v>
      </c>
      <c r="P117" s="107"/>
      <c r="Q117" s="3" t="s">
        <v>429</v>
      </c>
      <c r="R117" s="37"/>
      <c r="S117" s="37">
        <f t="shared" si="67"/>
        <v>90950</v>
      </c>
      <c r="T117" s="37">
        <f t="shared" si="57"/>
        <v>129928.57142857143</v>
      </c>
      <c r="U117" s="41">
        <f t="shared" si="58"/>
        <v>148489.79591836737</v>
      </c>
      <c r="V117" s="42">
        <f t="shared" si="68"/>
        <v>0.12500000000000008</v>
      </c>
      <c r="W117" s="41">
        <f t="shared" si="69"/>
        <v>148500</v>
      </c>
      <c r="X117" s="43">
        <f t="shared" si="59"/>
        <v>0.30000000000000004</v>
      </c>
      <c r="Y117" s="44"/>
      <c r="Z117" s="44"/>
      <c r="AA117" s="44"/>
    </row>
    <row r="118" spans="2:27" ht="14.4" customHeight="1">
      <c r="B118" s="4">
        <v>114</v>
      </c>
      <c r="C118" s="5" t="s">
        <v>177</v>
      </c>
      <c r="D118" s="5" t="str">
        <f t="shared" si="39"/>
        <v xml:space="preserve"> 794</v>
      </c>
      <c r="E118" s="6" t="s">
        <v>177</v>
      </c>
      <c r="F118" s="7">
        <f t="shared" si="40"/>
        <v>0</v>
      </c>
      <c r="G118" s="11" t="s">
        <v>299</v>
      </c>
      <c r="H118" s="11" t="s">
        <v>31</v>
      </c>
      <c r="I118" s="11" t="s">
        <v>343</v>
      </c>
      <c r="J118" s="12">
        <v>128000</v>
      </c>
      <c r="K118" s="13">
        <f t="shared" si="55"/>
        <v>6150</v>
      </c>
      <c r="L118" s="7" t="s">
        <v>24</v>
      </c>
      <c r="M118" s="14">
        <f>J118-N118</f>
        <v>121850</v>
      </c>
      <c r="N118" s="14">
        <f>2000+200+350+600+3000</f>
        <v>6150</v>
      </c>
      <c r="O118" s="40">
        <f t="shared" si="60"/>
        <v>128000</v>
      </c>
      <c r="P118" s="106"/>
      <c r="Q118" s="3" t="s">
        <v>401</v>
      </c>
      <c r="R118" s="37"/>
      <c r="S118" s="37">
        <f t="shared" si="67"/>
        <v>128000</v>
      </c>
      <c r="T118" s="37">
        <f t="shared" si="57"/>
        <v>182857.14285714287</v>
      </c>
      <c r="U118" s="41">
        <f t="shared" si="58"/>
        <v>208979.5918367347</v>
      </c>
      <c r="V118" s="42">
        <f t="shared" si="68"/>
        <v>0.12499999999999999</v>
      </c>
      <c r="W118" s="41">
        <f t="shared" si="69"/>
        <v>209000</v>
      </c>
      <c r="X118" s="43">
        <f t="shared" si="59"/>
        <v>0.30000000000000004</v>
      </c>
      <c r="Y118" s="44"/>
      <c r="Z118" s="44"/>
      <c r="AA118" s="45"/>
    </row>
    <row r="119" spans="2:27" ht="14.4" customHeight="1">
      <c r="B119" s="4">
        <v>115</v>
      </c>
      <c r="C119" s="39" t="s">
        <v>580</v>
      </c>
      <c r="D119" s="5" t="str">
        <f t="shared" si="39"/>
        <v xml:space="preserve"> 350</v>
      </c>
      <c r="E119" s="6" t="s">
        <v>580</v>
      </c>
      <c r="F119" s="7">
        <f t="shared" si="40"/>
        <v>0</v>
      </c>
      <c r="G119" s="8" t="s">
        <v>21</v>
      </c>
      <c r="H119" s="8" t="s">
        <v>306</v>
      </c>
      <c r="I119" s="8" t="s">
        <v>496</v>
      </c>
      <c r="J119" s="12"/>
      <c r="K119" s="13">
        <f t="shared" si="55"/>
        <v>0</v>
      </c>
      <c r="L119" s="7"/>
      <c r="M119" s="14">
        <f t="shared" ref="M119:M121" si="84">J119-N119</f>
        <v>0</v>
      </c>
      <c r="N119" s="14"/>
      <c r="O119" s="40">
        <f t="shared" si="60"/>
        <v>0</v>
      </c>
      <c r="P119" s="106"/>
      <c r="Q119" s="3"/>
      <c r="R119" s="37"/>
      <c r="S119" s="37">
        <f t="shared" si="67"/>
        <v>0</v>
      </c>
      <c r="T119" s="37">
        <f t="shared" si="57"/>
        <v>0</v>
      </c>
      <c r="U119" s="41">
        <f t="shared" si="58"/>
        <v>0</v>
      </c>
      <c r="V119" s="42" t="e">
        <f t="shared" si="68"/>
        <v>#DIV/0!</v>
      </c>
      <c r="W119" s="41">
        <f t="shared" si="69"/>
        <v>0</v>
      </c>
      <c r="X119" s="43" t="e">
        <f t="shared" si="59"/>
        <v>#DIV/0!</v>
      </c>
      <c r="Y119" s="46">
        <v>138600</v>
      </c>
      <c r="Z119" s="47">
        <f>T119-Y119</f>
        <v>-138600</v>
      </c>
      <c r="AA119" s="48">
        <f>Z119/Y119</f>
        <v>-1</v>
      </c>
    </row>
    <row r="120" spans="2:27" ht="14.4" customHeight="1">
      <c r="B120" s="4">
        <v>116</v>
      </c>
      <c r="C120" s="39" t="s">
        <v>581</v>
      </c>
      <c r="D120" s="5" t="str">
        <f t="shared" si="39"/>
        <v xml:space="preserve"> 237</v>
      </c>
      <c r="E120" s="6" t="s">
        <v>581</v>
      </c>
      <c r="F120" s="7">
        <f t="shared" si="40"/>
        <v>0</v>
      </c>
      <c r="G120" s="8" t="s">
        <v>299</v>
      </c>
      <c r="H120" s="8" t="s">
        <v>582</v>
      </c>
      <c r="I120" s="8" t="s">
        <v>583</v>
      </c>
      <c r="J120" s="12"/>
      <c r="K120" s="13">
        <f t="shared" si="55"/>
        <v>0</v>
      </c>
      <c r="L120" s="7"/>
      <c r="M120" s="14">
        <f t="shared" si="84"/>
        <v>0</v>
      </c>
      <c r="N120" s="14"/>
      <c r="O120" s="40">
        <f t="shared" si="60"/>
        <v>0</v>
      </c>
      <c r="P120" s="106"/>
      <c r="Q120" s="3"/>
      <c r="R120" s="37"/>
      <c r="S120" s="37">
        <f t="shared" si="67"/>
        <v>0</v>
      </c>
      <c r="T120" s="37">
        <f t="shared" si="57"/>
        <v>0</v>
      </c>
      <c r="U120" s="41">
        <f t="shared" si="58"/>
        <v>0</v>
      </c>
      <c r="V120" s="42" t="e">
        <f t="shared" si="68"/>
        <v>#DIV/0!</v>
      </c>
      <c r="W120" s="41">
        <f t="shared" si="69"/>
        <v>0</v>
      </c>
      <c r="X120" s="43" t="e">
        <f t="shared" si="59"/>
        <v>#DIV/0!</v>
      </c>
      <c r="Y120" s="44"/>
      <c r="Z120" s="44"/>
      <c r="AA120" s="45"/>
    </row>
    <row r="121" spans="2:27" ht="14.4" customHeight="1">
      <c r="B121" s="4">
        <v>117</v>
      </c>
      <c r="C121" s="39" t="s">
        <v>584</v>
      </c>
      <c r="D121" s="5" t="str">
        <f t="shared" si="39"/>
        <v xml:space="preserve"> 895</v>
      </c>
      <c r="E121" s="6" t="s">
        <v>584</v>
      </c>
      <c r="F121" s="7">
        <f t="shared" si="40"/>
        <v>0</v>
      </c>
      <c r="G121" s="8" t="s">
        <v>299</v>
      </c>
      <c r="H121" s="8" t="s">
        <v>40</v>
      </c>
      <c r="I121" s="8" t="s">
        <v>572</v>
      </c>
      <c r="J121" s="12"/>
      <c r="K121" s="13">
        <f t="shared" si="55"/>
        <v>0</v>
      </c>
      <c r="L121" s="7"/>
      <c r="M121" s="14">
        <f t="shared" si="84"/>
        <v>0</v>
      </c>
      <c r="N121" s="14"/>
      <c r="O121" s="40">
        <f t="shared" si="60"/>
        <v>0</v>
      </c>
      <c r="P121" s="106"/>
      <c r="Q121" s="3"/>
      <c r="R121" s="37"/>
      <c r="S121" s="37">
        <f t="shared" si="67"/>
        <v>0</v>
      </c>
      <c r="T121" s="37">
        <f t="shared" si="57"/>
        <v>0</v>
      </c>
      <c r="U121" s="41">
        <f t="shared" si="58"/>
        <v>0</v>
      </c>
      <c r="V121" s="42" t="e">
        <f t="shared" si="68"/>
        <v>#DIV/0!</v>
      </c>
      <c r="W121" s="41">
        <f t="shared" si="69"/>
        <v>0</v>
      </c>
      <c r="X121" s="43" t="e">
        <f t="shared" si="59"/>
        <v>#DIV/0!</v>
      </c>
      <c r="Y121" s="44"/>
      <c r="Z121" s="44"/>
      <c r="AA121" s="45"/>
    </row>
    <row r="122" spans="2:27" ht="14.4" customHeight="1">
      <c r="B122" s="4">
        <v>118</v>
      </c>
      <c r="C122" s="5" t="s">
        <v>88</v>
      </c>
      <c r="D122" s="5" t="str">
        <f t="shared" si="39"/>
        <v xml:space="preserve"> 265</v>
      </c>
      <c r="E122" s="6" t="s">
        <v>88</v>
      </c>
      <c r="F122" s="7">
        <f t="shared" si="40"/>
        <v>0</v>
      </c>
      <c r="G122" s="11" t="s">
        <v>21</v>
      </c>
      <c r="H122" s="11" t="s">
        <v>29</v>
      </c>
      <c r="I122" s="11" t="s">
        <v>361</v>
      </c>
      <c r="J122" s="12">
        <f>M122</f>
        <v>81500</v>
      </c>
      <c r="K122" s="13">
        <f t="shared" si="55"/>
        <v>0</v>
      </c>
      <c r="L122" s="17" t="s">
        <v>23</v>
      </c>
      <c r="M122" s="18">
        <v>81500</v>
      </c>
      <c r="N122" s="15">
        <f>2000+200+300+800+500+2850</f>
        <v>6650</v>
      </c>
      <c r="O122" s="40">
        <f t="shared" si="60"/>
        <v>88150</v>
      </c>
      <c r="P122" s="107"/>
      <c r="Q122" s="3" t="s">
        <v>420</v>
      </c>
      <c r="R122" s="37"/>
      <c r="S122" s="37">
        <f t="shared" si="67"/>
        <v>88150</v>
      </c>
      <c r="T122" s="37">
        <f t="shared" si="57"/>
        <v>125928.57142857143</v>
      </c>
      <c r="U122" s="41">
        <f t="shared" si="58"/>
        <v>143918.36734693879</v>
      </c>
      <c r="V122" s="42">
        <f t="shared" si="68"/>
        <v>0.12500000000000003</v>
      </c>
      <c r="W122" s="41">
        <f t="shared" si="69"/>
        <v>144000</v>
      </c>
      <c r="X122" s="43">
        <f t="shared" si="59"/>
        <v>0.30000000000000004</v>
      </c>
      <c r="Y122" s="46">
        <v>123813</v>
      </c>
      <c r="Z122" s="47">
        <f>T122-Y122</f>
        <v>2115.5714285714348</v>
      </c>
      <c r="AA122" s="48">
        <f>Z122/Y122</f>
        <v>1.7086827946753855E-2</v>
      </c>
    </row>
    <row r="123" spans="2:27" ht="14.4" customHeight="1">
      <c r="B123" s="4">
        <v>119</v>
      </c>
      <c r="C123" s="5" t="s">
        <v>296</v>
      </c>
      <c r="D123" s="5" t="str">
        <f t="shared" si="39"/>
        <v xml:space="preserve"> 817</v>
      </c>
      <c r="E123" s="6" t="s">
        <v>296</v>
      </c>
      <c r="F123" s="7">
        <f t="shared" si="40"/>
        <v>0</v>
      </c>
      <c r="G123" s="11" t="s">
        <v>299</v>
      </c>
      <c r="H123" s="11" t="s">
        <v>328</v>
      </c>
      <c r="I123" s="11" t="s">
        <v>372</v>
      </c>
      <c r="J123" s="12">
        <f>M123</f>
        <v>52500</v>
      </c>
      <c r="K123" s="13">
        <f t="shared" si="55"/>
        <v>0</v>
      </c>
      <c r="L123" s="17" t="s">
        <v>23</v>
      </c>
      <c r="M123" s="18">
        <v>52500</v>
      </c>
      <c r="N123" s="15">
        <f>2000+200+250+300+800+600</f>
        <v>4150</v>
      </c>
      <c r="O123" s="40">
        <f t="shared" si="60"/>
        <v>56650</v>
      </c>
      <c r="P123" s="106"/>
      <c r="Q123" s="3" t="s">
        <v>468</v>
      </c>
      <c r="R123" s="37"/>
      <c r="S123" s="37">
        <f t="shared" si="67"/>
        <v>56650</v>
      </c>
      <c r="T123" s="37">
        <f t="shared" si="57"/>
        <v>80928.571428571435</v>
      </c>
      <c r="U123" s="41">
        <f t="shared" si="58"/>
        <v>92489.795918367352</v>
      </c>
      <c r="V123" s="42">
        <f t="shared" si="68"/>
        <v>0.12499999999999999</v>
      </c>
      <c r="W123" s="41">
        <f t="shared" si="69"/>
        <v>92500</v>
      </c>
      <c r="X123" s="43">
        <f t="shared" si="59"/>
        <v>0.30000000000000004</v>
      </c>
      <c r="Y123" s="44"/>
      <c r="Z123" s="44"/>
      <c r="AA123" s="45"/>
    </row>
    <row r="124" spans="2:27" ht="14.4" customHeight="1">
      <c r="B124" s="4">
        <v>120</v>
      </c>
      <c r="C124" s="5" t="s">
        <v>30</v>
      </c>
      <c r="D124" s="5" t="str">
        <f t="shared" si="39"/>
        <v xml:space="preserve"> 615</v>
      </c>
      <c r="E124" s="6" t="s">
        <v>30</v>
      </c>
      <c r="F124" s="7">
        <f t="shared" si="40"/>
        <v>0</v>
      </c>
      <c r="G124" s="11" t="s">
        <v>21</v>
      </c>
      <c r="H124" s="11" t="s">
        <v>29</v>
      </c>
      <c r="I124" s="11" t="s">
        <v>354</v>
      </c>
      <c r="J124" s="12">
        <v>85000</v>
      </c>
      <c r="K124" s="13">
        <f t="shared" si="55"/>
        <v>6700</v>
      </c>
      <c r="L124" s="7" t="s">
        <v>24</v>
      </c>
      <c r="M124" s="14">
        <f>J124-N124</f>
        <v>78300</v>
      </c>
      <c r="N124" s="15">
        <f>2000+200+350+600+550+3000</f>
        <v>6700</v>
      </c>
      <c r="O124" s="40">
        <f t="shared" si="60"/>
        <v>85000</v>
      </c>
      <c r="P124" s="107"/>
      <c r="Q124" s="3" t="s">
        <v>420</v>
      </c>
      <c r="R124" s="37"/>
      <c r="S124" s="37">
        <f t="shared" si="67"/>
        <v>85000</v>
      </c>
      <c r="T124" s="37">
        <f t="shared" si="57"/>
        <v>121428.57142857143</v>
      </c>
      <c r="U124" s="41">
        <f t="shared" si="58"/>
        <v>138775.51020408163</v>
      </c>
      <c r="V124" s="42">
        <f t="shared" si="68"/>
        <v>0.12499999999999992</v>
      </c>
      <c r="W124" s="41">
        <f t="shared" si="69"/>
        <v>138800</v>
      </c>
      <c r="X124" s="43">
        <f t="shared" si="59"/>
        <v>0.30000000000000004</v>
      </c>
      <c r="Y124" s="46">
        <v>121450</v>
      </c>
      <c r="Z124" s="47">
        <f>T124-Y124</f>
        <v>-21.428571428565192</v>
      </c>
      <c r="AA124" s="48">
        <f>Z124/Y124</f>
        <v>-1.7643945186138487E-4</v>
      </c>
    </row>
    <row r="125" spans="2:27" ht="14.4" customHeight="1">
      <c r="B125" s="4">
        <v>121</v>
      </c>
      <c r="C125" s="5" t="s">
        <v>255</v>
      </c>
      <c r="D125" s="5" t="str">
        <f t="shared" si="39"/>
        <v xml:space="preserve"> 343</v>
      </c>
      <c r="E125" s="6" t="s">
        <v>255</v>
      </c>
      <c r="F125" s="7">
        <f t="shared" si="40"/>
        <v>0</v>
      </c>
      <c r="G125" s="11" t="s">
        <v>299</v>
      </c>
      <c r="H125" s="11" t="s">
        <v>29</v>
      </c>
      <c r="I125" s="11" t="s">
        <v>361</v>
      </c>
      <c r="J125" s="12">
        <f>M125</f>
        <v>87500</v>
      </c>
      <c r="K125" s="13">
        <f t="shared" si="55"/>
        <v>0</v>
      </c>
      <c r="L125" s="17" t="s">
        <v>23</v>
      </c>
      <c r="M125" s="18">
        <v>87500</v>
      </c>
      <c r="N125" s="15">
        <f>2000+200+350+600+300+800</f>
        <v>4250</v>
      </c>
      <c r="O125" s="40">
        <f t="shared" si="60"/>
        <v>91750</v>
      </c>
      <c r="P125" s="106"/>
      <c r="Q125" s="3" t="s">
        <v>442</v>
      </c>
      <c r="R125" s="37"/>
      <c r="S125" s="37">
        <f t="shared" si="67"/>
        <v>91750</v>
      </c>
      <c r="T125" s="37">
        <f t="shared" si="57"/>
        <v>131071.42857142858</v>
      </c>
      <c r="U125" s="41">
        <f t="shared" si="58"/>
        <v>149795.91836734695</v>
      </c>
      <c r="V125" s="42">
        <f t="shared" si="68"/>
        <v>0.12500000000000003</v>
      </c>
      <c r="W125" s="41">
        <f t="shared" si="69"/>
        <v>149800</v>
      </c>
      <c r="X125" s="43">
        <f t="shared" si="59"/>
        <v>0.30000000000000004</v>
      </c>
      <c r="Y125" s="44"/>
      <c r="Z125" s="44"/>
      <c r="AA125" s="44"/>
    </row>
    <row r="126" spans="2:27" ht="14.4" customHeight="1">
      <c r="B126" s="4">
        <v>122</v>
      </c>
      <c r="C126" s="39" t="s">
        <v>1347</v>
      </c>
      <c r="D126" s="5" t="str">
        <f t="shared" si="39"/>
        <v xml:space="preserve"> 112</v>
      </c>
      <c r="E126" s="6" t="s">
        <v>1347</v>
      </c>
      <c r="F126" s="7">
        <f t="shared" si="40"/>
        <v>0</v>
      </c>
      <c r="G126" s="8" t="s">
        <v>299</v>
      </c>
      <c r="H126" s="8" t="s">
        <v>582</v>
      </c>
      <c r="I126" s="8" t="s">
        <v>583</v>
      </c>
      <c r="J126" s="12"/>
      <c r="K126" s="13">
        <f t="shared" si="55"/>
        <v>0</v>
      </c>
      <c r="L126" s="7"/>
      <c r="M126" s="14">
        <f t="shared" ref="M126" si="85">J126-N126</f>
        <v>0</v>
      </c>
      <c r="N126" s="15"/>
      <c r="O126" s="40">
        <f t="shared" si="60"/>
        <v>0</v>
      </c>
      <c r="P126" s="106"/>
      <c r="Q126" s="3"/>
      <c r="R126" s="37"/>
      <c r="S126" s="37">
        <f t="shared" si="67"/>
        <v>0</v>
      </c>
      <c r="T126" s="37">
        <f t="shared" si="57"/>
        <v>0</v>
      </c>
      <c r="U126" s="41">
        <f t="shared" si="58"/>
        <v>0</v>
      </c>
      <c r="V126" s="42" t="e">
        <f t="shared" si="68"/>
        <v>#DIV/0!</v>
      </c>
      <c r="W126" s="41">
        <f t="shared" si="69"/>
        <v>0</v>
      </c>
      <c r="X126" s="43" t="e">
        <f t="shared" si="59"/>
        <v>#DIV/0!</v>
      </c>
      <c r="Y126" s="44"/>
      <c r="Z126" s="44"/>
      <c r="AA126" s="44"/>
    </row>
    <row r="127" spans="2:27" ht="14.4" customHeight="1">
      <c r="B127" s="4">
        <v>123</v>
      </c>
      <c r="C127" s="5" t="s">
        <v>249</v>
      </c>
      <c r="D127" s="5" t="str">
        <f t="shared" si="39"/>
        <v xml:space="preserve"> 168</v>
      </c>
      <c r="E127" s="6" t="s">
        <v>249</v>
      </c>
      <c r="F127" s="7">
        <f t="shared" si="40"/>
        <v>0</v>
      </c>
      <c r="G127" s="11" t="s">
        <v>299</v>
      </c>
      <c r="H127" s="11" t="s">
        <v>306</v>
      </c>
      <c r="I127" s="11" t="s">
        <v>361</v>
      </c>
      <c r="J127" s="12">
        <f>M127</f>
        <v>81000</v>
      </c>
      <c r="K127" s="13">
        <f t="shared" si="55"/>
        <v>0</v>
      </c>
      <c r="L127" s="17" t="s">
        <v>23</v>
      </c>
      <c r="M127" s="18">
        <v>81000</v>
      </c>
      <c r="N127" s="15">
        <f>2000+200+350+600+300+800</f>
        <v>4250</v>
      </c>
      <c r="O127" s="40">
        <f t="shared" si="60"/>
        <v>85250</v>
      </c>
      <c r="P127" s="106"/>
      <c r="Q127" s="3" t="s">
        <v>442</v>
      </c>
      <c r="R127" s="37"/>
      <c r="S127" s="37">
        <f t="shared" si="67"/>
        <v>85250</v>
      </c>
      <c r="T127" s="37">
        <f t="shared" si="57"/>
        <v>121785.71428571429</v>
      </c>
      <c r="U127" s="41">
        <f t="shared" si="58"/>
        <v>139183.67346938775</v>
      </c>
      <c r="V127" s="42">
        <f t="shared" si="68"/>
        <v>0.12499999999999994</v>
      </c>
      <c r="W127" s="41">
        <f t="shared" si="69"/>
        <v>139200</v>
      </c>
      <c r="X127" s="43">
        <f t="shared" si="59"/>
        <v>0.30000000000000004</v>
      </c>
      <c r="Y127" s="44"/>
      <c r="Z127" s="44"/>
      <c r="AA127" s="44"/>
    </row>
    <row r="128" spans="2:27" ht="14.4" customHeight="1">
      <c r="B128" s="4">
        <v>124</v>
      </c>
      <c r="C128" s="5" t="s">
        <v>1360</v>
      </c>
      <c r="D128" s="5" t="str">
        <f>REPLACE(C128,1,3, )</f>
        <v xml:space="preserve"> 148</v>
      </c>
      <c r="E128" s="6" t="s">
        <v>1360</v>
      </c>
      <c r="F128" s="7">
        <f t="shared" si="40"/>
        <v>0</v>
      </c>
      <c r="G128" s="11" t="s">
        <v>299</v>
      </c>
      <c r="H128" s="11" t="s">
        <v>307</v>
      </c>
      <c r="I128" s="11" t="s">
        <v>367</v>
      </c>
      <c r="J128" s="12">
        <f>M128</f>
        <v>110000</v>
      </c>
      <c r="K128" s="13">
        <f t="shared" si="55"/>
        <v>0</v>
      </c>
      <c r="L128" s="17" t="s">
        <v>23</v>
      </c>
      <c r="M128" s="18">
        <v>110000</v>
      </c>
      <c r="N128" s="15">
        <f>2000+200+350+600+3000</f>
        <v>6150</v>
      </c>
      <c r="O128" s="40">
        <f t="shared" si="60"/>
        <v>116150</v>
      </c>
      <c r="P128" s="106"/>
      <c r="Q128" s="3" t="s">
        <v>461</v>
      </c>
      <c r="R128" s="37"/>
      <c r="S128" s="37">
        <f t="shared" si="67"/>
        <v>116150</v>
      </c>
      <c r="T128" s="37">
        <f t="shared" si="57"/>
        <v>165928.57142857145</v>
      </c>
      <c r="U128" s="41">
        <f t="shared" si="58"/>
        <v>189632.65306122453</v>
      </c>
      <c r="V128" s="42">
        <f t="shared" si="68"/>
        <v>0.12500000000000006</v>
      </c>
      <c r="W128" s="41">
        <f t="shared" si="69"/>
        <v>189700</v>
      </c>
      <c r="X128" s="43">
        <f t="shared" si="59"/>
        <v>0.3000000000000001</v>
      </c>
      <c r="Y128" s="44"/>
      <c r="Z128" s="44"/>
      <c r="AA128" s="45"/>
    </row>
    <row r="129" spans="2:27" ht="14.4" customHeight="1">
      <c r="B129" s="4">
        <v>125</v>
      </c>
      <c r="C129" s="39" t="s">
        <v>586</v>
      </c>
      <c r="D129" s="5" t="str">
        <f t="shared" si="39"/>
        <v xml:space="preserve"> 939</v>
      </c>
      <c r="E129" s="6" t="s">
        <v>586</v>
      </c>
      <c r="F129" s="7">
        <f t="shared" si="40"/>
        <v>0</v>
      </c>
      <c r="G129" s="8" t="s">
        <v>299</v>
      </c>
      <c r="H129" s="8" t="s">
        <v>31</v>
      </c>
      <c r="I129" s="8" t="s">
        <v>587</v>
      </c>
      <c r="J129" s="12"/>
      <c r="K129" s="13">
        <f t="shared" si="55"/>
        <v>0</v>
      </c>
      <c r="L129" s="7"/>
      <c r="M129" s="14">
        <f t="shared" ref="M129" si="86">J129-N129</f>
        <v>0</v>
      </c>
      <c r="N129" s="15"/>
      <c r="O129" s="40">
        <f t="shared" si="60"/>
        <v>0</v>
      </c>
      <c r="P129" s="106"/>
      <c r="Q129" s="3"/>
      <c r="R129" s="37"/>
      <c r="S129" s="37">
        <f t="shared" si="67"/>
        <v>0</v>
      </c>
      <c r="T129" s="37">
        <f t="shared" si="57"/>
        <v>0</v>
      </c>
      <c r="U129" s="41">
        <f t="shared" si="58"/>
        <v>0</v>
      </c>
      <c r="V129" s="42" t="e">
        <f t="shared" si="68"/>
        <v>#DIV/0!</v>
      </c>
      <c r="W129" s="41">
        <f t="shared" si="69"/>
        <v>0</v>
      </c>
      <c r="X129" s="43" t="e">
        <f t="shared" si="59"/>
        <v>#DIV/0!</v>
      </c>
      <c r="Y129" s="44"/>
      <c r="Z129" s="44"/>
      <c r="AA129" s="45"/>
    </row>
    <row r="130" spans="2:27" ht="14.4" customHeight="1">
      <c r="B130" s="4">
        <v>126</v>
      </c>
      <c r="C130" s="5" t="s">
        <v>135</v>
      </c>
      <c r="D130" s="5" t="str">
        <f t="shared" si="39"/>
        <v xml:space="preserve"> 929</v>
      </c>
      <c r="E130" s="6" t="s">
        <v>135</v>
      </c>
      <c r="F130" s="7">
        <f t="shared" si="40"/>
        <v>0</v>
      </c>
      <c r="G130" s="11" t="s">
        <v>299</v>
      </c>
      <c r="H130" s="11" t="s">
        <v>307</v>
      </c>
      <c r="I130" s="11" t="s">
        <v>332</v>
      </c>
      <c r="J130" s="12">
        <v>112000</v>
      </c>
      <c r="K130" s="13">
        <f t="shared" si="55"/>
        <v>6150</v>
      </c>
      <c r="L130" s="7" t="s">
        <v>24</v>
      </c>
      <c r="M130" s="14">
        <f>J130-N130</f>
        <v>105850</v>
      </c>
      <c r="N130" s="14">
        <f>2000+200+350+600+3000</f>
        <v>6150</v>
      </c>
      <c r="O130" s="40">
        <f t="shared" si="60"/>
        <v>112000</v>
      </c>
      <c r="P130" s="106"/>
      <c r="Q130" s="3" t="s">
        <v>378</v>
      </c>
      <c r="R130" s="37"/>
      <c r="S130" s="37">
        <f t="shared" si="67"/>
        <v>112000</v>
      </c>
      <c r="T130" s="37">
        <f t="shared" si="57"/>
        <v>160000</v>
      </c>
      <c r="U130" s="41">
        <f t="shared" si="58"/>
        <v>182857.14285714287</v>
      </c>
      <c r="V130" s="42">
        <f t="shared" si="68"/>
        <v>0.12500000000000006</v>
      </c>
      <c r="W130" s="41">
        <f t="shared" si="69"/>
        <v>182900</v>
      </c>
      <c r="X130" s="43">
        <f t="shared" si="59"/>
        <v>0.3</v>
      </c>
      <c r="Y130" s="44"/>
      <c r="Z130" s="44"/>
      <c r="AA130" s="44"/>
    </row>
    <row r="131" spans="2:27" ht="14.4" customHeight="1">
      <c r="B131" s="4">
        <v>127</v>
      </c>
      <c r="C131" s="39" t="s">
        <v>588</v>
      </c>
      <c r="D131" s="5" t="str">
        <f t="shared" si="39"/>
        <v xml:space="preserve"> 238</v>
      </c>
      <c r="E131" s="6" t="s">
        <v>588</v>
      </c>
      <c r="F131" s="7">
        <f t="shared" si="40"/>
        <v>0</v>
      </c>
      <c r="G131" s="8" t="s">
        <v>21</v>
      </c>
      <c r="H131" s="8" t="s">
        <v>33</v>
      </c>
      <c r="I131" s="8" t="s">
        <v>589</v>
      </c>
      <c r="J131" s="101">
        <v>97500</v>
      </c>
      <c r="K131" s="101">
        <f t="shared" si="55"/>
        <v>3950</v>
      </c>
      <c r="L131" s="115" t="s">
        <v>1439</v>
      </c>
      <c r="M131" s="98">
        <f>J131-N131</f>
        <v>93550</v>
      </c>
      <c r="N131" s="98">
        <f>2000+650+800+200+300</f>
        <v>3950</v>
      </c>
      <c r="O131" s="112">
        <f>N131+M131</f>
        <v>97500</v>
      </c>
      <c r="P131" s="106"/>
      <c r="Q131" s="99" t="s">
        <v>1425</v>
      </c>
      <c r="R131" s="37"/>
      <c r="S131" s="37">
        <f t="shared" si="67"/>
        <v>97500</v>
      </c>
      <c r="T131" s="37">
        <f t="shared" si="57"/>
        <v>139285.71428571429</v>
      </c>
      <c r="U131" s="41">
        <f t="shared" si="58"/>
        <v>159183.67346938775</v>
      </c>
      <c r="V131" s="42">
        <f t="shared" si="68"/>
        <v>0.12499999999999996</v>
      </c>
      <c r="W131" s="41">
        <f t="shared" si="69"/>
        <v>159200</v>
      </c>
      <c r="X131" s="43">
        <f t="shared" si="59"/>
        <v>0.30000000000000004</v>
      </c>
      <c r="Y131" s="46">
        <v>143588</v>
      </c>
      <c r="Z131" s="47">
        <f>T131-Y131</f>
        <v>-4302.2857142857101</v>
      </c>
      <c r="AA131" s="48">
        <f>Z131/Y131</f>
        <v>-2.9962710771691995E-2</v>
      </c>
    </row>
    <row r="132" spans="2:27" ht="14.4" customHeight="1">
      <c r="B132" s="4">
        <v>128</v>
      </c>
      <c r="C132" s="5" t="s">
        <v>1382</v>
      </c>
      <c r="D132" s="5" t="str">
        <f>REPLACE(C132,1,3, )</f>
        <v xml:space="preserve"> 254</v>
      </c>
      <c r="E132" s="6" t="s">
        <v>1382</v>
      </c>
      <c r="F132" s="7">
        <f t="shared" si="40"/>
        <v>0</v>
      </c>
      <c r="G132" s="11" t="s">
        <v>299</v>
      </c>
      <c r="H132" s="11" t="s">
        <v>33</v>
      </c>
      <c r="I132" s="11" t="s">
        <v>368</v>
      </c>
      <c r="J132" s="12">
        <f>M132</f>
        <v>88000</v>
      </c>
      <c r="K132" s="13">
        <f t="shared" si="55"/>
        <v>0</v>
      </c>
      <c r="L132" s="17" t="s">
        <v>23</v>
      </c>
      <c r="M132" s="18">
        <v>88000</v>
      </c>
      <c r="N132" s="15">
        <f>2000+200+350+600+3000</f>
        <v>6150</v>
      </c>
      <c r="O132" s="40">
        <f t="shared" si="60"/>
        <v>94150</v>
      </c>
      <c r="P132" s="107"/>
      <c r="Q132" s="3" t="s">
        <v>461</v>
      </c>
      <c r="R132" s="37"/>
      <c r="S132" s="37">
        <f t="shared" si="67"/>
        <v>94150</v>
      </c>
      <c r="T132" s="37">
        <f t="shared" si="57"/>
        <v>134500</v>
      </c>
      <c r="U132" s="41">
        <f t="shared" si="58"/>
        <v>153714.28571428571</v>
      </c>
      <c r="V132" s="42">
        <f t="shared" si="68"/>
        <v>0.12499999999999997</v>
      </c>
      <c r="W132" s="41">
        <f t="shared" si="69"/>
        <v>153800</v>
      </c>
      <c r="X132" s="43">
        <f t="shared" si="59"/>
        <v>0.3</v>
      </c>
      <c r="Y132" s="44"/>
      <c r="Z132" s="44"/>
      <c r="AA132" s="44"/>
    </row>
    <row r="133" spans="2:27" ht="14.4" customHeight="1">
      <c r="B133" s="4">
        <v>129</v>
      </c>
      <c r="C133" s="5" t="s">
        <v>179</v>
      </c>
      <c r="D133" s="5" t="str">
        <f t="shared" si="39"/>
        <v xml:space="preserve"> 305</v>
      </c>
      <c r="E133" s="6" t="s">
        <v>179</v>
      </c>
      <c r="F133" s="7">
        <f t="shared" si="40"/>
        <v>0</v>
      </c>
      <c r="G133" s="11" t="s">
        <v>299</v>
      </c>
      <c r="H133" s="11" t="s">
        <v>33</v>
      </c>
      <c r="I133" s="11" t="s">
        <v>343</v>
      </c>
      <c r="J133" s="12">
        <v>98000</v>
      </c>
      <c r="K133" s="13">
        <f t="shared" ref="K133:K196" si="87">J133-M133</f>
        <v>7150</v>
      </c>
      <c r="L133" s="7" t="s">
        <v>24</v>
      </c>
      <c r="M133" s="14">
        <f>J133-N133</f>
        <v>90850</v>
      </c>
      <c r="N133" s="14">
        <f>2000+200+350+600+1000+3000</f>
        <v>7150</v>
      </c>
      <c r="O133" s="40">
        <f t="shared" si="60"/>
        <v>98000</v>
      </c>
      <c r="P133" s="106"/>
      <c r="Q133" s="3" t="s">
        <v>403</v>
      </c>
      <c r="R133" s="37">
        <v>7000</v>
      </c>
      <c r="S133" s="37">
        <f t="shared" si="67"/>
        <v>105000</v>
      </c>
      <c r="T133" s="37">
        <f t="shared" ref="T133:T196" si="88">S133/0.7</f>
        <v>150000</v>
      </c>
      <c r="U133" s="41">
        <f t="shared" ref="U133:U196" si="89">T133/0.875</f>
        <v>171428.57142857142</v>
      </c>
      <c r="V133" s="42">
        <f t="shared" si="68"/>
        <v>0.12499999999999996</v>
      </c>
      <c r="W133" s="41">
        <f t="shared" si="69"/>
        <v>171500</v>
      </c>
      <c r="X133" s="43">
        <f t="shared" ref="X133:X196" si="90">(T133-O133)/T133</f>
        <v>0.34666666666666668</v>
      </c>
      <c r="Y133" s="44"/>
      <c r="Z133" s="44"/>
      <c r="AA133" s="44"/>
    </row>
    <row r="134" spans="2:27" ht="14.4" customHeight="1">
      <c r="B134" s="4">
        <v>130</v>
      </c>
      <c r="C134" s="5" t="s">
        <v>133</v>
      </c>
      <c r="D134" s="5" t="str">
        <f t="shared" si="39"/>
        <v xml:space="preserve"> 718</v>
      </c>
      <c r="E134" s="6" t="s">
        <v>133</v>
      </c>
      <c r="F134" s="7">
        <f t="shared" si="40"/>
        <v>0</v>
      </c>
      <c r="G134" s="11" t="s">
        <v>299</v>
      </c>
      <c r="H134" s="11" t="s">
        <v>33</v>
      </c>
      <c r="I134" s="11" t="s">
        <v>332</v>
      </c>
      <c r="J134" s="12">
        <v>104000</v>
      </c>
      <c r="K134" s="13">
        <f t="shared" si="87"/>
        <v>3900</v>
      </c>
      <c r="L134" s="7" t="s">
        <v>24</v>
      </c>
      <c r="M134" s="14">
        <f>J134-N134</f>
        <v>100100</v>
      </c>
      <c r="N134" s="14">
        <f>2000+200+350+600+750</f>
        <v>3900</v>
      </c>
      <c r="O134" s="40">
        <f t="shared" ref="O134:O197" si="91">M134+N134</f>
        <v>104000</v>
      </c>
      <c r="P134" s="107"/>
      <c r="Q134" s="3" t="s">
        <v>377</v>
      </c>
      <c r="R134" s="37"/>
      <c r="S134" s="37">
        <f t="shared" si="67"/>
        <v>104000</v>
      </c>
      <c r="T134" s="37">
        <f t="shared" si="88"/>
        <v>148571.42857142858</v>
      </c>
      <c r="U134" s="41">
        <f t="shared" si="89"/>
        <v>169795.91836734695</v>
      </c>
      <c r="V134" s="42">
        <f t="shared" si="68"/>
        <v>0.12500000000000003</v>
      </c>
      <c r="W134" s="41">
        <f t="shared" si="69"/>
        <v>169800</v>
      </c>
      <c r="X134" s="43">
        <f t="shared" si="90"/>
        <v>0.30000000000000004</v>
      </c>
      <c r="Y134" s="44"/>
      <c r="Z134" s="44"/>
      <c r="AA134" s="45"/>
    </row>
    <row r="135" spans="2:27" ht="14.4" customHeight="1">
      <c r="B135" s="4">
        <v>131</v>
      </c>
      <c r="C135" s="5" t="s">
        <v>180</v>
      </c>
      <c r="D135" s="5" t="str">
        <f t="shared" si="39"/>
        <v xml:space="preserve"> 928</v>
      </c>
      <c r="E135" s="6" t="s">
        <v>180</v>
      </c>
      <c r="F135" s="7">
        <f t="shared" si="40"/>
        <v>0</v>
      </c>
      <c r="G135" s="11" t="s">
        <v>299</v>
      </c>
      <c r="H135" s="11" t="s">
        <v>33</v>
      </c>
      <c r="I135" s="11" t="s">
        <v>343</v>
      </c>
      <c r="J135" s="12">
        <v>98000</v>
      </c>
      <c r="K135" s="13">
        <f t="shared" si="87"/>
        <v>7150</v>
      </c>
      <c r="L135" s="7" t="s">
        <v>24</v>
      </c>
      <c r="M135" s="14">
        <f>J135-N135</f>
        <v>90850</v>
      </c>
      <c r="N135" s="14">
        <f>2000+200+350+600+1000+3000</f>
        <v>7150</v>
      </c>
      <c r="O135" s="40">
        <f t="shared" si="91"/>
        <v>98000</v>
      </c>
      <c r="P135" s="106"/>
      <c r="Q135" s="3" t="s">
        <v>403</v>
      </c>
      <c r="R135" s="37">
        <v>7000</v>
      </c>
      <c r="S135" s="37">
        <f t="shared" si="67"/>
        <v>105000</v>
      </c>
      <c r="T135" s="37">
        <f t="shared" si="88"/>
        <v>150000</v>
      </c>
      <c r="U135" s="41">
        <f t="shared" si="89"/>
        <v>171428.57142857142</v>
      </c>
      <c r="V135" s="42">
        <f t="shared" si="68"/>
        <v>0.12499999999999996</v>
      </c>
      <c r="W135" s="41">
        <f t="shared" si="69"/>
        <v>171500</v>
      </c>
      <c r="X135" s="43">
        <f t="shared" si="90"/>
        <v>0.34666666666666668</v>
      </c>
      <c r="Y135" s="44"/>
      <c r="Z135" s="44"/>
      <c r="AA135" s="44"/>
    </row>
    <row r="136" spans="2:27" ht="14.4" customHeight="1">
      <c r="B136" s="4">
        <v>132</v>
      </c>
      <c r="C136" s="39" t="s">
        <v>590</v>
      </c>
      <c r="D136" s="5" t="str">
        <f t="shared" si="39"/>
        <v xml:space="preserve"> 130</v>
      </c>
      <c r="E136" s="6" t="s">
        <v>590</v>
      </c>
      <c r="F136" s="7">
        <f t="shared" si="40"/>
        <v>0</v>
      </c>
      <c r="G136" s="8" t="s">
        <v>21</v>
      </c>
      <c r="H136" s="8" t="s">
        <v>33</v>
      </c>
      <c r="I136" s="8" t="s">
        <v>496</v>
      </c>
      <c r="J136" s="12"/>
      <c r="K136" s="13">
        <f t="shared" si="87"/>
        <v>0</v>
      </c>
      <c r="L136" s="7"/>
      <c r="M136" s="14">
        <f t="shared" ref="M136" si="92">J136-N136</f>
        <v>0</v>
      </c>
      <c r="N136" s="14"/>
      <c r="O136" s="40">
        <f t="shared" si="91"/>
        <v>0</v>
      </c>
      <c r="P136" s="106"/>
      <c r="Q136" s="3"/>
      <c r="R136" s="37"/>
      <c r="S136" s="37">
        <f t="shared" si="67"/>
        <v>0</v>
      </c>
      <c r="T136" s="37">
        <f t="shared" si="88"/>
        <v>0</v>
      </c>
      <c r="U136" s="41">
        <f t="shared" si="89"/>
        <v>0</v>
      </c>
      <c r="V136" s="42" t="e">
        <f t="shared" si="68"/>
        <v>#DIV/0!</v>
      </c>
      <c r="W136" s="41">
        <f t="shared" si="69"/>
        <v>0</v>
      </c>
      <c r="X136" s="43" t="e">
        <f t="shared" si="90"/>
        <v>#DIV/0!</v>
      </c>
      <c r="Y136" s="46">
        <v>131513</v>
      </c>
      <c r="Z136" s="47">
        <f>T136-Y136</f>
        <v>-131513</v>
      </c>
      <c r="AA136" s="48">
        <f>Z136/Y136</f>
        <v>-1</v>
      </c>
    </row>
    <row r="137" spans="2:27" ht="14.4" customHeight="1">
      <c r="B137" s="4">
        <v>133</v>
      </c>
      <c r="C137" s="5" t="s">
        <v>196</v>
      </c>
      <c r="D137" s="5" t="str">
        <f t="shared" si="39"/>
        <v xml:space="preserve"> 174</v>
      </c>
      <c r="E137" s="6" t="s">
        <v>196</v>
      </c>
      <c r="F137" s="7">
        <f t="shared" si="40"/>
        <v>0</v>
      </c>
      <c r="G137" s="11" t="s">
        <v>299</v>
      </c>
      <c r="H137" s="11" t="s">
        <v>33</v>
      </c>
      <c r="I137" s="11" t="s">
        <v>349</v>
      </c>
      <c r="J137" s="12">
        <v>104000</v>
      </c>
      <c r="K137" s="13">
        <f t="shared" si="87"/>
        <v>3900</v>
      </c>
      <c r="L137" s="7" t="s">
        <v>24</v>
      </c>
      <c r="M137" s="14">
        <f>J137-N137</f>
        <v>100100</v>
      </c>
      <c r="N137" s="15">
        <f>2000+200+350+600+750</f>
        <v>3900</v>
      </c>
      <c r="O137" s="40">
        <f t="shared" si="91"/>
        <v>104000</v>
      </c>
      <c r="P137" s="106"/>
      <c r="Q137" s="3" t="s">
        <v>400</v>
      </c>
      <c r="R137" s="37"/>
      <c r="S137" s="37">
        <f t="shared" si="67"/>
        <v>104000</v>
      </c>
      <c r="T137" s="37">
        <f t="shared" si="88"/>
        <v>148571.42857142858</v>
      </c>
      <c r="U137" s="41">
        <f t="shared" si="89"/>
        <v>169795.91836734695</v>
      </c>
      <c r="V137" s="42">
        <f t="shared" si="68"/>
        <v>0.12500000000000003</v>
      </c>
      <c r="W137" s="41">
        <f t="shared" si="69"/>
        <v>169800</v>
      </c>
      <c r="X137" s="43">
        <f t="shared" si="90"/>
        <v>0.30000000000000004</v>
      </c>
      <c r="Y137" s="44"/>
      <c r="Z137" s="44"/>
      <c r="AA137" s="45"/>
    </row>
    <row r="138" spans="2:27" ht="14.4" customHeight="1">
      <c r="B138" s="4">
        <v>134</v>
      </c>
      <c r="C138" s="5" t="s">
        <v>34</v>
      </c>
      <c r="D138" s="5" t="str">
        <f t="shared" si="39"/>
        <v xml:space="preserve"> 142</v>
      </c>
      <c r="E138" s="6" t="s">
        <v>34</v>
      </c>
      <c r="F138" s="7">
        <f t="shared" si="40"/>
        <v>0</v>
      </c>
      <c r="G138" s="11" t="s">
        <v>21</v>
      </c>
      <c r="H138" s="11" t="s">
        <v>29</v>
      </c>
      <c r="I138" s="11" t="s">
        <v>361</v>
      </c>
      <c r="J138" s="12"/>
      <c r="K138" s="13">
        <f t="shared" si="87"/>
        <v>0</v>
      </c>
      <c r="L138" s="7"/>
      <c r="M138" s="14">
        <f t="shared" ref="M138" si="93">J138-N138</f>
        <v>0</v>
      </c>
      <c r="N138" s="15"/>
      <c r="O138" s="40">
        <f t="shared" si="91"/>
        <v>0</v>
      </c>
      <c r="P138" s="106"/>
      <c r="Q138" s="3"/>
      <c r="R138" s="37"/>
      <c r="S138" s="37">
        <f t="shared" si="67"/>
        <v>0</v>
      </c>
      <c r="T138" s="37">
        <f t="shared" si="88"/>
        <v>0</v>
      </c>
      <c r="U138" s="41">
        <f t="shared" si="89"/>
        <v>0</v>
      </c>
      <c r="V138" s="42" t="e">
        <f t="shared" si="68"/>
        <v>#DIV/0!</v>
      </c>
      <c r="W138" s="41">
        <f t="shared" si="69"/>
        <v>0</v>
      </c>
      <c r="X138" s="43" t="e">
        <f t="shared" si="90"/>
        <v>#DIV/0!</v>
      </c>
      <c r="Y138" s="46">
        <v>137813</v>
      </c>
      <c r="Z138" s="47">
        <f>T138-Y138</f>
        <v>-137813</v>
      </c>
      <c r="AA138" s="48">
        <f>Z138/Y138</f>
        <v>-1</v>
      </c>
    </row>
    <row r="139" spans="2:27" ht="14.4" customHeight="1">
      <c r="B139" s="4">
        <v>135</v>
      </c>
      <c r="C139" s="5" t="s">
        <v>277</v>
      </c>
      <c r="D139" s="5" t="str">
        <f t="shared" si="39"/>
        <v xml:space="preserve"> 989</v>
      </c>
      <c r="E139" s="6" t="s">
        <v>277</v>
      </c>
      <c r="F139" s="7">
        <f t="shared" si="40"/>
        <v>0</v>
      </c>
      <c r="G139" s="11" t="s">
        <v>299</v>
      </c>
      <c r="H139" s="11" t="s">
        <v>33</v>
      </c>
      <c r="I139" s="11" t="s">
        <v>368</v>
      </c>
      <c r="J139" s="12">
        <f>M139</f>
        <v>82500</v>
      </c>
      <c r="K139" s="13">
        <f t="shared" si="87"/>
        <v>0</v>
      </c>
      <c r="L139" s="17" t="s">
        <v>23</v>
      </c>
      <c r="M139" s="18">
        <v>82500</v>
      </c>
      <c r="N139" s="15">
        <f>2000+200+350+600+3000</f>
        <v>6150</v>
      </c>
      <c r="O139" s="40">
        <f t="shared" si="91"/>
        <v>88650</v>
      </c>
      <c r="P139" s="107"/>
      <c r="Q139" s="3" t="s">
        <v>461</v>
      </c>
      <c r="R139" s="37"/>
      <c r="S139" s="37">
        <f t="shared" si="67"/>
        <v>88650</v>
      </c>
      <c r="T139" s="37">
        <f t="shared" si="88"/>
        <v>126642.85714285714</v>
      </c>
      <c r="U139" s="41">
        <f t="shared" si="89"/>
        <v>144734.69387755104</v>
      </c>
      <c r="V139" s="42">
        <f t="shared" si="68"/>
        <v>0.12500000000000008</v>
      </c>
      <c r="W139" s="41">
        <f t="shared" si="69"/>
        <v>144800</v>
      </c>
      <c r="X139" s="43">
        <f t="shared" si="90"/>
        <v>0.3</v>
      </c>
      <c r="Y139" s="44"/>
      <c r="Z139" s="44"/>
      <c r="AA139" s="44"/>
    </row>
    <row r="140" spans="2:27" ht="14.4" customHeight="1">
      <c r="B140" s="4">
        <v>136</v>
      </c>
      <c r="C140" s="5" t="s">
        <v>279</v>
      </c>
      <c r="D140" s="5" t="str">
        <f t="shared" si="39"/>
        <v xml:space="preserve"> 555</v>
      </c>
      <c r="E140" s="6" t="s">
        <v>279</v>
      </c>
      <c r="F140" s="7">
        <f t="shared" si="40"/>
        <v>0</v>
      </c>
      <c r="G140" s="11" t="s">
        <v>299</v>
      </c>
      <c r="H140" s="11" t="s">
        <v>33</v>
      </c>
      <c r="I140" s="11" t="s">
        <v>368</v>
      </c>
      <c r="J140" s="12">
        <f>M140</f>
        <v>88000</v>
      </c>
      <c r="K140" s="13">
        <f t="shared" si="87"/>
        <v>0</v>
      </c>
      <c r="L140" s="17" t="s">
        <v>23</v>
      </c>
      <c r="M140" s="18">
        <v>88000</v>
      </c>
      <c r="N140" s="15">
        <f>2000+200+350+600+3000</f>
        <v>6150</v>
      </c>
      <c r="O140" s="40">
        <f t="shared" si="91"/>
        <v>94150</v>
      </c>
      <c r="P140" s="107"/>
      <c r="Q140" s="3" t="s">
        <v>461</v>
      </c>
      <c r="R140" s="37"/>
      <c r="S140" s="37">
        <f t="shared" si="67"/>
        <v>94150</v>
      </c>
      <c r="T140" s="37">
        <f t="shared" si="88"/>
        <v>134500</v>
      </c>
      <c r="U140" s="41">
        <f t="shared" si="89"/>
        <v>153714.28571428571</v>
      </c>
      <c r="V140" s="42">
        <f t="shared" si="68"/>
        <v>0.12499999999999997</v>
      </c>
      <c r="W140" s="41">
        <f t="shared" si="69"/>
        <v>153800</v>
      </c>
      <c r="X140" s="43">
        <f t="shared" si="90"/>
        <v>0.3</v>
      </c>
      <c r="Y140" s="44"/>
      <c r="Z140" s="44"/>
      <c r="AA140" s="45"/>
    </row>
    <row r="141" spans="2:27" ht="14.4" customHeight="1">
      <c r="B141" s="4">
        <v>137</v>
      </c>
      <c r="C141" s="5" t="s">
        <v>134</v>
      </c>
      <c r="D141" s="5" t="str">
        <f t="shared" si="39"/>
        <v xml:space="preserve"> 742</v>
      </c>
      <c r="E141" s="6" t="s">
        <v>134</v>
      </c>
      <c r="F141" s="7">
        <f t="shared" si="40"/>
        <v>0</v>
      </c>
      <c r="G141" s="11" t="s">
        <v>299</v>
      </c>
      <c r="H141" s="11" t="s">
        <v>33</v>
      </c>
      <c r="I141" s="11" t="s">
        <v>332</v>
      </c>
      <c r="J141" s="12">
        <v>104000</v>
      </c>
      <c r="K141" s="13">
        <f t="shared" si="87"/>
        <v>3900</v>
      </c>
      <c r="L141" s="7" t="s">
        <v>24</v>
      </c>
      <c r="M141" s="14">
        <f t="shared" ref="M141:M188" si="94">J141-N141</f>
        <v>100100</v>
      </c>
      <c r="N141" s="14">
        <f>2000+200+350+600+750</f>
        <v>3900</v>
      </c>
      <c r="O141" s="40">
        <f t="shared" si="91"/>
        <v>104000</v>
      </c>
      <c r="P141" s="107"/>
      <c r="Q141" s="3" t="s">
        <v>377</v>
      </c>
      <c r="R141" s="37"/>
      <c r="S141" s="37">
        <f t="shared" si="67"/>
        <v>104000</v>
      </c>
      <c r="T141" s="37">
        <f t="shared" si="88"/>
        <v>148571.42857142858</v>
      </c>
      <c r="U141" s="41">
        <f t="shared" si="89"/>
        <v>169795.91836734695</v>
      </c>
      <c r="V141" s="42">
        <f t="shared" si="68"/>
        <v>0.12500000000000003</v>
      </c>
      <c r="W141" s="41">
        <f t="shared" si="69"/>
        <v>169800</v>
      </c>
      <c r="X141" s="43">
        <f t="shared" si="90"/>
        <v>0.30000000000000004</v>
      </c>
      <c r="Y141" s="44"/>
      <c r="Z141" s="44"/>
      <c r="AA141" s="45"/>
    </row>
    <row r="142" spans="2:27" ht="14.4" customHeight="1">
      <c r="B142" s="4">
        <v>138</v>
      </c>
      <c r="C142" s="5" t="s">
        <v>36</v>
      </c>
      <c r="D142" s="5" t="str">
        <f t="shared" si="39"/>
        <v xml:space="preserve"> 258</v>
      </c>
      <c r="E142" s="6" t="s">
        <v>36</v>
      </c>
      <c r="F142" s="7">
        <f t="shared" si="40"/>
        <v>0</v>
      </c>
      <c r="G142" s="11" t="s">
        <v>21</v>
      </c>
      <c r="H142" s="11" t="s">
        <v>323</v>
      </c>
      <c r="I142" s="11" t="s">
        <v>356</v>
      </c>
      <c r="J142" s="12">
        <v>86500</v>
      </c>
      <c r="K142" s="13">
        <f t="shared" si="87"/>
        <v>6650</v>
      </c>
      <c r="L142" s="7" t="s">
        <v>24</v>
      </c>
      <c r="M142" s="14">
        <f t="shared" si="94"/>
        <v>79850</v>
      </c>
      <c r="N142" s="15">
        <f>2000+200+350+600+500+3000</f>
        <v>6650</v>
      </c>
      <c r="O142" s="40">
        <f t="shared" si="91"/>
        <v>86500</v>
      </c>
      <c r="P142" s="106"/>
      <c r="Q142" s="3" t="s">
        <v>425</v>
      </c>
      <c r="R142" s="37"/>
      <c r="S142" s="37">
        <f t="shared" ref="S142:S205" si="95">R142+O142</f>
        <v>86500</v>
      </c>
      <c r="T142" s="37">
        <f t="shared" si="88"/>
        <v>123571.42857142858</v>
      </c>
      <c r="U142" s="41">
        <f t="shared" si="89"/>
        <v>141224.48979591837</v>
      </c>
      <c r="V142" s="42">
        <f t="shared" ref="V142:V205" si="96">(U142-T142)/U142</f>
        <v>0.12499999999999997</v>
      </c>
      <c r="W142" s="41">
        <f t="shared" ref="W142:W205" si="97">(ROUNDUP((U142/100),0))*100</f>
        <v>141300</v>
      </c>
      <c r="X142" s="43">
        <f t="shared" si="90"/>
        <v>0.30000000000000004</v>
      </c>
      <c r="Y142" s="46">
        <v>124338</v>
      </c>
      <c r="Z142" s="47">
        <f>T142-Y142</f>
        <v>-766.57142857142026</v>
      </c>
      <c r="AA142" s="48">
        <f>Z142/Y142</f>
        <v>-6.165222446648814E-3</v>
      </c>
    </row>
    <row r="143" spans="2:27" ht="14.4" customHeight="1">
      <c r="B143" s="4">
        <v>139</v>
      </c>
      <c r="C143" s="5" t="s">
        <v>37</v>
      </c>
      <c r="D143" s="5" t="str">
        <f t="shared" si="39"/>
        <v xml:space="preserve"> 317</v>
      </c>
      <c r="E143" s="6" t="s">
        <v>37</v>
      </c>
      <c r="F143" s="7">
        <f t="shared" si="40"/>
        <v>0</v>
      </c>
      <c r="G143" s="11" t="s">
        <v>21</v>
      </c>
      <c r="H143" s="11" t="s">
        <v>322</v>
      </c>
      <c r="I143" s="11" t="s">
        <v>356</v>
      </c>
      <c r="J143" s="12">
        <v>86500</v>
      </c>
      <c r="K143" s="13">
        <f t="shared" si="87"/>
        <v>6650</v>
      </c>
      <c r="L143" s="7" t="s">
        <v>24</v>
      </c>
      <c r="M143" s="14">
        <f t="shared" si="94"/>
        <v>79850</v>
      </c>
      <c r="N143" s="15">
        <f>2000+200+350+600+500+3000</f>
        <v>6650</v>
      </c>
      <c r="O143" s="40">
        <f t="shared" si="91"/>
        <v>86500</v>
      </c>
      <c r="P143" s="107"/>
      <c r="Q143" s="3" t="s">
        <v>425</v>
      </c>
      <c r="R143" s="37"/>
      <c r="S143" s="37">
        <f t="shared" si="95"/>
        <v>86500</v>
      </c>
      <c r="T143" s="37">
        <f t="shared" si="88"/>
        <v>123571.42857142858</v>
      </c>
      <c r="U143" s="41">
        <f t="shared" si="89"/>
        <v>141224.48979591837</v>
      </c>
      <c r="V143" s="42">
        <f t="shared" si="96"/>
        <v>0.12499999999999997</v>
      </c>
      <c r="W143" s="41">
        <f t="shared" si="97"/>
        <v>141300</v>
      </c>
      <c r="X143" s="43">
        <f t="shared" si="90"/>
        <v>0.30000000000000004</v>
      </c>
      <c r="Y143" s="46">
        <v>124338</v>
      </c>
      <c r="Z143" s="47">
        <f>T143-Y143</f>
        <v>-766.57142857142026</v>
      </c>
      <c r="AA143" s="48">
        <f>Z143/Y143</f>
        <v>-6.165222446648814E-3</v>
      </c>
    </row>
    <row r="144" spans="2:27" ht="14.4" customHeight="1">
      <c r="B144" s="4">
        <v>140</v>
      </c>
      <c r="C144" s="39" t="s">
        <v>591</v>
      </c>
      <c r="D144" s="5" t="str">
        <f t="shared" si="39"/>
        <v xml:space="preserve"> 228</v>
      </c>
      <c r="E144" s="6" t="s">
        <v>591</v>
      </c>
      <c r="F144" s="7">
        <f t="shared" si="40"/>
        <v>0</v>
      </c>
      <c r="G144" s="8" t="s">
        <v>21</v>
      </c>
      <c r="H144" s="8" t="s">
        <v>35</v>
      </c>
      <c r="I144" s="8" t="s">
        <v>496</v>
      </c>
      <c r="J144" s="12"/>
      <c r="K144" s="13">
        <f t="shared" si="87"/>
        <v>0</v>
      </c>
      <c r="L144" s="7"/>
      <c r="M144" s="14">
        <f t="shared" si="94"/>
        <v>0</v>
      </c>
      <c r="N144" s="15"/>
      <c r="O144" s="40">
        <f t="shared" si="91"/>
        <v>0</v>
      </c>
      <c r="P144" s="107"/>
      <c r="Q144" s="3"/>
      <c r="R144" s="37"/>
      <c r="S144" s="37">
        <f t="shared" si="95"/>
        <v>0</v>
      </c>
      <c r="T144" s="37">
        <f t="shared" si="88"/>
        <v>0</v>
      </c>
      <c r="U144" s="41">
        <f t="shared" si="89"/>
        <v>0</v>
      </c>
      <c r="V144" s="42" t="e">
        <f t="shared" si="96"/>
        <v>#DIV/0!</v>
      </c>
      <c r="W144" s="41">
        <f t="shared" si="97"/>
        <v>0</v>
      </c>
      <c r="X144" s="43" t="e">
        <f t="shared" si="90"/>
        <v>#DIV/0!</v>
      </c>
      <c r="Y144" s="46">
        <v>127226</v>
      </c>
      <c r="Z144" s="47">
        <f>T144-Y144</f>
        <v>-127226</v>
      </c>
      <c r="AA144" s="48">
        <f>Z144/Y144</f>
        <v>-1</v>
      </c>
    </row>
    <row r="145" spans="2:27" ht="14.4" customHeight="1">
      <c r="B145" s="4">
        <v>141</v>
      </c>
      <c r="C145" s="39" t="s">
        <v>592</v>
      </c>
      <c r="D145" s="5" t="str">
        <f t="shared" si="39"/>
        <v xml:space="preserve"> 190</v>
      </c>
      <c r="E145" s="6" t="s">
        <v>592</v>
      </c>
      <c r="F145" s="7">
        <f t="shared" si="40"/>
        <v>0</v>
      </c>
      <c r="G145" s="8" t="s">
        <v>299</v>
      </c>
      <c r="H145" s="8" t="s">
        <v>35</v>
      </c>
      <c r="I145" s="8" t="s">
        <v>496</v>
      </c>
      <c r="J145" s="12"/>
      <c r="K145" s="13">
        <f t="shared" si="87"/>
        <v>0</v>
      </c>
      <c r="L145" s="7"/>
      <c r="M145" s="14">
        <f t="shared" si="94"/>
        <v>0</v>
      </c>
      <c r="N145" s="15"/>
      <c r="O145" s="40">
        <f t="shared" si="91"/>
        <v>0</v>
      </c>
      <c r="P145" s="107"/>
      <c r="Q145" s="3"/>
      <c r="R145" s="37"/>
      <c r="S145" s="37">
        <f t="shared" si="95"/>
        <v>0</v>
      </c>
      <c r="T145" s="37">
        <f t="shared" si="88"/>
        <v>0</v>
      </c>
      <c r="U145" s="41">
        <f t="shared" si="89"/>
        <v>0</v>
      </c>
      <c r="V145" s="42" t="e">
        <f t="shared" si="96"/>
        <v>#DIV/0!</v>
      </c>
      <c r="W145" s="41">
        <f t="shared" si="97"/>
        <v>0</v>
      </c>
      <c r="X145" s="43" t="e">
        <f t="shared" si="90"/>
        <v>#DIV/0!</v>
      </c>
      <c r="Y145" s="46"/>
      <c r="Z145" s="47"/>
      <c r="AA145" s="48"/>
    </row>
    <row r="146" spans="2:27" ht="14.4" customHeight="1">
      <c r="B146" s="4">
        <v>142</v>
      </c>
      <c r="C146" s="39" t="s">
        <v>593</v>
      </c>
      <c r="D146" s="5" t="str">
        <f t="shared" si="39"/>
        <v xml:space="preserve"> 931</v>
      </c>
      <c r="E146" s="6" t="s">
        <v>593</v>
      </c>
      <c r="F146" s="7">
        <f t="shared" si="40"/>
        <v>0</v>
      </c>
      <c r="G146" s="8" t="s">
        <v>299</v>
      </c>
      <c r="H146" s="8" t="s">
        <v>35</v>
      </c>
      <c r="I146" s="8" t="s">
        <v>496</v>
      </c>
      <c r="J146" s="12"/>
      <c r="K146" s="13">
        <f t="shared" si="87"/>
        <v>0</v>
      </c>
      <c r="L146" s="7"/>
      <c r="M146" s="14">
        <f t="shared" si="94"/>
        <v>0</v>
      </c>
      <c r="N146" s="15"/>
      <c r="O146" s="40">
        <f t="shared" si="91"/>
        <v>0</v>
      </c>
      <c r="P146" s="107"/>
      <c r="Q146" s="3"/>
      <c r="R146" s="37"/>
      <c r="S146" s="37">
        <f t="shared" si="95"/>
        <v>0</v>
      </c>
      <c r="T146" s="37">
        <f t="shared" si="88"/>
        <v>0</v>
      </c>
      <c r="U146" s="41">
        <f t="shared" si="89"/>
        <v>0</v>
      </c>
      <c r="V146" s="42" t="e">
        <f t="shared" si="96"/>
        <v>#DIV/0!</v>
      </c>
      <c r="W146" s="41">
        <f t="shared" si="97"/>
        <v>0</v>
      </c>
      <c r="X146" s="43" t="e">
        <f t="shared" si="90"/>
        <v>#DIV/0!</v>
      </c>
      <c r="Y146" s="46"/>
      <c r="Z146" s="47"/>
      <c r="AA146" s="48"/>
    </row>
    <row r="147" spans="2:27" ht="14.4" customHeight="1">
      <c r="B147" s="4">
        <v>143</v>
      </c>
      <c r="C147" s="5" t="s">
        <v>178</v>
      </c>
      <c r="D147" s="5" t="str">
        <f t="shared" si="39"/>
        <v xml:space="preserve"> 170</v>
      </c>
      <c r="E147" s="6" t="s">
        <v>178</v>
      </c>
      <c r="F147" s="7">
        <f t="shared" si="40"/>
        <v>0</v>
      </c>
      <c r="G147" s="11" t="s">
        <v>299</v>
      </c>
      <c r="H147" s="11" t="s">
        <v>35</v>
      </c>
      <c r="I147" s="11" t="s">
        <v>343</v>
      </c>
      <c r="J147" s="12">
        <v>94000</v>
      </c>
      <c r="K147" s="13">
        <f t="shared" si="87"/>
        <v>4600</v>
      </c>
      <c r="L147" s="7" t="s">
        <v>24</v>
      </c>
      <c r="M147" s="14">
        <f t="shared" si="94"/>
        <v>89400</v>
      </c>
      <c r="N147" s="14">
        <f>2000+200+600+650+750+400</f>
        <v>4600</v>
      </c>
      <c r="O147" s="40">
        <f t="shared" si="91"/>
        <v>94000</v>
      </c>
      <c r="P147" s="106"/>
      <c r="Q147" s="3" t="s">
        <v>402</v>
      </c>
      <c r="R147" s="37"/>
      <c r="S147" s="37">
        <f t="shared" si="95"/>
        <v>94000</v>
      </c>
      <c r="T147" s="37">
        <f t="shared" si="88"/>
        <v>134285.71428571429</v>
      </c>
      <c r="U147" s="41">
        <f t="shared" si="89"/>
        <v>153469.38775510204</v>
      </c>
      <c r="V147" s="42">
        <f t="shared" si="96"/>
        <v>0.12499999999999997</v>
      </c>
      <c r="W147" s="41">
        <f t="shared" si="97"/>
        <v>153500</v>
      </c>
      <c r="X147" s="43">
        <f t="shared" si="90"/>
        <v>0.30000000000000004</v>
      </c>
      <c r="Y147" s="44"/>
      <c r="Z147" s="44"/>
      <c r="AA147" s="44"/>
    </row>
    <row r="148" spans="2:27" ht="14.4" customHeight="1">
      <c r="B148" s="4">
        <v>144</v>
      </c>
      <c r="C148" s="39" t="s">
        <v>594</v>
      </c>
      <c r="D148" s="5" t="str">
        <f t="shared" si="39"/>
        <v xml:space="preserve"> 274</v>
      </c>
      <c r="E148" s="6" t="s">
        <v>594</v>
      </c>
      <c r="F148" s="7">
        <f t="shared" si="40"/>
        <v>0</v>
      </c>
      <c r="G148" s="8" t="s">
        <v>299</v>
      </c>
      <c r="H148" s="8" t="s">
        <v>595</v>
      </c>
      <c r="I148" s="8" t="s">
        <v>529</v>
      </c>
      <c r="J148" s="12"/>
      <c r="K148" s="13">
        <f t="shared" si="87"/>
        <v>0</v>
      </c>
      <c r="L148" s="7"/>
      <c r="M148" s="14">
        <f t="shared" si="94"/>
        <v>0</v>
      </c>
      <c r="N148" s="14"/>
      <c r="O148" s="40">
        <f t="shared" si="91"/>
        <v>0</v>
      </c>
      <c r="P148" s="106"/>
      <c r="Q148" s="3"/>
      <c r="R148" s="37"/>
      <c r="S148" s="37">
        <f t="shared" si="95"/>
        <v>0</v>
      </c>
      <c r="T148" s="37">
        <f t="shared" si="88"/>
        <v>0</v>
      </c>
      <c r="U148" s="41">
        <f t="shared" si="89"/>
        <v>0</v>
      </c>
      <c r="V148" s="42" t="e">
        <f t="shared" si="96"/>
        <v>#DIV/0!</v>
      </c>
      <c r="W148" s="41">
        <f t="shared" si="97"/>
        <v>0</v>
      </c>
      <c r="X148" s="43" t="e">
        <f t="shared" si="90"/>
        <v>#DIV/0!</v>
      </c>
      <c r="Y148" s="44"/>
      <c r="Z148" s="44"/>
      <c r="AA148" s="44"/>
    </row>
    <row r="149" spans="2:27" ht="14.4" customHeight="1">
      <c r="B149" s="4">
        <v>145</v>
      </c>
      <c r="C149" s="39" t="s">
        <v>596</v>
      </c>
      <c r="D149" s="5" t="str">
        <f t="shared" si="39"/>
        <v xml:space="preserve"> 127</v>
      </c>
      <c r="E149" s="6" t="s">
        <v>596</v>
      </c>
      <c r="F149" s="7">
        <f t="shared" si="40"/>
        <v>0</v>
      </c>
      <c r="G149" s="8" t="s">
        <v>21</v>
      </c>
      <c r="H149" s="8" t="s">
        <v>35</v>
      </c>
      <c r="I149" s="8" t="s">
        <v>496</v>
      </c>
      <c r="J149" s="12"/>
      <c r="K149" s="13">
        <f t="shared" si="87"/>
        <v>0</v>
      </c>
      <c r="L149" s="7"/>
      <c r="M149" s="14">
        <f t="shared" si="94"/>
        <v>0</v>
      </c>
      <c r="N149" s="14"/>
      <c r="O149" s="40">
        <f t="shared" si="91"/>
        <v>0</v>
      </c>
      <c r="P149" s="106"/>
      <c r="Q149" s="3"/>
      <c r="R149" s="37"/>
      <c r="S149" s="37">
        <f t="shared" si="95"/>
        <v>0</v>
      </c>
      <c r="T149" s="37">
        <f t="shared" si="88"/>
        <v>0</v>
      </c>
      <c r="U149" s="41">
        <f t="shared" si="89"/>
        <v>0</v>
      </c>
      <c r="V149" s="42" t="e">
        <f t="shared" si="96"/>
        <v>#DIV/0!</v>
      </c>
      <c r="W149" s="41">
        <f t="shared" si="97"/>
        <v>0</v>
      </c>
      <c r="X149" s="43" t="e">
        <f t="shared" si="90"/>
        <v>#DIV/0!</v>
      </c>
      <c r="Y149" s="46">
        <v>122150</v>
      </c>
      <c r="Z149" s="47">
        <f>T149-Y149</f>
        <v>-122150</v>
      </c>
      <c r="AA149" s="48">
        <f>Z149/Y149</f>
        <v>-1</v>
      </c>
    </row>
    <row r="150" spans="2:27" ht="14.4" customHeight="1">
      <c r="B150" s="4">
        <v>146</v>
      </c>
      <c r="C150" s="5" t="s">
        <v>125</v>
      </c>
      <c r="D150" s="5" t="str">
        <f t="shared" si="39"/>
        <v xml:space="preserve"> 326</v>
      </c>
      <c r="E150" s="6" t="s">
        <v>125</v>
      </c>
      <c r="F150" s="7">
        <f t="shared" si="40"/>
        <v>0</v>
      </c>
      <c r="G150" s="7" t="s">
        <v>299</v>
      </c>
      <c r="H150" s="11" t="s">
        <v>35</v>
      </c>
      <c r="I150" s="11" t="s">
        <v>330</v>
      </c>
      <c r="J150" s="12">
        <v>93000</v>
      </c>
      <c r="K150" s="13">
        <f t="shared" si="87"/>
        <v>6950</v>
      </c>
      <c r="L150" s="7" t="s">
        <v>24</v>
      </c>
      <c r="M150" s="14">
        <f t="shared" si="94"/>
        <v>86050</v>
      </c>
      <c r="N150" s="14">
        <f>2000+200+600+750+3000+400</f>
        <v>6950</v>
      </c>
      <c r="O150" s="40">
        <f t="shared" si="91"/>
        <v>93000</v>
      </c>
      <c r="P150" s="107"/>
      <c r="Q150" s="3" t="s">
        <v>470</v>
      </c>
      <c r="R150" s="37"/>
      <c r="S150" s="37">
        <f t="shared" si="95"/>
        <v>93000</v>
      </c>
      <c r="T150" s="37">
        <f t="shared" si="88"/>
        <v>132857.14285714287</v>
      </c>
      <c r="U150" s="41">
        <f t="shared" si="89"/>
        <v>151836.73469387757</v>
      </c>
      <c r="V150" s="42">
        <f t="shared" si="96"/>
        <v>0.12500000000000006</v>
      </c>
      <c r="W150" s="41">
        <f t="shared" si="97"/>
        <v>151900</v>
      </c>
      <c r="X150" s="43">
        <f t="shared" si="90"/>
        <v>0.30000000000000004</v>
      </c>
      <c r="Y150" s="44"/>
      <c r="Z150" s="44"/>
      <c r="AA150" s="44"/>
    </row>
    <row r="151" spans="2:27" ht="14.4" customHeight="1">
      <c r="B151" s="4">
        <v>147</v>
      </c>
      <c r="C151" s="5" t="s">
        <v>951</v>
      </c>
      <c r="D151" s="5" t="str">
        <f t="shared" si="39"/>
        <v xml:space="preserve"> 894</v>
      </c>
      <c r="E151" s="6" t="s">
        <v>951</v>
      </c>
      <c r="F151" s="7">
        <f t="shared" si="40"/>
        <v>0</v>
      </c>
      <c r="G151" s="7" t="s">
        <v>299</v>
      </c>
      <c r="H151" s="11" t="s">
        <v>35</v>
      </c>
      <c r="I151" s="11" t="s">
        <v>496</v>
      </c>
      <c r="J151" s="12"/>
      <c r="K151" s="13">
        <f t="shared" si="87"/>
        <v>0</v>
      </c>
      <c r="L151" s="7"/>
      <c r="M151" s="14">
        <f t="shared" si="94"/>
        <v>0</v>
      </c>
      <c r="N151" s="14"/>
      <c r="O151" s="40">
        <f t="shared" si="91"/>
        <v>0</v>
      </c>
      <c r="P151" s="107"/>
      <c r="Q151" s="3"/>
      <c r="R151" s="37"/>
      <c r="S151" s="37">
        <f t="shared" si="95"/>
        <v>0</v>
      </c>
      <c r="T151" s="37">
        <f t="shared" si="88"/>
        <v>0</v>
      </c>
      <c r="U151" s="41">
        <f t="shared" si="89"/>
        <v>0</v>
      </c>
      <c r="V151" s="42" t="e">
        <f t="shared" si="96"/>
        <v>#DIV/0!</v>
      </c>
      <c r="W151" s="41">
        <f t="shared" si="97"/>
        <v>0</v>
      </c>
      <c r="X151" s="43" t="e">
        <f t="shared" si="90"/>
        <v>#DIV/0!</v>
      </c>
      <c r="Y151" s="44"/>
      <c r="Z151" s="44"/>
      <c r="AA151" s="44"/>
    </row>
    <row r="152" spans="2:27" ht="14.4" customHeight="1">
      <c r="B152" s="4">
        <v>148</v>
      </c>
      <c r="C152" s="5" t="s">
        <v>124</v>
      </c>
      <c r="D152" s="5" t="str">
        <f t="shared" si="39"/>
        <v xml:space="preserve"> 961</v>
      </c>
      <c r="E152" s="6" t="s">
        <v>124</v>
      </c>
      <c r="F152" s="7">
        <f t="shared" si="40"/>
        <v>0</v>
      </c>
      <c r="G152" s="7" t="s">
        <v>299</v>
      </c>
      <c r="H152" s="11" t="s">
        <v>302</v>
      </c>
      <c r="I152" s="11" t="s">
        <v>330</v>
      </c>
      <c r="J152" s="19">
        <v>93000</v>
      </c>
      <c r="K152" s="13">
        <f t="shared" si="87"/>
        <v>6950</v>
      </c>
      <c r="L152" s="7" t="s">
        <v>24</v>
      </c>
      <c r="M152" s="14">
        <f t="shared" si="94"/>
        <v>86050</v>
      </c>
      <c r="N152" s="14">
        <f>2000+200+600+750+3000+400</f>
        <v>6950</v>
      </c>
      <c r="O152" s="40">
        <f t="shared" si="91"/>
        <v>93000</v>
      </c>
      <c r="P152" s="106"/>
      <c r="Q152" s="3" t="s">
        <v>470</v>
      </c>
      <c r="R152" s="37"/>
      <c r="S152" s="37">
        <f t="shared" si="95"/>
        <v>93000</v>
      </c>
      <c r="T152" s="37">
        <f t="shared" si="88"/>
        <v>132857.14285714287</v>
      </c>
      <c r="U152" s="41">
        <f t="shared" si="89"/>
        <v>151836.73469387757</v>
      </c>
      <c r="V152" s="42">
        <f t="shared" si="96"/>
        <v>0.12500000000000006</v>
      </c>
      <c r="W152" s="41">
        <f t="shared" si="97"/>
        <v>151900</v>
      </c>
      <c r="X152" s="43">
        <f t="shared" si="90"/>
        <v>0.30000000000000004</v>
      </c>
      <c r="Y152" s="44"/>
      <c r="Z152" s="44"/>
      <c r="AA152" s="44"/>
    </row>
    <row r="153" spans="2:27" ht="14.4" customHeight="1">
      <c r="B153" s="4">
        <v>149</v>
      </c>
      <c r="C153" s="5" t="s">
        <v>1379</v>
      </c>
      <c r="D153" s="5" t="str">
        <f t="shared" si="39"/>
        <v xml:space="preserve"> 191</v>
      </c>
      <c r="E153" s="6" t="s">
        <v>1379</v>
      </c>
      <c r="F153" s="7">
        <f t="shared" si="40"/>
        <v>0</v>
      </c>
      <c r="G153" s="7" t="s">
        <v>21</v>
      </c>
      <c r="H153" s="11" t="s">
        <v>302</v>
      </c>
      <c r="I153" s="11" t="s">
        <v>330</v>
      </c>
      <c r="J153" s="19"/>
      <c r="K153" s="13">
        <f t="shared" si="87"/>
        <v>0</v>
      </c>
      <c r="L153" s="7"/>
      <c r="M153" s="14">
        <f t="shared" si="94"/>
        <v>0</v>
      </c>
      <c r="N153" s="14"/>
      <c r="O153" s="40">
        <f t="shared" si="91"/>
        <v>0</v>
      </c>
      <c r="P153" s="106"/>
      <c r="Q153" s="3"/>
      <c r="R153" s="37"/>
      <c r="S153" s="37">
        <f t="shared" si="95"/>
        <v>0</v>
      </c>
      <c r="T153" s="37">
        <f t="shared" si="88"/>
        <v>0</v>
      </c>
      <c r="U153" s="41">
        <f t="shared" si="89"/>
        <v>0</v>
      </c>
      <c r="V153" s="42" t="e">
        <f t="shared" si="96"/>
        <v>#DIV/0!</v>
      </c>
      <c r="W153" s="41">
        <f t="shared" si="97"/>
        <v>0</v>
      </c>
      <c r="X153" s="43" t="e">
        <f t="shared" si="90"/>
        <v>#DIV/0!</v>
      </c>
      <c r="Y153" s="46">
        <v>128625</v>
      </c>
      <c r="Z153" s="47">
        <f>T153-Y153</f>
        <v>-128625</v>
      </c>
      <c r="AA153" s="48">
        <f>Z153/Y153</f>
        <v>-1</v>
      </c>
    </row>
    <row r="154" spans="2:27" ht="14.4" customHeight="1">
      <c r="B154" s="4">
        <v>150</v>
      </c>
      <c r="C154" s="5" t="s">
        <v>956</v>
      </c>
      <c r="D154" s="5" t="str">
        <f t="shared" si="39"/>
        <v xml:space="preserve"> 871</v>
      </c>
      <c r="E154" s="6" t="s">
        <v>956</v>
      </c>
      <c r="F154" s="7">
        <f t="shared" si="40"/>
        <v>0</v>
      </c>
      <c r="G154" s="7" t="s">
        <v>299</v>
      </c>
      <c r="H154" s="11" t="s">
        <v>302</v>
      </c>
      <c r="I154" s="11" t="s">
        <v>343</v>
      </c>
      <c r="J154" s="19"/>
      <c r="K154" s="13">
        <f t="shared" si="87"/>
        <v>0</v>
      </c>
      <c r="L154" s="7"/>
      <c r="M154" s="14">
        <f t="shared" si="94"/>
        <v>0</v>
      </c>
      <c r="N154" s="14"/>
      <c r="O154" s="40">
        <f t="shared" si="91"/>
        <v>0</v>
      </c>
      <c r="P154" s="106"/>
      <c r="Q154" s="3"/>
      <c r="R154" s="37"/>
      <c r="S154" s="37">
        <f t="shared" si="95"/>
        <v>0</v>
      </c>
      <c r="T154" s="37">
        <f t="shared" si="88"/>
        <v>0</v>
      </c>
      <c r="U154" s="41">
        <f t="shared" si="89"/>
        <v>0</v>
      </c>
      <c r="V154" s="42" t="e">
        <f t="shared" si="96"/>
        <v>#DIV/0!</v>
      </c>
      <c r="W154" s="41">
        <f t="shared" si="97"/>
        <v>0</v>
      </c>
      <c r="X154" s="43" t="e">
        <f t="shared" si="90"/>
        <v>#DIV/0!</v>
      </c>
      <c r="Y154" s="44"/>
      <c r="Z154" s="44"/>
      <c r="AA154" s="44"/>
    </row>
    <row r="155" spans="2:27" ht="14.4" customHeight="1">
      <c r="B155" s="4">
        <v>151</v>
      </c>
      <c r="C155" s="5" t="s">
        <v>958</v>
      </c>
      <c r="D155" s="5" t="str">
        <f t="shared" si="39"/>
        <v xml:space="preserve"> 489</v>
      </c>
      <c r="E155" s="6" t="s">
        <v>958</v>
      </c>
      <c r="F155" s="7">
        <f t="shared" si="40"/>
        <v>0</v>
      </c>
      <c r="G155" s="7" t="s">
        <v>21</v>
      </c>
      <c r="H155" s="11" t="s">
        <v>302</v>
      </c>
      <c r="I155" s="11" t="s">
        <v>496</v>
      </c>
      <c r="J155" s="19"/>
      <c r="K155" s="13">
        <f t="shared" si="87"/>
        <v>0</v>
      </c>
      <c r="L155" s="7"/>
      <c r="M155" s="14">
        <f t="shared" si="94"/>
        <v>0</v>
      </c>
      <c r="N155" s="14"/>
      <c r="O155" s="40">
        <f t="shared" si="91"/>
        <v>0</v>
      </c>
      <c r="P155" s="106"/>
      <c r="Q155" s="3"/>
      <c r="R155" s="37"/>
      <c r="S155" s="37">
        <f t="shared" si="95"/>
        <v>0</v>
      </c>
      <c r="T155" s="37">
        <f t="shared" si="88"/>
        <v>0</v>
      </c>
      <c r="U155" s="41">
        <f t="shared" si="89"/>
        <v>0</v>
      </c>
      <c r="V155" s="42" t="e">
        <f t="shared" si="96"/>
        <v>#DIV/0!</v>
      </c>
      <c r="W155" s="41">
        <f t="shared" si="97"/>
        <v>0</v>
      </c>
      <c r="X155" s="43" t="e">
        <f t="shared" si="90"/>
        <v>#DIV/0!</v>
      </c>
      <c r="Y155" s="46">
        <v>128625</v>
      </c>
      <c r="Z155" s="47">
        <f>T155-Y155</f>
        <v>-128625</v>
      </c>
      <c r="AA155" s="48">
        <f>Z155/Y155</f>
        <v>-1</v>
      </c>
    </row>
    <row r="156" spans="2:27" ht="14.4" customHeight="1">
      <c r="B156" s="4">
        <v>152</v>
      </c>
      <c r="C156" s="5" t="s">
        <v>157</v>
      </c>
      <c r="D156" s="5" t="str">
        <f t="shared" si="39"/>
        <v xml:space="preserve"> 801</v>
      </c>
      <c r="E156" s="6" t="s">
        <v>157</v>
      </c>
      <c r="F156" s="7">
        <f t="shared" si="40"/>
        <v>0</v>
      </c>
      <c r="G156" s="11" t="s">
        <v>299</v>
      </c>
      <c r="H156" s="11" t="s">
        <v>51</v>
      </c>
      <c r="I156" s="11" t="s">
        <v>338</v>
      </c>
      <c r="J156" s="12">
        <v>67500</v>
      </c>
      <c r="K156" s="13">
        <f t="shared" si="87"/>
        <v>7500</v>
      </c>
      <c r="L156" s="7" t="s">
        <v>24</v>
      </c>
      <c r="M156" s="14">
        <f t="shared" si="94"/>
        <v>60000</v>
      </c>
      <c r="N156" s="14">
        <f t="shared" ref="N156:N168" si="98">2000+300+600+1000+3600</f>
        <v>7500</v>
      </c>
      <c r="O156" s="40">
        <f t="shared" si="91"/>
        <v>67500</v>
      </c>
      <c r="P156" s="106"/>
      <c r="Q156" s="3" t="s">
        <v>393</v>
      </c>
      <c r="R156" s="37"/>
      <c r="S156" s="37">
        <f t="shared" si="95"/>
        <v>67500</v>
      </c>
      <c r="T156" s="37">
        <f t="shared" si="88"/>
        <v>96428.571428571435</v>
      </c>
      <c r="U156" s="41">
        <f t="shared" si="89"/>
        <v>110204.08163265306</v>
      </c>
      <c r="V156" s="42">
        <f t="shared" si="96"/>
        <v>0.12499999999999994</v>
      </c>
      <c r="W156" s="41">
        <f t="shared" si="97"/>
        <v>110300</v>
      </c>
      <c r="X156" s="43">
        <f t="shared" si="90"/>
        <v>0.30000000000000004</v>
      </c>
      <c r="Y156" s="44"/>
      <c r="Z156" s="44"/>
      <c r="AA156" s="44"/>
    </row>
    <row r="157" spans="2:27" ht="14.4" customHeight="1">
      <c r="B157" s="4">
        <v>153</v>
      </c>
      <c r="C157" s="5" t="s">
        <v>203</v>
      </c>
      <c r="D157" s="5" t="str">
        <f t="shared" si="39"/>
        <v xml:space="preserve"> 113</v>
      </c>
      <c r="E157" s="6" t="s">
        <v>203</v>
      </c>
      <c r="F157" s="7">
        <f t="shared" si="40"/>
        <v>0</v>
      </c>
      <c r="G157" s="11" t="s">
        <v>299</v>
      </c>
      <c r="H157" s="11" t="s">
        <v>51</v>
      </c>
      <c r="I157" s="11" t="s">
        <v>351</v>
      </c>
      <c r="J157" s="12">
        <v>70000</v>
      </c>
      <c r="K157" s="13">
        <f t="shared" si="87"/>
        <v>7500</v>
      </c>
      <c r="L157" s="7" t="s">
        <v>24</v>
      </c>
      <c r="M157" s="14">
        <f t="shared" si="94"/>
        <v>62500</v>
      </c>
      <c r="N157" s="15">
        <f t="shared" si="98"/>
        <v>7500</v>
      </c>
      <c r="O157" s="40">
        <f t="shared" si="91"/>
        <v>70000</v>
      </c>
      <c r="P157" s="106"/>
      <c r="Q157" s="3" t="s">
        <v>414</v>
      </c>
      <c r="R157" s="37"/>
      <c r="S157" s="37">
        <f t="shared" si="95"/>
        <v>70000</v>
      </c>
      <c r="T157" s="37">
        <f t="shared" si="88"/>
        <v>100000</v>
      </c>
      <c r="U157" s="41">
        <f t="shared" si="89"/>
        <v>114285.71428571429</v>
      </c>
      <c r="V157" s="42">
        <f t="shared" si="96"/>
        <v>0.12500000000000003</v>
      </c>
      <c r="W157" s="41">
        <f t="shared" si="97"/>
        <v>114300</v>
      </c>
      <c r="X157" s="43">
        <f t="shared" si="90"/>
        <v>0.3</v>
      </c>
      <c r="Y157" s="49"/>
      <c r="Z157" s="44"/>
      <c r="AA157" s="45"/>
    </row>
    <row r="158" spans="2:27" ht="14.4" customHeight="1">
      <c r="B158" s="4">
        <v>154</v>
      </c>
      <c r="C158" s="39" t="s">
        <v>597</v>
      </c>
      <c r="D158" s="5" t="str">
        <f t="shared" si="39"/>
        <v xml:space="preserve"> 296</v>
      </c>
      <c r="E158" s="6" t="s">
        <v>597</v>
      </c>
      <c r="F158" s="7">
        <f t="shared" si="40"/>
        <v>0</v>
      </c>
      <c r="G158" s="8" t="s">
        <v>21</v>
      </c>
      <c r="H158" s="8" t="s">
        <v>51</v>
      </c>
      <c r="I158" s="8" t="s">
        <v>598</v>
      </c>
      <c r="J158" s="12">
        <f>72000+8000</f>
        <v>80000</v>
      </c>
      <c r="K158" s="13">
        <f t="shared" si="87"/>
        <v>7050</v>
      </c>
      <c r="L158" s="7" t="s">
        <v>24</v>
      </c>
      <c r="M158" s="14">
        <f t="shared" si="94"/>
        <v>72950</v>
      </c>
      <c r="N158" s="15">
        <f>2000+200+600+650+3600</f>
        <v>7050</v>
      </c>
      <c r="O158" s="40">
        <f t="shared" si="91"/>
        <v>80000</v>
      </c>
      <c r="P158" s="106"/>
      <c r="Q158" s="78" t="s">
        <v>1365</v>
      </c>
      <c r="R158" s="37"/>
      <c r="S158" s="37">
        <f t="shared" si="95"/>
        <v>80000</v>
      </c>
      <c r="T158" s="37">
        <f t="shared" si="88"/>
        <v>114285.71428571429</v>
      </c>
      <c r="U158" s="41">
        <f t="shared" si="89"/>
        <v>130612.24489795919</v>
      </c>
      <c r="V158" s="42">
        <f t="shared" si="96"/>
        <v>0.12499999999999999</v>
      </c>
      <c r="W158" s="41">
        <f t="shared" si="97"/>
        <v>130700</v>
      </c>
      <c r="X158" s="43">
        <f t="shared" si="90"/>
        <v>0.30000000000000004</v>
      </c>
      <c r="Y158" s="80">
        <v>108588</v>
      </c>
      <c r="Z158" s="47">
        <f>T158-Y158</f>
        <v>5697.7142857142899</v>
      </c>
      <c r="AA158" s="48">
        <f>Z158/Y158</f>
        <v>5.2470938646206673E-2</v>
      </c>
    </row>
    <row r="159" spans="2:27" ht="14.4" customHeight="1">
      <c r="B159" s="4">
        <v>155</v>
      </c>
      <c r="C159" s="39" t="s">
        <v>599</v>
      </c>
      <c r="D159" s="5" t="str">
        <f t="shared" si="39"/>
        <v xml:space="preserve"> 276</v>
      </c>
      <c r="E159" s="6" t="s">
        <v>599</v>
      </c>
      <c r="F159" s="7">
        <f t="shared" si="40"/>
        <v>0</v>
      </c>
      <c r="G159" s="8" t="s">
        <v>299</v>
      </c>
      <c r="H159" s="8" t="s">
        <v>51</v>
      </c>
      <c r="I159" s="8" t="s">
        <v>600</v>
      </c>
      <c r="J159" s="12"/>
      <c r="K159" s="13">
        <f t="shared" si="87"/>
        <v>0</v>
      </c>
      <c r="L159" s="7"/>
      <c r="M159" s="14">
        <f t="shared" si="94"/>
        <v>0</v>
      </c>
      <c r="N159" s="15"/>
      <c r="O159" s="40">
        <f t="shared" si="91"/>
        <v>0</v>
      </c>
      <c r="P159" s="106"/>
      <c r="Q159" s="3"/>
      <c r="R159" s="37"/>
      <c r="S159" s="37">
        <f t="shared" si="95"/>
        <v>0</v>
      </c>
      <c r="T159" s="37">
        <f t="shared" si="88"/>
        <v>0</v>
      </c>
      <c r="U159" s="41">
        <f t="shared" si="89"/>
        <v>0</v>
      </c>
      <c r="V159" s="42" t="e">
        <f t="shared" si="96"/>
        <v>#DIV/0!</v>
      </c>
      <c r="W159" s="41">
        <f t="shared" si="97"/>
        <v>0</v>
      </c>
      <c r="X159" s="43" t="e">
        <f t="shared" si="90"/>
        <v>#DIV/0!</v>
      </c>
      <c r="Y159" s="49"/>
      <c r="Z159" s="44"/>
      <c r="AA159" s="45"/>
    </row>
    <row r="160" spans="2:27" ht="14.4" customHeight="1">
      <c r="B160" s="4">
        <v>156</v>
      </c>
      <c r="C160" s="5" t="s">
        <v>156</v>
      </c>
      <c r="D160" s="5" t="str">
        <f t="shared" si="39"/>
        <v xml:space="preserve"> 673</v>
      </c>
      <c r="E160" s="6" t="s">
        <v>156</v>
      </c>
      <c r="F160" s="7">
        <f t="shared" si="40"/>
        <v>0</v>
      </c>
      <c r="G160" s="11" t="s">
        <v>299</v>
      </c>
      <c r="H160" s="11" t="s">
        <v>51</v>
      </c>
      <c r="I160" s="11" t="s">
        <v>338</v>
      </c>
      <c r="J160" s="12">
        <v>67500</v>
      </c>
      <c r="K160" s="13">
        <f t="shared" si="87"/>
        <v>7500</v>
      </c>
      <c r="L160" s="7" t="s">
        <v>24</v>
      </c>
      <c r="M160" s="14">
        <f t="shared" si="94"/>
        <v>60000</v>
      </c>
      <c r="N160" s="14">
        <f t="shared" si="98"/>
        <v>7500</v>
      </c>
      <c r="O160" s="40">
        <f t="shared" si="91"/>
        <v>67500</v>
      </c>
      <c r="P160" s="106"/>
      <c r="Q160" s="3" t="s">
        <v>393</v>
      </c>
      <c r="R160" s="37"/>
      <c r="S160" s="37">
        <f t="shared" si="95"/>
        <v>67500</v>
      </c>
      <c r="T160" s="37">
        <f t="shared" si="88"/>
        <v>96428.571428571435</v>
      </c>
      <c r="U160" s="41">
        <f t="shared" si="89"/>
        <v>110204.08163265306</v>
      </c>
      <c r="V160" s="42">
        <f t="shared" si="96"/>
        <v>0.12499999999999994</v>
      </c>
      <c r="W160" s="41">
        <f t="shared" si="97"/>
        <v>110300</v>
      </c>
      <c r="X160" s="43">
        <f t="shared" si="90"/>
        <v>0.30000000000000004</v>
      </c>
      <c r="Y160" s="44"/>
      <c r="Z160" s="44"/>
      <c r="AA160" s="45"/>
    </row>
    <row r="161" spans="2:27" ht="14.4" customHeight="1">
      <c r="B161" s="4">
        <v>157</v>
      </c>
      <c r="C161" s="39" t="s">
        <v>601</v>
      </c>
      <c r="D161" s="5" t="str">
        <f t="shared" si="39"/>
        <v xml:space="preserve"> 328</v>
      </c>
      <c r="E161" s="6" t="s">
        <v>601</v>
      </c>
      <c r="F161" s="7">
        <f t="shared" si="40"/>
        <v>0</v>
      </c>
      <c r="G161" s="8" t="s">
        <v>21</v>
      </c>
      <c r="H161" s="8" t="s">
        <v>51</v>
      </c>
      <c r="I161" s="8" t="s">
        <v>360</v>
      </c>
      <c r="J161" s="12"/>
      <c r="K161" s="13">
        <f t="shared" si="87"/>
        <v>0</v>
      </c>
      <c r="L161" s="7"/>
      <c r="M161" s="14">
        <f t="shared" si="94"/>
        <v>0</v>
      </c>
      <c r="N161" s="14"/>
      <c r="O161" s="40">
        <f t="shared" si="91"/>
        <v>0</v>
      </c>
      <c r="P161" s="106"/>
      <c r="Q161" s="3"/>
      <c r="R161" s="37"/>
      <c r="S161" s="37">
        <f t="shared" si="95"/>
        <v>0</v>
      </c>
      <c r="T161" s="37">
        <f t="shared" si="88"/>
        <v>0</v>
      </c>
      <c r="U161" s="41">
        <f t="shared" si="89"/>
        <v>0</v>
      </c>
      <c r="V161" s="42" t="e">
        <f t="shared" si="96"/>
        <v>#DIV/0!</v>
      </c>
      <c r="W161" s="41">
        <f t="shared" si="97"/>
        <v>0</v>
      </c>
      <c r="X161" s="43" t="e">
        <f t="shared" si="90"/>
        <v>#DIV/0!</v>
      </c>
      <c r="Y161" s="46">
        <v>128625</v>
      </c>
      <c r="Z161" s="47">
        <f t="shared" ref="Z161:Z162" si="99">T161-Y161</f>
        <v>-128625</v>
      </c>
      <c r="AA161" s="48">
        <f t="shared" ref="AA161:AA162" si="100">Z161/Y161</f>
        <v>-1</v>
      </c>
    </row>
    <row r="162" spans="2:27" ht="14.4" customHeight="1">
      <c r="B162" s="4">
        <v>158</v>
      </c>
      <c r="C162" s="39" t="s">
        <v>602</v>
      </c>
      <c r="D162" s="5" t="str">
        <f t="shared" ref="D162" si="101">REPLACE(C162,1,3, )</f>
        <v xml:space="preserve"> 548</v>
      </c>
      <c r="E162" s="6" t="s">
        <v>602</v>
      </c>
      <c r="F162" s="7">
        <f t="shared" ref="F162" si="102">IF(C162=E162,0,1)</f>
        <v>0</v>
      </c>
      <c r="G162" s="8" t="s">
        <v>21</v>
      </c>
      <c r="H162" s="8" t="s">
        <v>51</v>
      </c>
      <c r="I162" s="8" t="s">
        <v>598</v>
      </c>
      <c r="J162" s="12">
        <f>80000+11000</f>
        <v>91000</v>
      </c>
      <c r="K162" s="13">
        <f t="shared" si="87"/>
        <v>7400</v>
      </c>
      <c r="L162" s="7" t="s">
        <v>24</v>
      </c>
      <c r="M162" s="14">
        <f t="shared" si="94"/>
        <v>83600</v>
      </c>
      <c r="N162" s="14">
        <f>2000+200+600+1000+3600</f>
        <v>7400</v>
      </c>
      <c r="O162" s="40">
        <f t="shared" si="91"/>
        <v>91000</v>
      </c>
      <c r="P162" s="106"/>
      <c r="Q162" s="78" t="s">
        <v>1362</v>
      </c>
      <c r="R162" s="37">
        <v>-3000</v>
      </c>
      <c r="S162" s="37">
        <f t="shared" si="95"/>
        <v>88000</v>
      </c>
      <c r="T162" s="37">
        <f t="shared" si="88"/>
        <v>125714.28571428572</v>
      </c>
      <c r="U162" s="41">
        <f t="shared" si="89"/>
        <v>143673.46938775512</v>
      </c>
      <c r="V162" s="42">
        <f t="shared" si="96"/>
        <v>0.12500000000000003</v>
      </c>
      <c r="W162" s="41">
        <f t="shared" si="97"/>
        <v>143700</v>
      </c>
      <c r="X162" s="43">
        <f t="shared" si="90"/>
        <v>0.27613636363636368</v>
      </c>
      <c r="Y162" s="46">
        <v>117163</v>
      </c>
      <c r="Z162" s="47">
        <f t="shared" si="99"/>
        <v>8551.2857142857247</v>
      </c>
      <c r="AA162" s="48">
        <f t="shared" si="100"/>
        <v>7.2986230416477255E-2</v>
      </c>
    </row>
    <row r="163" spans="2:27" ht="14.4" customHeight="1">
      <c r="B163" s="4">
        <v>159</v>
      </c>
      <c r="C163" s="5" t="s">
        <v>201</v>
      </c>
      <c r="D163" s="5" t="str">
        <f t="shared" ref="D163:D254" si="103">REPLACE(C163,1,3, )</f>
        <v xml:space="preserve"> 319</v>
      </c>
      <c r="E163" s="6" t="s">
        <v>201</v>
      </c>
      <c r="F163" s="7">
        <f t="shared" ref="F163:F254" si="104">IF(C163=E163,0,1)</f>
        <v>0</v>
      </c>
      <c r="G163" s="11" t="s">
        <v>299</v>
      </c>
      <c r="H163" s="11" t="s">
        <v>51</v>
      </c>
      <c r="I163" s="11" t="s">
        <v>351</v>
      </c>
      <c r="J163" s="12">
        <v>67500</v>
      </c>
      <c r="K163" s="13">
        <f t="shared" si="87"/>
        <v>7500</v>
      </c>
      <c r="L163" s="7" t="s">
        <v>24</v>
      </c>
      <c r="M163" s="14">
        <f t="shared" si="94"/>
        <v>60000</v>
      </c>
      <c r="N163" s="15">
        <f t="shared" si="98"/>
        <v>7500</v>
      </c>
      <c r="O163" s="40">
        <f t="shared" si="91"/>
        <v>67500</v>
      </c>
      <c r="P163" s="106"/>
      <c r="Q163" s="3" t="s">
        <v>414</v>
      </c>
      <c r="R163" s="37"/>
      <c r="S163" s="37">
        <f t="shared" si="95"/>
        <v>67500</v>
      </c>
      <c r="T163" s="37">
        <f t="shared" si="88"/>
        <v>96428.571428571435</v>
      </c>
      <c r="U163" s="41">
        <f t="shared" si="89"/>
        <v>110204.08163265306</v>
      </c>
      <c r="V163" s="42">
        <f t="shared" si="96"/>
        <v>0.12499999999999994</v>
      </c>
      <c r="W163" s="41">
        <f t="shared" si="97"/>
        <v>110300</v>
      </c>
      <c r="X163" s="43">
        <f t="shared" si="90"/>
        <v>0.30000000000000004</v>
      </c>
      <c r="Y163" s="44"/>
      <c r="Z163" s="44"/>
      <c r="AA163" s="45"/>
    </row>
    <row r="164" spans="2:27" ht="14.4" customHeight="1">
      <c r="B164" s="4">
        <v>160</v>
      </c>
      <c r="C164" s="5" t="s">
        <v>98</v>
      </c>
      <c r="D164" s="5" t="str">
        <f t="shared" si="103"/>
        <v xml:space="preserve"> 713</v>
      </c>
      <c r="E164" s="6" t="s">
        <v>98</v>
      </c>
      <c r="F164" s="7">
        <f t="shared" si="104"/>
        <v>0</v>
      </c>
      <c r="G164" s="11" t="s">
        <v>21</v>
      </c>
      <c r="H164" s="11" t="s">
        <v>51</v>
      </c>
      <c r="I164" s="11" t="s">
        <v>360</v>
      </c>
      <c r="J164" s="12">
        <v>84000</v>
      </c>
      <c r="K164" s="13">
        <f t="shared" si="87"/>
        <v>7500</v>
      </c>
      <c r="L164" s="7" t="s">
        <v>24</v>
      </c>
      <c r="M164" s="14">
        <f t="shared" si="94"/>
        <v>76500</v>
      </c>
      <c r="N164" s="15">
        <f t="shared" si="98"/>
        <v>7500</v>
      </c>
      <c r="O164" s="40">
        <f t="shared" si="91"/>
        <v>84000</v>
      </c>
      <c r="P164" s="106"/>
      <c r="Q164" s="3" t="s">
        <v>414</v>
      </c>
      <c r="R164" s="37"/>
      <c r="S164" s="37">
        <f t="shared" si="95"/>
        <v>84000</v>
      </c>
      <c r="T164" s="37">
        <f t="shared" si="88"/>
        <v>120000.00000000001</v>
      </c>
      <c r="U164" s="41">
        <f t="shared" si="89"/>
        <v>137142.85714285716</v>
      </c>
      <c r="V164" s="42">
        <f t="shared" si="96"/>
        <v>0.125</v>
      </c>
      <c r="W164" s="41">
        <f t="shared" si="97"/>
        <v>137200</v>
      </c>
      <c r="X164" s="43">
        <f t="shared" si="90"/>
        <v>0.3000000000000001</v>
      </c>
      <c r="Y164" s="46">
        <v>118650</v>
      </c>
      <c r="Z164" s="47">
        <f>T164-Y164</f>
        <v>1350.0000000000146</v>
      </c>
      <c r="AA164" s="48">
        <f>Z164/Y164</f>
        <v>1.137800252844513E-2</v>
      </c>
    </row>
    <row r="165" spans="2:27" ht="14.4" customHeight="1">
      <c r="B165" s="4">
        <v>161</v>
      </c>
      <c r="C165" s="39" t="s">
        <v>603</v>
      </c>
      <c r="D165" s="5" t="str">
        <f t="shared" si="103"/>
        <v xml:space="preserve"> 918</v>
      </c>
      <c r="E165" s="6" t="s">
        <v>603</v>
      </c>
      <c r="F165" s="7">
        <f t="shared" si="104"/>
        <v>0</v>
      </c>
      <c r="G165" s="8" t="s">
        <v>21</v>
      </c>
      <c r="H165" s="8" t="s">
        <v>51</v>
      </c>
      <c r="I165" s="8" t="s">
        <v>598</v>
      </c>
      <c r="J165" s="12">
        <f>77000+11000</f>
        <v>88000</v>
      </c>
      <c r="K165" s="13">
        <f t="shared" si="87"/>
        <v>6800</v>
      </c>
      <c r="L165" s="7" t="s">
        <v>24</v>
      </c>
      <c r="M165" s="14">
        <f t="shared" si="94"/>
        <v>81200</v>
      </c>
      <c r="N165" s="15">
        <f>2000+200+600+1000+3000</f>
        <v>6800</v>
      </c>
      <c r="O165" s="40">
        <f t="shared" si="91"/>
        <v>88000</v>
      </c>
      <c r="P165" s="106"/>
      <c r="Q165" s="78" t="s">
        <v>1364</v>
      </c>
      <c r="R165" s="37"/>
      <c r="S165" s="37">
        <f t="shared" si="95"/>
        <v>88000</v>
      </c>
      <c r="T165" s="37">
        <f t="shared" si="88"/>
        <v>125714.28571428572</v>
      </c>
      <c r="U165" s="41">
        <f t="shared" si="89"/>
        <v>143673.46938775512</v>
      </c>
      <c r="V165" s="42">
        <f t="shared" si="96"/>
        <v>0.12500000000000003</v>
      </c>
      <c r="W165" s="41">
        <f t="shared" si="97"/>
        <v>143700</v>
      </c>
      <c r="X165" s="43">
        <f t="shared" si="90"/>
        <v>0.30000000000000004</v>
      </c>
      <c r="Y165" s="46">
        <v>113575</v>
      </c>
      <c r="Z165" s="47">
        <f>T165-Y165</f>
        <v>12139.285714285725</v>
      </c>
      <c r="AA165" s="48">
        <f>Z165/Y165</f>
        <v>0.10688343133863724</v>
      </c>
    </row>
    <row r="166" spans="2:27" ht="14.4" customHeight="1">
      <c r="B166" s="4">
        <v>162</v>
      </c>
      <c r="C166" s="39" t="s">
        <v>604</v>
      </c>
      <c r="D166" s="5" t="str">
        <f t="shared" si="103"/>
        <v xml:space="preserve"> 787</v>
      </c>
      <c r="E166" s="6" t="s">
        <v>604</v>
      </c>
      <c r="F166" s="7">
        <f t="shared" si="104"/>
        <v>0</v>
      </c>
      <c r="G166" s="8" t="s">
        <v>299</v>
      </c>
      <c r="H166" s="8" t="s">
        <v>51</v>
      </c>
      <c r="I166" s="8" t="s">
        <v>605</v>
      </c>
      <c r="J166" s="12"/>
      <c r="K166" s="13">
        <f t="shared" si="87"/>
        <v>0</v>
      </c>
      <c r="L166" s="7"/>
      <c r="M166" s="14">
        <f t="shared" si="94"/>
        <v>0</v>
      </c>
      <c r="N166" s="15"/>
      <c r="O166" s="40">
        <f t="shared" si="91"/>
        <v>0</v>
      </c>
      <c r="P166" s="106"/>
      <c r="Q166" s="3"/>
      <c r="R166" s="37"/>
      <c r="S166" s="37">
        <f t="shared" si="95"/>
        <v>0</v>
      </c>
      <c r="T166" s="37">
        <f t="shared" si="88"/>
        <v>0</v>
      </c>
      <c r="U166" s="41">
        <f t="shared" si="89"/>
        <v>0</v>
      </c>
      <c r="V166" s="42" t="e">
        <f t="shared" si="96"/>
        <v>#DIV/0!</v>
      </c>
      <c r="W166" s="41">
        <f t="shared" si="97"/>
        <v>0</v>
      </c>
      <c r="X166" s="43" t="e">
        <f t="shared" si="90"/>
        <v>#DIV/0!</v>
      </c>
      <c r="Y166" s="46"/>
      <c r="Z166" s="47"/>
      <c r="AA166" s="48"/>
    </row>
    <row r="167" spans="2:27" ht="14.4" customHeight="1">
      <c r="B167" s="4">
        <v>163</v>
      </c>
      <c r="C167" s="5" t="s">
        <v>97</v>
      </c>
      <c r="D167" s="5" t="str">
        <f t="shared" si="103"/>
        <v xml:space="preserve"> 252</v>
      </c>
      <c r="E167" s="6" t="s">
        <v>97</v>
      </c>
      <c r="F167" s="7">
        <f t="shared" si="104"/>
        <v>0</v>
      </c>
      <c r="G167" s="11" t="s">
        <v>21</v>
      </c>
      <c r="H167" s="11" t="s">
        <v>51</v>
      </c>
      <c r="I167" s="11" t="s">
        <v>360</v>
      </c>
      <c r="J167" s="12">
        <v>73500</v>
      </c>
      <c r="K167" s="13">
        <f t="shared" si="87"/>
        <v>7500</v>
      </c>
      <c r="L167" s="7" t="s">
        <v>24</v>
      </c>
      <c r="M167" s="14">
        <f t="shared" si="94"/>
        <v>66000</v>
      </c>
      <c r="N167" s="15">
        <f t="shared" si="98"/>
        <v>7500</v>
      </c>
      <c r="O167" s="40">
        <f t="shared" si="91"/>
        <v>73500</v>
      </c>
      <c r="P167" s="106"/>
      <c r="Q167" s="3" t="s">
        <v>414</v>
      </c>
      <c r="R167" s="37"/>
      <c r="S167" s="37">
        <f t="shared" si="95"/>
        <v>73500</v>
      </c>
      <c r="T167" s="37">
        <f t="shared" si="88"/>
        <v>105000</v>
      </c>
      <c r="U167" s="41">
        <f t="shared" si="89"/>
        <v>120000</v>
      </c>
      <c r="V167" s="42">
        <f t="shared" si="96"/>
        <v>0.125</v>
      </c>
      <c r="W167" s="41">
        <f t="shared" si="97"/>
        <v>120000</v>
      </c>
      <c r="X167" s="43">
        <f t="shared" si="90"/>
        <v>0.3</v>
      </c>
      <c r="Y167" s="46">
        <v>105000</v>
      </c>
      <c r="Z167" s="47">
        <f>T167-Y167</f>
        <v>0</v>
      </c>
      <c r="AA167" s="48">
        <f>Z167/Y167</f>
        <v>0</v>
      </c>
    </row>
    <row r="168" spans="2:27" ht="14.4" customHeight="1">
      <c r="B168" s="4">
        <v>164</v>
      </c>
      <c r="C168" s="5" t="s">
        <v>56</v>
      </c>
      <c r="D168" s="5" t="str">
        <f t="shared" si="103"/>
        <v xml:space="preserve"> 126</v>
      </c>
      <c r="E168" s="6" t="s">
        <v>56</v>
      </c>
      <c r="F168" s="7">
        <f t="shared" si="104"/>
        <v>0</v>
      </c>
      <c r="G168" s="11" t="s">
        <v>299</v>
      </c>
      <c r="H168" s="11" t="s">
        <v>51</v>
      </c>
      <c r="I168" s="11" t="s">
        <v>360</v>
      </c>
      <c r="J168" s="12">
        <v>77000</v>
      </c>
      <c r="K168" s="13">
        <f t="shared" si="87"/>
        <v>7500</v>
      </c>
      <c r="L168" s="7" t="s">
        <v>24</v>
      </c>
      <c r="M168" s="14">
        <f t="shared" si="94"/>
        <v>69500</v>
      </c>
      <c r="N168" s="15">
        <f t="shared" si="98"/>
        <v>7500</v>
      </c>
      <c r="O168" s="40">
        <f t="shared" si="91"/>
        <v>77000</v>
      </c>
      <c r="P168" s="106"/>
      <c r="Q168" s="3" t="s">
        <v>414</v>
      </c>
      <c r="R168" s="37"/>
      <c r="S168" s="37">
        <f t="shared" si="95"/>
        <v>77000</v>
      </c>
      <c r="T168" s="37">
        <f t="shared" si="88"/>
        <v>110000</v>
      </c>
      <c r="U168" s="41">
        <f t="shared" si="89"/>
        <v>125714.28571428571</v>
      </c>
      <c r="V168" s="42">
        <f t="shared" si="96"/>
        <v>0.12499999999999997</v>
      </c>
      <c r="W168" s="41">
        <f t="shared" si="97"/>
        <v>125800</v>
      </c>
      <c r="X168" s="43">
        <f t="shared" si="90"/>
        <v>0.3</v>
      </c>
      <c r="Y168" s="44"/>
      <c r="Z168" s="44"/>
      <c r="AA168" s="44"/>
    </row>
    <row r="169" spans="2:27" ht="14.4" customHeight="1">
      <c r="B169" s="4">
        <v>165</v>
      </c>
      <c r="C169" s="6" t="s">
        <v>973</v>
      </c>
      <c r="D169" s="5" t="str">
        <f t="shared" si="103"/>
        <v xml:space="preserve"> 250</v>
      </c>
      <c r="E169" s="6" t="s">
        <v>973</v>
      </c>
      <c r="F169" s="7">
        <f t="shared" si="104"/>
        <v>0</v>
      </c>
      <c r="G169" s="8" t="s">
        <v>299</v>
      </c>
      <c r="H169" s="8" t="s">
        <v>643</v>
      </c>
      <c r="I169" s="8" t="s">
        <v>646</v>
      </c>
      <c r="J169" s="12">
        <v>84000</v>
      </c>
      <c r="K169" s="13">
        <f t="shared" si="87"/>
        <v>7400</v>
      </c>
      <c r="L169" s="7"/>
      <c r="M169" s="14">
        <f t="shared" si="94"/>
        <v>76600</v>
      </c>
      <c r="N169" s="15">
        <f>2000+200+600+1000+3600</f>
        <v>7400</v>
      </c>
      <c r="O169" s="40">
        <f t="shared" si="91"/>
        <v>84000</v>
      </c>
      <c r="P169" s="106"/>
      <c r="Q169" s="78" t="s">
        <v>1376</v>
      </c>
      <c r="R169" s="37"/>
      <c r="S169" s="37">
        <f t="shared" si="95"/>
        <v>84000</v>
      </c>
      <c r="T169" s="37">
        <f t="shared" si="88"/>
        <v>120000.00000000001</v>
      </c>
      <c r="U169" s="41">
        <f t="shared" si="89"/>
        <v>137142.85714285716</v>
      </c>
      <c r="V169" s="42">
        <f t="shared" si="96"/>
        <v>0.125</v>
      </c>
      <c r="W169" s="41">
        <f t="shared" si="97"/>
        <v>137200</v>
      </c>
      <c r="X169" s="43">
        <f t="shared" si="90"/>
        <v>0.3000000000000001</v>
      </c>
      <c r="Y169" s="44"/>
      <c r="Z169" s="44"/>
      <c r="AA169" s="44"/>
    </row>
    <row r="170" spans="2:27" ht="14.4" customHeight="1">
      <c r="B170" s="4">
        <v>166</v>
      </c>
      <c r="C170" s="6" t="s">
        <v>976</v>
      </c>
      <c r="D170" s="5" t="str">
        <f t="shared" si="103"/>
        <v xml:space="preserve"> 708</v>
      </c>
      <c r="E170" s="6" t="s">
        <v>976</v>
      </c>
      <c r="F170" s="7">
        <f t="shared" si="104"/>
        <v>0</v>
      </c>
      <c r="G170" s="8" t="s">
        <v>299</v>
      </c>
      <c r="H170" s="8" t="s">
        <v>643</v>
      </c>
      <c r="I170" s="8" t="s">
        <v>644</v>
      </c>
      <c r="J170" s="12">
        <f>75000</f>
        <v>75000</v>
      </c>
      <c r="K170" s="13">
        <f t="shared" si="87"/>
        <v>5800</v>
      </c>
      <c r="L170" s="7" t="s">
        <v>24</v>
      </c>
      <c r="M170" s="14">
        <f t="shared" si="94"/>
        <v>69200</v>
      </c>
      <c r="N170" s="15">
        <f>2000+200+600+3000</f>
        <v>5800</v>
      </c>
      <c r="O170" s="40">
        <f t="shared" si="91"/>
        <v>75000</v>
      </c>
      <c r="P170" s="106"/>
      <c r="Q170" s="78" t="s">
        <v>1363</v>
      </c>
      <c r="R170" s="37"/>
      <c r="S170" s="37">
        <f t="shared" si="95"/>
        <v>75000</v>
      </c>
      <c r="T170" s="37">
        <f t="shared" si="88"/>
        <v>107142.85714285714</v>
      </c>
      <c r="U170" s="41">
        <f t="shared" si="89"/>
        <v>122448.97959183673</v>
      </c>
      <c r="V170" s="42">
        <f t="shared" si="96"/>
        <v>0.12499999999999996</v>
      </c>
      <c r="W170" s="41">
        <f t="shared" si="97"/>
        <v>122500</v>
      </c>
      <c r="X170" s="43">
        <f t="shared" si="90"/>
        <v>0.3</v>
      </c>
      <c r="Y170" s="44"/>
      <c r="Z170" s="44"/>
      <c r="AA170" s="44"/>
    </row>
    <row r="171" spans="2:27" ht="14.4" customHeight="1">
      <c r="B171" s="4">
        <v>167</v>
      </c>
      <c r="C171" s="5" t="s">
        <v>55</v>
      </c>
      <c r="D171" s="5" t="str">
        <f t="shared" si="103"/>
        <v xml:space="preserve"> 194</v>
      </c>
      <c r="E171" s="6" t="s">
        <v>55</v>
      </c>
      <c r="F171" s="7">
        <f t="shared" si="104"/>
        <v>0</v>
      </c>
      <c r="G171" s="11" t="s">
        <v>21</v>
      </c>
      <c r="H171" s="11" t="s">
        <v>51</v>
      </c>
      <c r="I171" s="11" t="s">
        <v>360</v>
      </c>
      <c r="J171" s="12">
        <v>83000</v>
      </c>
      <c r="K171" s="13">
        <f t="shared" si="87"/>
        <v>7500</v>
      </c>
      <c r="L171" s="7" t="s">
        <v>24</v>
      </c>
      <c r="M171" s="14">
        <f t="shared" si="94"/>
        <v>75500</v>
      </c>
      <c r="N171" s="15">
        <v>7500</v>
      </c>
      <c r="O171" s="40">
        <f t="shared" si="91"/>
        <v>83000</v>
      </c>
      <c r="P171" s="107"/>
      <c r="Q171" s="3" t="s">
        <v>414</v>
      </c>
      <c r="R171" s="37"/>
      <c r="S171" s="37">
        <f t="shared" si="95"/>
        <v>83000</v>
      </c>
      <c r="T171" s="37">
        <f t="shared" si="88"/>
        <v>118571.42857142858</v>
      </c>
      <c r="U171" s="41">
        <f t="shared" si="89"/>
        <v>135510.20408163266</v>
      </c>
      <c r="V171" s="42">
        <f t="shared" si="96"/>
        <v>0.125</v>
      </c>
      <c r="W171" s="41">
        <f t="shared" si="97"/>
        <v>135600</v>
      </c>
      <c r="X171" s="43">
        <f t="shared" si="90"/>
        <v>0.30000000000000004</v>
      </c>
      <c r="Y171" s="46">
        <v>118650</v>
      </c>
      <c r="Z171" s="47">
        <f>T171-Y171</f>
        <v>-78.571428571420256</v>
      </c>
      <c r="AA171" s="48">
        <f>Z171/Y171</f>
        <v>-6.6221178736974515E-4</v>
      </c>
    </row>
    <row r="172" spans="2:27" ht="14.4" customHeight="1">
      <c r="B172" s="4">
        <v>168</v>
      </c>
      <c r="C172" s="5" t="s">
        <v>52</v>
      </c>
      <c r="D172" s="5" t="str">
        <f t="shared" si="103"/>
        <v xml:space="preserve"> 690</v>
      </c>
      <c r="E172" s="6" t="s">
        <v>52</v>
      </c>
      <c r="F172" s="7">
        <f t="shared" si="104"/>
        <v>0</v>
      </c>
      <c r="G172" s="11" t="s">
        <v>21</v>
      </c>
      <c r="H172" s="11" t="s">
        <v>51</v>
      </c>
      <c r="I172" s="11" t="s">
        <v>360</v>
      </c>
      <c r="J172" s="12">
        <v>75050</v>
      </c>
      <c r="K172" s="13">
        <f t="shared" si="87"/>
        <v>7150</v>
      </c>
      <c r="L172" s="7" t="s">
        <v>24</v>
      </c>
      <c r="M172" s="14">
        <f t="shared" si="94"/>
        <v>67900</v>
      </c>
      <c r="N172" s="15">
        <f>2000+300+600+650+3600</f>
        <v>7150</v>
      </c>
      <c r="O172" s="40">
        <f t="shared" si="91"/>
        <v>75050</v>
      </c>
      <c r="P172" s="106"/>
      <c r="Q172" s="3" t="s">
        <v>430</v>
      </c>
      <c r="R172" s="37"/>
      <c r="S172" s="37">
        <f t="shared" si="95"/>
        <v>75050</v>
      </c>
      <c r="T172" s="37">
        <f t="shared" si="88"/>
        <v>107214.28571428572</v>
      </c>
      <c r="U172" s="41">
        <f t="shared" si="89"/>
        <v>122530.61224489797</v>
      </c>
      <c r="V172" s="42">
        <f t="shared" si="96"/>
        <v>0.12500000000000003</v>
      </c>
      <c r="W172" s="41">
        <f t="shared" si="97"/>
        <v>122600</v>
      </c>
      <c r="X172" s="43">
        <f t="shared" si="90"/>
        <v>0.30000000000000004</v>
      </c>
      <c r="Y172" s="46">
        <v>107275</v>
      </c>
      <c r="Z172" s="47">
        <f>T172-Y172</f>
        <v>-60.71428571427532</v>
      </c>
      <c r="AA172" s="48">
        <f>Z172/Y172</f>
        <v>-5.6596863867886568E-4</v>
      </c>
    </row>
    <row r="173" spans="2:27" ht="14.4" customHeight="1">
      <c r="B173" s="4">
        <v>169</v>
      </c>
      <c r="C173" s="5" t="s">
        <v>54</v>
      </c>
      <c r="D173" s="5" t="str">
        <f t="shared" si="103"/>
        <v xml:space="preserve"> 318</v>
      </c>
      <c r="E173" s="6" t="s">
        <v>54</v>
      </c>
      <c r="F173" s="7">
        <f t="shared" si="104"/>
        <v>0</v>
      </c>
      <c r="G173" s="11" t="s">
        <v>21</v>
      </c>
      <c r="H173" s="11" t="s">
        <v>51</v>
      </c>
      <c r="I173" s="11" t="s">
        <v>360</v>
      </c>
      <c r="J173" s="12">
        <v>84300</v>
      </c>
      <c r="K173" s="13">
        <f t="shared" si="87"/>
        <v>7500</v>
      </c>
      <c r="L173" s="7" t="s">
        <v>24</v>
      </c>
      <c r="M173" s="14">
        <f t="shared" si="94"/>
        <v>76800</v>
      </c>
      <c r="N173" s="15">
        <v>7500</v>
      </c>
      <c r="O173" s="40">
        <f t="shared" si="91"/>
        <v>84300</v>
      </c>
      <c r="P173" s="106"/>
      <c r="Q173" s="3" t="s">
        <v>434</v>
      </c>
      <c r="R173" s="37"/>
      <c r="S173" s="37">
        <f t="shared" si="95"/>
        <v>84300</v>
      </c>
      <c r="T173" s="37">
        <f t="shared" si="88"/>
        <v>120428.57142857143</v>
      </c>
      <c r="U173" s="41">
        <f t="shared" si="89"/>
        <v>137632.6530612245</v>
      </c>
      <c r="V173" s="42">
        <f t="shared" si="96"/>
        <v>0.125</v>
      </c>
      <c r="W173" s="41">
        <f t="shared" si="97"/>
        <v>137700</v>
      </c>
      <c r="X173" s="43">
        <f t="shared" si="90"/>
        <v>0.30000000000000004</v>
      </c>
      <c r="Y173" s="46">
        <v>121888</v>
      </c>
      <c r="Z173" s="47">
        <f>T173-Y173</f>
        <v>-1459.4285714285652</v>
      </c>
      <c r="AA173" s="48">
        <f>Z173/Y173</f>
        <v>-1.1973521359186837E-2</v>
      </c>
    </row>
    <row r="174" spans="2:27" ht="14.4" customHeight="1">
      <c r="B174" s="4">
        <v>170</v>
      </c>
      <c r="C174" s="6" t="s">
        <v>981</v>
      </c>
      <c r="D174" s="5" t="str">
        <f t="shared" si="103"/>
        <v xml:space="preserve"> 627</v>
      </c>
      <c r="E174" s="6" t="s">
        <v>981</v>
      </c>
      <c r="F174" s="7">
        <f t="shared" si="104"/>
        <v>0</v>
      </c>
      <c r="G174" s="11" t="s">
        <v>299</v>
      </c>
      <c r="H174" s="11" t="s">
        <v>51</v>
      </c>
      <c r="I174" s="11" t="s">
        <v>605</v>
      </c>
      <c r="J174" s="12"/>
      <c r="K174" s="13">
        <f t="shared" si="87"/>
        <v>0</v>
      </c>
      <c r="L174" s="7"/>
      <c r="M174" s="14">
        <f t="shared" si="94"/>
        <v>0</v>
      </c>
      <c r="N174" s="15"/>
      <c r="O174" s="40">
        <f t="shared" si="91"/>
        <v>0</v>
      </c>
      <c r="P174" s="106"/>
      <c r="Q174" s="3"/>
      <c r="R174" s="37"/>
      <c r="S174" s="37">
        <f t="shared" si="95"/>
        <v>0</v>
      </c>
      <c r="T174" s="37">
        <f t="shared" si="88"/>
        <v>0</v>
      </c>
      <c r="U174" s="41">
        <f t="shared" si="89"/>
        <v>0</v>
      </c>
      <c r="V174" s="42" t="e">
        <f t="shared" si="96"/>
        <v>#DIV/0!</v>
      </c>
      <c r="W174" s="41">
        <f t="shared" si="97"/>
        <v>0</v>
      </c>
      <c r="X174" s="43" t="e">
        <f t="shared" si="90"/>
        <v>#DIV/0!</v>
      </c>
      <c r="Y174" s="46"/>
      <c r="Z174" s="47"/>
      <c r="AA174" s="48"/>
    </row>
    <row r="175" spans="2:27" ht="14.4" customHeight="1">
      <c r="B175" s="4">
        <v>171</v>
      </c>
      <c r="C175" s="5" t="s">
        <v>983</v>
      </c>
      <c r="D175" s="5" t="str">
        <f t="shared" si="103"/>
        <v xml:space="preserve"> 723</v>
      </c>
      <c r="E175" s="6" t="s">
        <v>983</v>
      </c>
      <c r="F175" s="7">
        <f t="shared" si="104"/>
        <v>0</v>
      </c>
      <c r="G175" s="11" t="s">
        <v>21</v>
      </c>
      <c r="H175" s="11" t="s">
        <v>51</v>
      </c>
      <c r="I175" s="11" t="s">
        <v>1359</v>
      </c>
      <c r="J175" s="12">
        <f>77000+9500</f>
        <v>86500</v>
      </c>
      <c r="K175" s="13">
        <f t="shared" si="87"/>
        <v>7400</v>
      </c>
      <c r="L175" s="7" t="s">
        <v>24</v>
      </c>
      <c r="M175" s="14">
        <f t="shared" si="94"/>
        <v>79100</v>
      </c>
      <c r="N175" s="15">
        <f>2000+200+600+1000+3600</f>
        <v>7400</v>
      </c>
      <c r="O175" s="40">
        <f t="shared" si="91"/>
        <v>86500</v>
      </c>
      <c r="P175" s="106"/>
      <c r="Q175" s="78" t="s">
        <v>1362</v>
      </c>
      <c r="R175" s="37"/>
      <c r="S175" s="37">
        <f t="shared" si="95"/>
        <v>86500</v>
      </c>
      <c r="T175" s="37">
        <f t="shared" si="88"/>
        <v>123571.42857142858</v>
      </c>
      <c r="U175" s="41">
        <f t="shared" si="89"/>
        <v>141224.48979591837</v>
      </c>
      <c r="V175" s="42">
        <f t="shared" si="96"/>
        <v>0.12499999999999997</v>
      </c>
      <c r="W175" s="41">
        <f t="shared" si="97"/>
        <v>141300</v>
      </c>
      <c r="X175" s="43">
        <f t="shared" si="90"/>
        <v>0.30000000000000004</v>
      </c>
      <c r="Y175" s="46">
        <v>113575</v>
      </c>
      <c r="Z175" s="47">
        <f>T175-Y175</f>
        <v>9996.4285714285797</v>
      </c>
      <c r="AA175" s="48">
        <f>Z175/Y175</f>
        <v>8.8016100122637719E-2</v>
      </c>
    </row>
    <row r="176" spans="2:27" ht="14.4" customHeight="1">
      <c r="B176" s="4">
        <v>172</v>
      </c>
      <c r="C176" s="5" t="s">
        <v>241</v>
      </c>
      <c r="D176" s="5" t="str">
        <f t="shared" si="103"/>
        <v xml:space="preserve"> 813</v>
      </c>
      <c r="E176" s="6" t="s">
        <v>241</v>
      </c>
      <c r="F176" s="7">
        <f t="shared" si="104"/>
        <v>0</v>
      </c>
      <c r="G176" s="11" t="s">
        <v>299</v>
      </c>
      <c r="H176" s="11" t="s">
        <v>51</v>
      </c>
      <c r="I176" s="11" t="s">
        <v>360</v>
      </c>
      <c r="J176" s="12">
        <v>80000</v>
      </c>
      <c r="K176" s="13">
        <f t="shared" si="87"/>
        <v>7500</v>
      </c>
      <c r="L176" s="7" t="s">
        <v>24</v>
      </c>
      <c r="M176" s="14">
        <f t="shared" si="94"/>
        <v>72500</v>
      </c>
      <c r="N176" s="15">
        <v>7500</v>
      </c>
      <c r="O176" s="40">
        <f t="shared" si="91"/>
        <v>80000</v>
      </c>
      <c r="P176" s="106"/>
      <c r="Q176" s="3" t="s">
        <v>414</v>
      </c>
      <c r="R176" s="37"/>
      <c r="S176" s="37">
        <f t="shared" si="95"/>
        <v>80000</v>
      </c>
      <c r="T176" s="37">
        <f t="shared" si="88"/>
        <v>114285.71428571429</v>
      </c>
      <c r="U176" s="41">
        <f t="shared" si="89"/>
        <v>130612.24489795919</v>
      </c>
      <c r="V176" s="42">
        <f t="shared" si="96"/>
        <v>0.12499999999999999</v>
      </c>
      <c r="W176" s="41">
        <f t="shared" si="97"/>
        <v>130700</v>
      </c>
      <c r="X176" s="43">
        <f t="shared" si="90"/>
        <v>0.30000000000000004</v>
      </c>
      <c r="Y176" s="44"/>
      <c r="Z176" s="44"/>
      <c r="AA176" s="45"/>
    </row>
    <row r="177" spans="1:27" ht="14.4" customHeight="1">
      <c r="B177" s="4">
        <v>173</v>
      </c>
      <c r="C177" s="6" t="s">
        <v>986</v>
      </c>
      <c r="D177" s="5" t="str">
        <f t="shared" si="103"/>
        <v xml:space="preserve"> 866</v>
      </c>
      <c r="E177" s="6" t="s">
        <v>986</v>
      </c>
      <c r="F177" s="7">
        <f t="shared" si="104"/>
        <v>0</v>
      </c>
      <c r="G177" s="11" t="s">
        <v>21</v>
      </c>
      <c r="H177" s="11" t="s">
        <v>51</v>
      </c>
      <c r="I177" s="11" t="s">
        <v>606</v>
      </c>
      <c r="J177" s="12"/>
      <c r="K177" s="13">
        <f t="shared" si="87"/>
        <v>0</v>
      </c>
      <c r="L177" s="7"/>
      <c r="M177" s="14">
        <f t="shared" si="94"/>
        <v>0</v>
      </c>
      <c r="N177" s="15"/>
      <c r="O177" s="40">
        <f t="shared" si="91"/>
        <v>0</v>
      </c>
      <c r="P177" s="106"/>
      <c r="Q177" s="3"/>
      <c r="R177" s="37"/>
      <c r="S177" s="37">
        <f t="shared" si="95"/>
        <v>0</v>
      </c>
      <c r="T177" s="37">
        <f t="shared" si="88"/>
        <v>0</v>
      </c>
      <c r="U177" s="41">
        <f t="shared" si="89"/>
        <v>0</v>
      </c>
      <c r="V177" s="42" t="e">
        <f t="shared" si="96"/>
        <v>#DIV/0!</v>
      </c>
      <c r="W177" s="41">
        <f t="shared" si="97"/>
        <v>0</v>
      </c>
      <c r="X177" s="43" t="e">
        <f t="shared" si="90"/>
        <v>#DIV/0!</v>
      </c>
      <c r="Y177" s="46">
        <v>124838</v>
      </c>
      <c r="Z177" s="47">
        <f>T177-Y177</f>
        <v>-124838</v>
      </c>
      <c r="AA177" s="48">
        <f>Z177/Y177</f>
        <v>-1</v>
      </c>
    </row>
    <row r="178" spans="1:27" ht="14.4" customHeight="1">
      <c r="B178" s="4">
        <v>174</v>
      </c>
      <c r="C178" s="5" t="s">
        <v>200</v>
      </c>
      <c r="D178" s="5" t="str">
        <f t="shared" si="103"/>
        <v xml:space="preserve"> 950</v>
      </c>
      <c r="E178" s="6" t="s">
        <v>200</v>
      </c>
      <c r="F178" s="7">
        <f t="shared" si="104"/>
        <v>0</v>
      </c>
      <c r="G178" s="11" t="s">
        <v>299</v>
      </c>
      <c r="H178" s="11" t="s">
        <v>51</v>
      </c>
      <c r="I178" s="11" t="s">
        <v>351</v>
      </c>
      <c r="J178" s="12">
        <v>70000</v>
      </c>
      <c r="K178" s="13">
        <f t="shared" si="87"/>
        <v>7500</v>
      </c>
      <c r="L178" s="7" t="s">
        <v>24</v>
      </c>
      <c r="M178" s="14">
        <f t="shared" si="94"/>
        <v>62500</v>
      </c>
      <c r="N178" s="15">
        <f>2000+300+600+1000+3600</f>
        <v>7500</v>
      </c>
      <c r="O178" s="40">
        <f t="shared" si="91"/>
        <v>70000</v>
      </c>
      <c r="P178" s="106"/>
      <c r="Q178" s="3" t="s">
        <v>414</v>
      </c>
      <c r="R178" s="37"/>
      <c r="S178" s="37">
        <f t="shared" si="95"/>
        <v>70000</v>
      </c>
      <c r="T178" s="37">
        <f t="shared" si="88"/>
        <v>100000</v>
      </c>
      <c r="U178" s="41">
        <f t="shared" si="89"/>
        <v>114285.71428571429</v>
      </c>
      <c r="V178" s="42">
        <f t="shared" si="96"/>
        <v>0.12500000000000003</v>
      </c>
      <c r="W178" s="41">
        <f t="shared" si="97"/>
        <v>114300</v>
      </c>
      <c r="X178" s="43">
        <f t="shared" si="90"/>
        <v>0.3</v>
      </c>
      <c r="Y178" s="44"/>
      <c r="Z178" s="44"/>
      <c r="AA178" s="45"/>
    </row>
    <row r="179" spans="1:27" ht="14.4" customHeight="1">
      <c r="B179" s="4">
        <v>175</v>
      </c>
      <c r="C179" s="5" t="s">
        <v>202</v>
      </c>
      <c r="D179" s="5" t="str">
        <f t="shared" si="103"/>
        <v xml:space="preserve"> 807</v>
      </c>
      <c r="E179" s="6" t="s">
        <v>202</v>
      </c>
      <c r="F179" s="7">
        <f t="shared" si="104"/>
        <v>0</v>
      </c>
      <c r="G179" s="11" t="s">
        <v>299</v>
      </c>
      <c r="H179" s="11" t="s">
        <v>51</v>
      </c>
      <c r="I179" s="11" t="s">
        <v>351</v>
      </c>
      <c r="J179" s="12">
        <v>70000</v>
      </c>
      <c r="K179" s="13">
        <f t="shared" si="87"/>
        <v>7500</v>
      </c>
      <c r="L179" s="7" t="s">
        <v>24</v>
      </c>
      <c r="M179" s="14">
        <f t="shared" si="94"/>
        <v>62500</v>
      </c>
      <c r="N179" s="15">
        <f>2000+300+600+1000+3600</f>
        <v>7500</v>
      </c>
      <c r="O179" s="40">
        <f t="shared" si="91"/>
        <v>70000</v>
      </c>
      <c r="P179" s="106"/>
      <c r="Q179" s="3" t="s">
        <v>414</v>
      </c>
      <c r="R179" s="37"/>
      <c r="S179" s="37">
        <f t="shared" si="95"/>
        <v>70000</v>
      </c>
      <c r="T179" s="37">
        <f t="shared" si="88"/>
        <v>100000</v>
      </c>
      <c r="U179" s="41">
        <f t="shared" si="89"/>
        <v>114285.71428571429</v>
      </c>
      <c r="V179" s="42">
        <f t="shared" si="96"/>
        <v>0.12500000000000003</v>
      </c>
      <c r="W179" s="41">
        <f t="shared" si="97"/>
        <v>114300</v>
      </c>
      <c r="X179" s="43">
        <f t="shared" si="90"/>
        <v>0.3</v>
      </c>
      <c r="Y179" s="44"/>
      <c r="Z179" s="44"/>
      <c r="AA179" s="45"/>
    </row>
    <row r="180" spans="1:27" ht="14.4" customHeight="1">
      <c r="B180" s="4">
        <v>176</v>
      </c>
      <c r="C180" s="5" t="s">
        <v>990</v>
      </c>
      <c r="D180" s="5" t="str">
        <f t="shared" si="103"/>
        <v xml:space="preserve"> 448</v>
      </c>
      <c r="E180" s="6" t="s">
        <v>990</v>
      </c>
      <c r="F180" s="7">
        <f t="shared" si="104"/>
        <v>0</v>
      </c>
      <c r="G180" s="11" t="s">
        <v>21</v>
      </c>
      <c r="H180" s="11" t="s">
        <v>51</v>
      </c>
      <c r="I180" s="11" t="s">
        <v>647</v>
      </c>
      <c r="J180" s="101">
        <v>71000</v>
      </c>
      <c r="K180" s="101">
        <f t="shared" si="87"/>
        <v>0</v>
      </c>
      <c r="L180" s="115" t="s">
        <v>1438</v>
      </c>
      <c r="M180" s="97">
        <f>J180</f>
        <v>71000</v>
      </c>
      <c r="N180" s="98">
        <f>2000+3450+800+300+1000</f>
        <v>7550</v>
      </c>
      <c r="O180" s="112">
        <f t="shared" si="91"/>
        <v>78550</v>
      </c>
      <c r="P180" s="106"/>
      <c r="Q180" s="99" t="s">
        <v>1419</v>
      </c>
      <c r="R180" s="37"/>
      <c r="S180" s="37">
        <f t="shared" si="95"/>
        <v>78550</v>
      </c>
      <c r="T180" s="37">
        <f t="shared" si="88"/>
        <v>112214.28571428572</v>
      </c>
      <c r="U180" s="41">
        <f t="shared" si="89"/>
        <v>128244.89795918368</v>
      </c>
      <c r="V180" s="42">
        <f t="shared" si="96"/>
        <v>0.12499999999999999</v>
      </c>
      <c r="W180" s="41">
        <f t="shared" si="97"/>
        <v>128300</v>
      </c>
      <c r="X180" s="43">
        <f t="shared" si="90"/>
        <v>0.30000000000000004</v>
      </c>
      <c r="Y180" s="46">
        <v>115150</v>
      </c>
      <c r="Z180" s="47">
        <f>T180-Y180</f>
        <v>-2935.7142857142753</v>
      </c>
      <c r="AA180" s="48">
        <f>Z180/Y180</f>
        <v>-2.5494696358786584E-2</v>
      </c>
    </row>
    <row r="181" spans="1:27" ht="14.4" customHeight="1">
      <c r="B181" s="4">
        <v>177</v>
      </c>
      <c r="C181" s="5" t="s">
        <v>204</v>
      </c>
      <c r="D181" s="5" t="str">
        <f t="shared" si="103"/>
        <v xml:space="preserve"> 226</v>
      </c>
      <c r="E181" s="6" t="s">
        <v>204</v>
      </c>
      <c r="F181" s="7">
        <f t="shared" si="104"/>
        <v>0</v>
      </c>
      <c r="G181" s="11" t="s">
        <v>299</v>
      </c>
      <c r="H181" s="11" t="s">
        <v>51</v>
      </c>
      <c r="I181" s="11" t="s">
        <v>351</v>
      </c>
      <c r="J181" s="12">
        <v>70000</v>
      </c>
      <c r="K181" s="13">
        <f t="shared" si="87"/>
        <v>7500</v>
      </c>
      <c r="L181" s="7" t="s">
        <v>24</v>
      </c>
      <c r="M181" s="14">
        <f t="shared" si="94"/>
        <v>62500</v>
      </c>
      <c r="N181" s="15">
        <f>2000+300+600+1000+3600</f>
        <v>7500</v>
      </c>
      <c r="O181" s="40">
        <f t="shared" si="91"/>
        <v>70000</v>
      </c>
      <c r="P181" s="106"/>
      <c r="Q181" s="3" t="s">
        <v>414</v>
      </c>
      <c r="R181" s="37"/>
      <c r="S181" s="37">
        <f t="shared" si="95"/>
        <v>70000</v>
      </c>
      <c r="T181" s="37">
        <f t="shared" si="88"/>
        <v>100000</v>
      </c>
      <c r="U181" s="41">
        <f t="shared" si="89"/>
        <v>114285.71428571429</v>
      </c>
      <c r="V181" s="42">
        <f t="shared" si="96"/>
        <v>0.12500000000000003</v>
      </c>
      <c r="W181" s="41">
        <f t="shared" si="97"/>
        <v>114300</v>
      </c>
      <c r="X181" s="43">
        <f t="shared" si="90"/>
        <v>0.3</v>
      </c>
      <c r="Y181" s="44"/>
      <c r="Z181" s="44"/>
      <c r="AA181" s="44"/>
    </row>
    <row r="182" spans="1:27" ht="14.4" customHeight="1">
      <c r="B182" s="4">
        <v>178</v>
      </c>
      <c r="C182" s="5" t="s">
        <v>993</v>
      </c>
      <c r="D182" s="5" t="str">
        <f t="shared" si="103"/>
        <v xml:space="preserve"> 132</v>
      </c>
      <c r="E182" s="6" t="s">
        <v>993</v>
      </c>
      <c r="F182" s="7">
        <f t="shared" si="104"/>
        <v>0</v>
      </c>
      <c r="G182" s="11" t="s">
        <v>21</v>
      </c>
      <c r="H182" s="11" t="s">
        <v>51</v>
      </c>
      <c r="I182" s="11" t="s">
        <v>1359</v>
      </c>
      <c r="J182" s="12">
        <f>80000+11000</f>
        <v>91000</v>
      </c>
      <c r="K182" s="13">
        <f t="shared" si="87"/>
        <v>7400</v>
      </c>
      <c r="L182" s="7" t="s">
        <v>24</v>
      </c>
      <c r="M182" s="14">
        <f t="shared" si="94"/>
        <v>83600</v>
      </c>
      <c r="N182" s="15">
        <f>2000+200+600+1000+3600</f>
        <v>7400</v>
      </c>
      <c r="O182" s="40">
        <f t="shared" si="91"/>
        <v>91000</v>
      </c>
      <c r="P182" s="106"/>
      <c r="Q182" s="78" t="s">
        <v>1362</v>
      </c>
      <c r="R182" s="37"/>
      <c r="S182" s="37">
        <f t="shared" si="95"/>
        <v>91000</v>
      </c>
      <c r="T182" s="37">
        <f t="shared" si="88"/>
        <v>130000.00000000001</v>
      </c>
      <c r="U182" s="41">
        <f t="shared" si="89"/>
        <v>148571.42857142858</v>
      </c>
      <c r="V182" s="42">
        <f t="shared" si="96"/>
        <v>0.12499999999999994</v>
      </c>
      <c r="W182" s="41">
        <f t="shared" si="97"/>
        <v>148600</v>
      </c>
      <c r="X182" s="43">
        <f t="shared" si="90"/>
        <v>0.3000000000000001</v>
      </c>
      <c r="Y182" s="46">
        <v>117863</v>
      </c>
      <c r="Z182" s="47">
        <f>T182-Y182</f>
        <v>12137.000000000015</v>
      </c>
      <c r="AA182" s="48">
        <f>Z182/Y182</f>
        <v>0.10297548849087512</v>
      </c>
    </row>
    <row r="183" spans="1:27" ht="14.4" customHeight="1">
      <c r="B183" s="4">
        <v>179</v>
      </c>
      <c r="C183" s="5" t="s">
        <v>53</v>
      </c>
      <c r="D183" s="5" t="str">
        <f t="shared" si="103"/>
        <v xml:space="preserve"> 697</v>
      </c>
      <c r="E183" s="6" t="s">
        <v>53</v>
      </c>
      <c r="F183" s="7">
        <f t="shared" si="104"/>
        <v>0</v>
      </c>
      <c r="G183" s="11" t="s">
        <v>21</v>
      </c>
      <c r="H183" s="11" t="s">
        <v>51</v>
      </c>
      <c r="I183" s="11" t="s">
        <v>360</v>
      </c>
      <c r="J183" s="12">
        <v>70500</v>
      </c>
      <c r="K183" s="13">
        <f t="shared" si="87"/>
        <v>7150</v>
      </c>
      <c r="L183" s="7" t="s">
        <v>24</v>
      </c>
      <c r="M183" s="14">
        <f t="shared" si="94"/>
        <v>63350</v>
      </c>
      <c r="N183" s="15">
        <f>2000+300+600+650+3600</f>
        <v>7150</v>
      </c>
      <c r="O183" s="40">
        <f t="shared" si="91"/>
        <v>70500</v>
      </c>
      <c r="P183" s="106"/>
      <c r="Q183" s="3" t="s">
        <v>430</v>
      </c>
      <c r="R183" s="37"/>
      <c r="S183" s="37">
        <f t="shared" si="95"/>
        <v>70500</v>
      </c>
      <c r="T183" s="37">
        <f t="shared" si="88"/>
        <v>100714.28571428572</v>
      </c>
      <c r="U183" s="41">
        <f t="shared" si="89"/>
        <v>115102.04081632654</v>
      </c>
      <c r="V183" s="42">
        <f t="shared" si="96"/>
        <v>0.12499999999999997</v>
      </c>
      <c r="W183" s="41">
        <f t="shared" si="97"/>
        <v>115200</v>
      </c>
      <c r="X183" s="43">
        <f t="shared" si="90"/>
        <v>0.3000000000000001</v>
      </c>
      <c r="Y183" s="46">
        <v>111038</v>
      </c>
      <c r="Z183" s="47">
        <f>T183-Y183</f>
        <v>-10323.714285714275</v>
      </c>
      <c r="AA183" s="48">
        <f>Z183/Y183</f>
        <v>-9.2974605862085724E-2</v>
      </c>
    </row>
    <row r="184" spans="1:27" ht="14.4" customHeight="1">
      <c r="B184" s="4">
        <v>180</v>
      </c>
      <c r="C184" s="5" t="s">
        <v>205</v>
      </c>
      <c r="D184" s="5" t="str">
        <f t="shared" si="103"/>
        <v xml:space="preserve"> 849</v>
      </c>
      <c r="E184" s="6" t="s">
        <v>205</v>
      </c>
      <c r="F184" s="7">
        <f t="shared" si="104"/>
        <v>0</v>
      </c>
      <c r="G184" s="11" t="s">
        <v>299</v>
      </c>
      <c r="H184" s="11" t="s">
        <v>51</v>
      </c>
      <c r="I184" s="11" t="s">
        <v>351</v>
      </c>
      <c r="J184" s="12">
        <v>70000</v>
      </c>
      <c r="K184" s="13">
        <f t="shared" si="87"/>
        <v>7500</v>
      </c>
      <c r="L184" s="7" t="s">
        <v>24</v>
      </c>
      <c r="M184" s="14">
        <f t="shared" si="94"/>
        <v>62500</v>
      </c>
      <c r="N184" s="15">
        <f>2000+300+600+1000+3600</f>
        <v>7500</v>
      </c>
      <c r="O184" s="40">
        <f t="shared" si="91"/>
        <v>70000</v>
      </c>
      <c r="P184" s="108"/>
      <c r="Q184" s="3" t="s">
        <v>414</v>
      </c>
      <c r="R184" s="37"/>
      <c r="S184" s="37">
        <f t="shared" si="95"/>
        <v>70000</v>
      </c>
      <c r="T184" s="37">
        <f t="shared" si="88"/>
        <v>100000</v>
      </c>
      <c r="U184" s="41">
        <f t="shared" si="89"/>
        <v>114285.71428571429</v>
      </c>
      <c r="V184" s="42">
        <f t="shared" si="96"/>
        <v>0.12500000000000003</v>
      </c>
      <c r="W184" s="41">
        <f t="shared" si="97"/>
        <v>114300</v>
      </c>
      <c r="X184" s="43">
        <f t="shared" si="90"/>
        <v>0.3</v>
      </c>
      <c r="Y184" s="44"/>
      <c r="Z184" s="44"/>
      <c r="AA184" s="45"/>
    </row>
    <row r="185" spans="1:27" ht="14.4" customHeight="1">
      <c r="B185" s="4">
        <v>181</v>
      </c>
      <c r="C185" s="5" t="s">
        <v>57</v>
      </c>
      <c r="D185" s="5" t="str">
        <f t="shared" si="103"/>
        <v xml:space="preserve"> 605</v>
      </c>
      <c r="E185" s="6" t="s">
        <v>57</v>
      </c>
      <c r="F185" s="7">
        <f t="shared" si="104"/>
        <v>0</v>
      </c>
      <c r="G185" s="11" t="s">
        <v>21</v>
      </c>
      <c r="H185" s="11" t="s">
        <v>51</v>
      </c>
      <c r="I185" s="11" t="s">
        <v>365</v>
      </c>
      <c r="J185" s="12">
        <v>84950</v>
      </c>
      <c r="K185" s="13">
        <f t="shared" si="87"/>
        <v>5950</v>
      </c>
      <c r="L185" s="7" t="s">
        <v>24</v>
      </c>
      <c r="M185" s="14">
        <f t="shared" si="94"/>
        <v>79000</v>
      </c>
      <c r="N185" s="15">
        <f>2000+300+800+2850</f>
        <v>5950</v>
      </c>
      <c r="O185" s="40">
        <f t="shared" si="91"/>
        <v>84950</v>
      </c>
      <c r="P185" s="106"/>
      <c r="Q185" s="3" t="s">
        <v>455</v>
      </c>
      <c r="R185" s="37"/>
      <c r="S185" s="37">
        <f t="shared" si="95"/>
        <v>84950</v>
      </c>
      <c r="T185" s="37">
        <f t="shared" si="88"/>
        <v>121357.14285714287</v>
      </c>
      <c r="U185" s="41">
        <f t="shared" si="89"/>
        <v>138693.87755102041</v>
      </c>
      <c r="V185" s="42">
        <f t="shared" si="96"/>
        <v>0.12499999999999994</v>
      </c>
      <c r="W185" s="41">
        <f t="shared" si="97"/>
        <v>138700</v>
      </c>
      <c r="X185" s="43">
        <f t="shared" si="90"/>
        <v>0.30000000000000004</v>
      </c>
      <c r="Y185" s="46">
        <v>115150</v>
      </c>
      <c r="Z185" s="47">
        <f>T185-Y185</f>
        <v>6207.1428571428696</v>
      </c>
      <c r="AA185" s="48">
        <f>Z185/Y185</f>
        <v>5.3904844612617193E-2</v>
      </c>
    </row>
    <row r="186" spans="1:27" ht="14.4" customHeight="1">
      <c r="A186" s="79"/>
      <c r="B186" s="4">
        <v>182</v>
      </c>
      <c r="C186" s="5" t="s">
        <v>998</v>
      </c>
      <c r="D186" s="5" t="str">
        <f t="shared" si="103"/>
        <v xml:space="preserve"> 982</v>
      </c>
      <c r="E186" s="6" t="s">
        <v>998</v>
      </c>
      <c r="F186" s="7">
        <f t="shared" si="104"/>
        <v>0</v>
      </c>
      <c r="G186" s="11" t="s">
        <v>299</v>
      </c>
      <c r="H186" s="11" t="s">
        <v>51</v>
      </c>
      <c r="I186" s="11" t="s">
        <v>1359</v>
      </c>
      <c r="J186" s="12">
        <v>83000</v>
      </c>
      <c r="K186" s="13">
        <f t="shared" si="87"/>
        <v>5800</v>
      </c>
      <c r="L186" s="7" t="s">
        <v>24</v>
      </c>
      <c r="M186" s="14">
        <f t="shared" si="94"/>
        <v>77200</v>
      </c>
      <c r="N186" s="15">
        <f>2000+200+600+3000</f>
        <v>5800</v>
      </c>
      <c r="O186" s="40">
        <f t="shared" si="91"/>
        <v>83000</v>
      </c>
      <c r="P186" s="106"/>
      <c r="Q186" s="78" t="s">
        <v>1363</v>
      </c>
      <c r="R186" s="37"/>
      <c r="S186" s="37">
        <f t="shared" si="95"/>
        <v>83000</v>
      </c>
      <c r="T186" s="37">
        <f t="shared" si="88"/>
        <v>118571.42857142858</v>
      </c>
      <c r="U186" s="41">
        <f t="shared" si="89"/>
        <v>135510.20408163266</v>
      </c>
      <c r="V186" s="42">
        <f t="shared" si="96"/>
        <v>0.125</v>
      </c>
      <c r="W186" s="41">
        <f t="shared" si="97"/>
        <v>135600</v>
      </c>
      <c r="X186" s="43">
        <f t="shared" si="90"/>
        <v>0.30000000000000004</v>
      </c>
      <c r="Y186" s="46"/>
      <c r="Z186" s="47"/>
      <c r="AA186" s="48"/>
    </row>
    <row r="187" spans="1:27" ht="14.4" customHeight="1">
      <c r="B187" s="4">
        <v>183</v>
      </c>
      <c r="C187" s="5" t="s">
        <v>258</v>
      </c>
      <c r="D187" s="5" t="str">
        <f t="shared" si="103"/>
        <v xml:space="preserve"> 292</v>
      </c>
      <c r="E187" s="6" t="s">
        <v>258</v>
      </c>
      <c r="F187" s="7">
        <f t="shared" si="104"/>
        <v>0</v>
      </c>
      <c r="G187" s="11" t="s">
        <v>299</v>
      </c>
      <c r="H187" s="11" t="s">
        <v>51</v>
      </c>
      <c r="I187" s="11" t="s">
        <v>363</v>
      </c>
      <c r="J187" s="12">
        <v>85000</v>
      </c>
      <c r="K187" s="13">
        <f t="shared" si="87"/>
        <v>7500</v>
      </c>
      <c r="L187" s="7" t="s">
        <v>24</v>
      </c>
      <c r="M187" s="14">
        <f t="shared" si="94"/>
        <v>77500</v>
      </c>
      <c r="N187" s="15">
        <f>2000+300+600+1000+3600</f>
        <v>7500</v>
      </c>
      <c r="O187" s="40">
        <f t="shared" si="91"/>
        <v>85000</v>
      </c>
      <c r="P187" s="106"/>
      <c r="Q187" s="3" t="s">
        <v>449</v>
      </c>
      <c r="R187" s="37"/>
      <c r="S187" s="37">
        <f t="shared" si="95"/>
        <v>85000</v>
      </c>
      <c r="T187" s="37">
        <f t="shared" si="88"/>
        <v>121428.57142857143</v>
      </c>
      <c r="U187" s="41">
        <f t="shared" si="89"/>
        <v>138775.51020408163</v>
      </c>
      <c r="V187" s="42">
        <f t="shared" si="96"/>
        <v>0.12499999999999992</v>
      </c>
      <c r="W187" s="41">
        <f t="shared" si="97"/>
        <v>138800</v>
      </c>
      <c r="X187" s="43">
        <f t="shared" si="90"/>
        <v>0.30000000000000004</v>
      </c>
      <c r="Y187" s="44"/>
      <c r="Z187" s="44"/>
      <c r="AA187" s="45"/>
    </row>
    <row r="188" spans="1:27" ht="14.4" customHeight="1">
      <c r="B188" s="4">
        <v>184</v>
      </c>
      <c r="C188" s="5" t="s">
        <v>1001</v>
      </c>
      <c r="D188" s="5" t="str">
        <f t="shared" si="103"/>
        <v xml:space="preserve"> 778</v>
      </c>
      <c r="E188" s="6" t="s">
        <v>1001</v>
      </c>
      <c r="F188" s="7">
        <f t="shared" si="104"/>
        <v>0</v>
      </c>
      <c r="G188" s="11" t="s">
        <v>21</v>
      </c>
      <c r="H188" s="11" t="s">
        <v>51</v>
      </c>
      <c r="I188" s="11" t="s">
        <v>648</v>
      </c>
      <c r="J188" s="101">
        <v>48000</v>
      </c>
      <c r="K188" s="101">
        <f t="shared" si="87"/>
        <v>0</v>
      </c>
      <c r="L188" s="115" t="s">
        <v>1438</v>
      </c>
      <c r="M188" s="97">
        <f>J188</f>
        <v>48000</v>
      </c>
      <c r="N188" s="98">
        <f>2000+2850+800+300+800</f>
        <v>6750</v>
      </c>
      <c r="O188" s="112">
        <f t="shared" si="91"/>
        <v>54750</v>
      </c>
      <c r="P188" s="106" t="s">
        <v>1440</v>
      </c>
      <c r="Q188" s="99" t="s">
        <v>1433</v>
      </c>
      <c r="R188" s="37"/>
      <c r="S188" s="37">
        <f t="shared" si="95"/>
        <v>54750</v>
      </c>
      <c r="T188" s="37">
        <f t="shared" si="88"/>
        <v>78214.285714285725</v>
      </c>
      <c r="U188" s="41">
        <f t="shared" si="89"/>
        <v>89387.755102040828</v>
      </c>
      <c r="V188" s="42">
        <f t="shared" si="96"/>
        <v>0.125</v>
      </c>
      <c r="W188" s="41">
        <f t="shared" si="97"/>
        <v>89400</v>
      </c>
      <c r="X188" s="43">
        <f t="shared" si="90"/>
        <v>0.3000000000000001</v>
      </c>
      <c r="Y188" s="46">
        <v>76825</v>
      </c>
      <c r="Z188" s="47">
        <f>T188-Y188</f>
        <v>1389.2857142857247</v>
      </c>
      <c r="AA188" s="47">
        <f>U188-Z188</f>
        <v>87998.469387755104</v>
      </c>
    </row>
    <row r="189" spans="1:27" ht="14.4" customHeight="1">
      <c r="B189" s="4">
        <v>185</v>
      </c>
      <c r="C189" s="5" t="s">
        <v>1349</v>
      </c>
      <c r="D189" s="5" t="str">
        <f t="shared" si="103"/>
        <v xml:space="preserve"> 629</v>
      </c>
      <c r="E189" s="6" t="s">
        <v>1349</v>
      </c>
      <c r="F189" s="7">
        <f t="shared" si="104"/>
        <v>0</v>
      </c>
      <c r="G189" s="11" t="s">
        <v>299</v>
      </c>
      <c r="H189" s="11" t="s">
        <v>51</v>
      </c>
      <c r="I189" s="11" t="s">
        <v>333</v>
      </c>
      <c r="J189" s="12">
        <f>M189</f>
        <v>65000</v>
      </c>
      <c r="K189" s="13">
        <f t="shared" si="87"/>
        <v>0</v>
      </c>
      <c r="L189" s="17" t="s">
        <v>23</v>
      </c>
      <c r="M189" s="20">
        <v>65000</v>
      </c>
      <c r="N189" s="14">
        <f>2000+300+600+1000+3000</f>
        <v>6900</v>
      </c>
      <c r="O189" s="40">
        <f t="shared" si="91"/>
        <v>71900</v>
      </c>
      <c r="P189" s="106"/>
      <c r="Q189" s="3" t="s">
        <v>382</v>
      </c>
      <c r="R189" s="37"/>
      <c r="S189" s="37">
        <f t="shared" si="95"/>
        <v>71900</v>
      </c>
      <c r="T189" s="37">
        <f t="shared" si="88"/>
        <v>102714.28571428572</v>
      </c>
      <c r="U189" s="41">
        <f t="shared" si="89"/>
        <v>117387.75510204083</v>
      </c>
      <c r="V189" s="42">
        <f t="shared" si="96"/>
        <v>0.125</v>
      </c>
      <c r="W189" s="41">
        <f t="shared" si="97"/>
        <v>117400</v>
      </c>
      <c r="X189" s="43">
        <f t="shared" si="90"/>
        <v>0.30000000000000004</v>
      </c>
      <c r="Y189" s="44"/>
      <c r="Z189" s="44"/>
      <c r="AA189" s="44"/>
    </row>
    <row r="190" spans="1:27" ht="14.4" customHeight="1">
      <c r="B190" s="4">
        <v>186</v>
      </c>
      <c r="C190" s="5" t="s">
        <v>260</v>
      </c>
      <c r="D190" s="5" t="str">
        <f t="shared" si="103"/>
        <v xml:space="preserve"> 645</v>
      </c>
      <c r="E190" s="6" t="s">
        <v>260</v>
      </c>
      <c r="F190" s="7">
        <f t="shared" si="104"/>
        <v>0</v>
      </c>
      <c r="G190" s="11" t="s">
        <v>299</v>
      </c>
      <c r="H190" s="11" t="s">
        <v>51</v>
      </c>
      <c r="I190" s="11" t="s">
        <v>363</v>
      </c>
      <c r="J190" s="12">
        <v>88000</v>
      </c>
      <c r="K190" s="13">
        <f t="shared" si="87"/>
        <v>5900</v>
      </c>
      <c r="L190" s="7" t="s">
        <v>24</v>
      </c>
      <c r="M190" s="14">
        <f t="shared" ref="M190:M211" si="105">J190-N190</f>
        <v>82100</v>
      </c>
      <c r="N190" s="15">
        <f>2000+300+600+3000</f>
        <v>5900</v>
      </c>
      <c r="O190" s="40">
        <f t="shared" si="91"/>
        <v>88000</v>
      </c>
      <c r="P190" s="106"/>
      <c r="Q190" s="3" t="s">
        <v>451</v>
      </c>
      <c r="R190" s="37"/>
      <c r="S190" s="37">
        <f t="shared" si="95"/>
        <v>88000</v>
      </c>
      <c r="T190" s="37">
        <f t="shared" si="88"/>
        <v>125714.28571428572</v>
      </c>
      <c r="U190" s="41">
        <f t="shared" si="89"/>
        <v>143673.46938775512</v>
      </c>
      <c r="V190" s="42">
        <f t="shared" si="96"/>
        <v>0.12500000000000003</v>
      </c>
      <c r="W190" s="41">
        <f t="shared" si="97"/>
        <v>143700</v>
      </c>
      <c r="X190" s="43">
        <f t="shared" si="90"/>
        <v>0.30000000000000004</v>
      </c>
      <c r="Y190" s="44"/>
      <c r="Z190" s="44"/>
      <c r="AA190" s="44"/>
    </row>
    <row r="191" spans="1:27" ht="14.4" customHeight="1">
      <c r="B191" s="4">
        <v>187</v>
      </c>
      <c r="C191" s="5" t="s">
        <v>1006</v>
      </c>
      <c r="D191" s="5" t="str">
        <f t="shared" si="103"/>
        <v xml:space="preserve"> 445</v>
      </c>
      <c r="E191" s="6" t="s">
        <v>1006</v>
      </c>
      <c r="F191" s="7">
        <f t="shared" si="104"/>
        <v>0</v>
      </c>
      <c r="G191" s="11" t="s">
        <v>21</v>
      </c>
      <c r="H191" s="11" t="s">
        <v>51</v>
      </c>
      <c r="I191" s="11" t="s">
        <v>648</v>
      </c>
      <c r="J191" s="101">
        <v>48000</v>
      </c>
      <c r="K191" s="101">
        <f t="shared" si="87"/>
        <v>0</v>
      </c>
      <c r="L191" s="115" t="s">
        <v>1438</v>
      </c>
      <c r="M191" s="97">
        <f>J191</f>
        <v>48000</v>
      </c>
      <c r="N191" s="98">
        <f>2000+2850+800+300</f>
        <v>5950</v>
      </c>
      <c r="O191" s="112">
        <f>M191+N191</f>
        <v>53950</v>
      </c>
      <c r="P191" s="106"/>
      <c r="Q191" s="99" t="s">
        <v>1417</v>
      </c>
      <c r="R191" s="37"/>
      <c r="S191" s="37">
        <f t="shared" si="95"/>
        <v>53950</v>
      </c>
      <c r="T191" s="37">
        <f t="shared" si="88"/>
        <v>77071.42857142858</v>
      </c>
      <c r="U191" s="41">
        <f t="shared" si="89"/>
        <v>88081.632653061228</v>
      </c>
      <c r="V191" s="42">
        <f t="shared" si="96"/>
        <v>0.12499999999999994</v>
      </c>
      <c r="W191" s="41">
        <f t="shared" si="97"/>
        <v>88100</v>
      </c>
      <c r="X191" s="43">
        <f t="shared" si="90"/>
        <v>0.3000000000000001</v>
      </c>
      <c r="Y191" s="46">
        <v>75688</v>
      </c>
      <c r="Z191" s="47">
        <f>T191-Y191</f>
        <v>1383.4285714285797</v>
      </c>
      <c r="AA191" s="47">
        <f>U191-Z191</f>
        <v>86698.204081632648</v>
      </c>
    </row>
    <row r="192" spans="1:27" ht="14.4" customHeight="1">
      <c r="B192" s="4">
        <v>188</v>
      </c>
      <c r="C192" s="5" t="s">
        <v>160</v>
      </c>
      <c r="D192" s="5" t="str">
        <f t="shared" si="103"/>
        <v xml:space="preserve"> 131</v>
      </c>
      <c r="E192" s="6" t="s">
        <v>160</v>
      </c>
      <c r="F192" s="7">
        <f t="shared" si="104"/>
        <v>0</v>
      </c>
      <c r="G192" s="11" t="s">
        <v>299</v>
      </c>
      <c r="H192" s="11" t="s">
        <v>51</v>
      </c>
      <c r="I192" s="11" t="s">
        <v>338</v>
      </c>
      <c r="J192" s="12">
        <v>58400</v>
      </c>
      <c r="K192" s="13">
        <f t="shared" si="87"/>
        <v>5900</v>
      </c>
      <c r="L192" s="7" t="s">
        <v>24</v>
      </c>
      <c r="M192" s="14">
        <f t="shared" si="105"/>
        <v>52500</v>
      </c>
      <c r="N192" s="14">
        <f>2000+300+600+3000</f>
        <v>5900</v>
      </c>
      <c r="O192" s="40">
        <f t="shared" si="91"/>
        <v>58400</v>
      </c>
      <c r="P192" s="106"/>
      <c r="Q192" s="3" t="s">
        <v>383</v>
      </c>
      <c r="R192" s="37"/>
      <c r="S192" s="37">
        <f t="shared" si="95"/>
        <v>58400</v>
      </c>
      <c r="T192" s="37">
        <f t="shared" si="88"/>
        <v>83428.571428571435</v>
      </c>
      <c r="U192" s="41">
        <f t="shared" si="89"/>
        <v>95346.938775510207</v>
      </c>
      <c r="V192" s="42">
        <f t="shared" si="96"/>
        <v>0.12499999999999996</v>
      </c>
      <c r="W192" s="41">
        <f t="shared" si="97"/>
        <v>95400</v>
      </c>
      <c r="X192" s="43">
        <f t="shared" si="90"/>
        <v>0.30000000000000004</v>
      </c>
      <c r="Y192" s="44"/>
      <c r="Z192" s="44"/>
      <c r="AA192" s="45"/>
    </row>
    <row r="193" spans="2:27" ht="14.4" customHeight="1">
      <c r="B193" s="4">
        <v>189</v>
      </c>
      <c r="C193" s="5" t="s">
        <v>167</v>
      </c>
      <c r="D193" s="5" t="str">
        <f t="shared" si="103"/>
        <v xml:space="preserve"> 598</v>
      </c>
      <c r="E193" s="6" t="s">
        <v>167</v>
      </c>
      <c r="F193" s="7">
        <f t="shared" si="104"/>
        <v>0</v>
      </c>
      <c r="G193" s="11" t="s">
        <v>299</v>
      </c>
      <c r="H193" s="11" t="s">
        <v>51</v>
      </c>
      <c r="I193" s="11" t="s">
        <v>340</v>
      </c>
      <c r="J193" s="12">
        <v>74000</v>
      </c>
      <c r="K193" s="13">
        <f t="shared" si="87"/>
        <v>6550</v>
      </c>
      <c r="L193" s="7" t="s">
        <v>24</v>
      </c>
      <c r="M193" s="14">
        <f t="shared" si="105"/>
        <v>67450</v>
      </c>
      <c r="N193" s="14">
        <f>2000+300+600+650+3000</f>
        <v>6550</v>
      </c>
      <c r="O193" s="40">
        <f t="shared" si="91"/>
        <v>74000</v>
      </c>
      <c r="P193" s="106"/>
      <c r="Q193" s="3" t="s">
        <v>395</v>
      </c>
      <c r="R193" s="37"/>
      <c r="S193" s="37">
        <f t="shared" si="95"/>
        <v>74000</v>
      </c>
      <c r="T193" s="37">
        <f t="shared" si="88"/>
        <v>105714.28571428572</v>
      </c>
      <c r="U193" s="41">
        <f t="shared" si="89"/>
        <v>120816.32653061226</v>
      </c>
      <c r="V193" s="42">
        <f t="shared" si="96"/>
        <v>0.12500000000000006</v>
      </c>
      <c r="W193" s="41">
        <f t="shared" si="97"/>
        <v>120900</v>
      </c>
      <c r="X193" s="43">
        <f t="shared" si="90"/>
        <v>0.30000000000000004</v>
      </c>
      <c r="Y193" s="44"/>
      <c r="Z193" s="44"/>
      <c r="AA193" s="44"/>
    </row>
    <row r="194" spans="2:27" ht="14.4" customHeight="1">
      <c r="B194" s="4">
        <v>190</v>
      </c>
      <c r="C194" s="5" t="s">
        <v>165</v>
      </c>
      <c r="D194" s="5" t="str">
        <f t="shared" si="103"/>
        <v xml:space="preserve"> 122</v>
      </c>
      <c r="E194" s="6" t="s">
        <v>165</v>
      </c>
      <c r="F194" s="7">
        <f t="shared" si="104"/>
        <v>0</v>
      </c>
      <c r="G194" s="11" t="s">
        <v>299</v>
      </c>
      <c r="H194" s="11" t="s">
        <v>51</v>
      </c>
      <c r="I194" s="11" t="s">
        <v>339</v>
      </c>
      <c r="J194" s="12">
        <v>60000</v>
      </c>
      <c r="K194" s="13">
        <f t="shared" si="87"/>
        <v>5900</v>
      </c>
      <c r="L194" s="7" t="s">
        <v>24</v>
      </c>
      <c r="M194" s="14">
        <f t="shared" si="105"/>
        <v>54100</v>
      </c>
      <c r="N194" s="14">
        <f>2000+300+600+3000</f>
        <v>5900</v>
      </c>
      <c r="O194" s="40">
        <f t="shared" si="91"/>
        <v>60000</v>
      </c>
      <c r="P194" s="107"/>
      <c r="Q194" s="3" t="s">
        <v>383</v>
      </c>
      <c r="R194" s="37"/>
      <c r="S194" s="37">
        <f t="shared" si="95"/>
        <v>60000</v>
      </c>
      <c r="T194" s="37">
        <f t="shared" si="88"/>
        <v>85714.285714285725</v>
      </c>
      <c r="U194" s="41">
        <f t="shared" si="89"/>
        <v>97959.183673469393</v>
      </c>
      <c r="V194" s="42">
        <f t="shared" si="96"/>
        <v>0.12499999999999994</v>
      </c>
      <c r="W194" s="41">
        <f t="shared" si="97"/>
        <v>98000</v>
      </c>
      <c r="X194" s="43">
        <f t="shared" si="90"/>
        <v>0.3000000000000001</v>
      </c>
      <c r="Y194" s="44"/>
      <c r="Z194" s="44"/>
      <c r="AA194" s="45"/>
    </row>
    <row r="195" spans="2:27" ht="14.4" customHeight="1">
      <c r="B195" s="4">
        <v>191</v>
      </c>
      <c r="C195" s="5" t="s">
        <v>259</v>
      </c>
      <c r="D195" s="5" t="str">
        <f t="shared" si="103"/>
        <v xml:space="preserve"> 592</v>
      </c>
      <c r="E195" s="6" t="s">
        <v>259</v>
      </c>
      <c r="F195" s="7">
        <f t="shared" si="104"/>
        <v>0</v>
      </c>
      <c r="G195" s="11" t="s">
        <v>299</v>
      </c>
      <c r="H195" s="11" t="s">
        <v>51</v>
      </c>
      <c r="I195" s="11" t="s">
        <v>363</v>
      </c>
      <c r="J195" s="12">
        <v>77000</v>
      </c>
      <c r="K195" s="13">
        <f t="shared" si="87"/>
        <v>6900</v>
      </c>
      <c r="L195" s="7" t="s">
        <v>24</v>
      </c>
      <c r="M195" s="14">
        <f t="shared" si="105"/>
        <v>70100</v>
      </c>
      <c r="N195" s="15">
        <f>2000+300+600+1000+3000</f>
        <v>6900</v>
      </c>
      <c r="O195" s="40">
        <f t="shared" si="91"/>
        <v>77000</v>
      </c>
      <c r="P195" s="106"/>
      <c r="Q195" s="3" t="s">
        <v>450</v>
      </c>
      <c r="R195" s="37"/>
      <c r="S195" s="37">
        <f t="shared" si="95"/>
        <v>77000</v>
      </c>
      <c r="T195" s="37">
        <f t="shared" si="88"/>
        <v>110000</v>
      </c>
      <c r="U195" s="41">
        <f t="shared" si="89"/>
        <v>125714.28571428571</v>
      </c>
      <c r="V195" s="42">
        <f t="shared" si="96"/>
        <v>0.12499999999999997</v>
      </c>
      <c r="W195" s="41">
        <f t="shared" si="97"/>
        <v>125800</v>
      </c>
      <c r="X195" s="43">
        <f t="shared" si="90"/>
        <v>0.3</v>
      </c>
      <c r="Y195" s="44"/>
      <c r="Z195" s="44"/>
      <c r="AA195" s="45"/>
    </row>
    <row r="196" spans="2:27" ht="14.4" customHeight="1">
      <c r="B196" s="4">
        <v>192</v>
      </c>
      <c r="C196" s="5" t="s">
        <v>163</v>
      </c>
      <c r="D196" s="5" t="str">
        <f t="shared" si="103"/>
        <v xml:space="preserve"> 585</v>
      </c>
      <c r="E196" s="6" t="s">
        <v>163</v>
      </c>
      <c r="F196" s="7">
        <f t="shared" si="104"/>
        <v>0</v>
      </c>
      <c r="G196" s="11" t="s">
        <v>299</v>
      </c>
      <c r="H196" s="11" t="s">
        <v>51</v>
      </c>
      <c r="I196" s="11" t="s">
        <v>339</v>
      </c>
      <c r="J196" s="12">
        <v>60000</v>
      </c>
      <c r="K196" s="13">
        <f t="shared" si="87"/>
        <v>5900</v>
      </c>
      <c r="L196" s="7" t="s">
        <v>24</v>
      </c>
      <c r="M196" s="14">
        <f t="shared" si="105"/>
        <v>54100</v>
      </c>
      <c r="N196" s="14">
        <f>2000+300+600+3000</f>
        <v>5900</v>
      </c>
      <c r="O196" s="40">
        <f t="shared" si="91"/>
        <v>60000</v>
      </c>
      <c r="P196" s="107"/>
      <c r="Q196" s="3" t="s">
        <v>383</v>
      </c>
      <c r="R196" s="37"/>
      <c r="S196" s="37">
        <f t="shared" si="95"/>
        <v>60000</v>
      </c>
      <c r="T196" s="37">
        <f t="shared" si="88"/>
        <v>85714.285714285725</v>
      </c>
      <c r="U196" s="41">
        <f t="shared" si="89"/>
        <v>97959.183673469393</v>
      </c>
      <c r="V196" s="42">
        <f t="shared" si="96"/>
        <v>0.12499999999999994</v>
      </c>
      <c r="W196" s="41">
        <f t="shared" si="97"/>
        <v>98000</v>
      </c>
      <c r="X196" s="43">
        <f t="shared" si="90"/>
        <v>0.3000000000000001</v>
      </c>
      <c r="Y196" s="44"/>
      <c r="Z196" s="44"/>
      <c r="AA196" s="45"/>
    </row>
    <row r="197" spans="2:27" ht="14.4" customHeight="1">
      <c r="B197" s="4">
        <v>193</v>
      </c>
      <c r="C197" s="5" t="s">
        <v>164</v>
      </c>
      <c r="D197" s="5" t="str">
        <f t="shared" si="103"/>
        <v xml:space="preserve"> 354</v>
      </c>
      <c r="E197" s="6" t="s">
        <v>164</v>
      </c>
      <c r="F197" s="7">
        <f t="shared" si="104"/>
        <v>0</v>
      </c>
      <c r="G197" s="11" t="s">
        <v>299</v>
      </c>
      <c r="H197" s="11" t="s">
        <v>51</v>
      </c>
      <c r="I197" s="11" t="s">
        <v>339</v>
      </c>
      <c r="J197" s="12">
        <v>69000</v>
      </c>
      <c r="K197" s="13">
        <f t="shared" ref="K197:K260" si="106">J197-M197</f>
        <v>6900</v>
      </c>
      <c r="L197" s="7" t="s">
        <v>24</v>
      </c>
      <c r="M197" s="14">
        <f t="shared" si="105"/>
        <v>62100</v>
      </c>
      <c r="N197" s="14">
        <f>2000+300+600+1000+3000</f>
        <v>6900</v>
      </c>
      <c r="O197" s="40">
        <f t="shared" si="91"/>
        <v>69000</v>
      </c>
      <c r="P197" s="105"/>
      <c r="Q197" s="3" t="s">
        <v>394</v>
      </c>
      <c r="R197" s="37"/>
      <c r="S197" s="37">
        <f t="shared" si="95"/>
        <v>69000</v>
      </c>
      <c r="T197" s="37">
        <f t="shared" ref="T197:T260" si="107">S197/0.7</f>
        <v>98571.42857142858</v>
      </c>
      <c r="U197" s="41">
        <f t="shared" ref="U197:U260" si="108">T197/0.875</f>
        <v>112653.06122448981</v>
      </c>
      <c r="V197" s="42">
        <f t="shared" si="96"/>
        <v>0.12500000000000003</v>
      </c>
      <c r="W197" s="41">
        <f t="shared" si="97"/>
        <v>112700</v>
      </c>
      <c r="X197" s="43">
        <f t="shared" ref="X197:X260" si="109">(T197-O197)/T197</f>
        <v>0.30000000000000004</v>
      </c>
      <c r="Y197" s="44"/>
      <c r="Z197" s="44"/>
      <c r="AA197" s="44"/>
    </row>
    <row r="198" spans="2:27" ht="14.4" customHeight="1">
      <c r="B198" s="4">
        <v>194</v>
      </c>
      <c r="C198" s="5" t="s">
        <v>1014</v>
      </c>
      <c r="D198" s="5" t="str">
        <f t="shared" si="103"/>
        <v xml:space="preserve"> 158</v>
      </c>
      <c r="E198" s="6" t="s">
        <v>1014</v>
      </c>
      <c r="F198" s="7">
        <f t="shared" si="104"/>
        <v>0</v>
      </c>
      <c r="G198" s="11" t="s">
        <v>21</v>
      </c>
      <c r="H198" s="11" t="s">
        <v>51</v>
      </c>
      <c r="I198" s="11" t="s">
        <v>606</v>
      </c>
      <c r="J198" s="12"/>
      <c r="K198" s="13">
        <f t="shared" si="106"/>
        <v>0</v>
      </c>
      <c r="L198" s="7"/>
      <c r="M198" s="14">
        <f t="shared" si="105"/>
        <v>0</v>
      </c>
      <c r="N198" s="14"/>
      <c r="O198" s="40">
        <f t="shared" ref="O198:O261" si="110">M198+N198</f>
        <v>0</v>
      </c>
      <c r="P198" s="105"/>
      <c r="Q198" s="3"/>
      <c r="R198" s="37"/>
      <c r="S198" s="37">
        <f t="shared" si="95"/>
        <v>0</v>
      </c>
      <c r="T198" s="37">
        <f t="shared" si="107"/>
        <v>0</v>
      </c>
      <c r="U198" s="41">
        <f t="shared" si="108"/>
        <v>0</v>
      </c>
      <c r="V198" s="42" t="e">
        <f t="shared" si="96"/>
        <v>#DIV/0!</v>
      </c>
      <c r="W198" s="41">
        <f t="shared" si="97"/>
        <v>0</v>
      </c>
      <c r="X198" s="43" t="e">
        <f t="shared" si="109"/>
        <v>#DIV/0!</v>
      </c>
      <c r="Y198" s="46">
        <v>91438</v>
      </c>
      <c r="Z198" s="47">
        <f>T198-Y198</f>
        <v>-91438</v>
      </c>
      <c r="AA198" s="47">
        <f>U198-Z198</f>
        <v>91438</v>
      </c>
    </row>
    <row r="199" spans="2:27" ht="14.4" customHeight="1">
      <c r="B199" s="4">
        <v>195</v>
      </c>
      <c r="C199" s="5" t="s">
        <v>100</v>
      </c>
      <c r="D199" s="5" t="str">
        <f t="shared" si="103"/>
        <v xml:space="preserve"> 449</v>
      </c>
      <c r="E199" s="6" t="s">
        <v>100</v>
      </c>
      <c r="F199" s="7">
        <f t="shared" si="104"/>
        <v>0</v>
      </c>
      <c r="G199" s="11" t="s">
        <v>21</v>
      </c>
      <c r="H199" s="11" t="s">
        <v>51</v>
      </c>
      <c r="I199" s="11" t="s">
        <v>360</v>
      </c>
      <c r="J199" s="12">
        <v>72000</v>
      </c>
      <c r="K199" s="13">
        <f t="shared" si="106"/>
        <v>6900</v>
      </c>
      <c r="L199" s="7" t="s">
        <v>24</v>
      </c>
      <c r="M199" s="14">
        <f t="shared" si="105"/>
        <v>65100</v>
      </c>
      <c r="N199" s="15">
        <f>2000+300+600+1000+3000</f>
        <v>6900</v>
      </c>
      <c r="O199" s="40">
        <f t="shared" si="110"/>
        <v>72000</v>
      </c>
      <c r="P199" s="106"/>
      <c r="Q199" s="3" t="s">
        <v>432</v>
      </c>
      <c r="R199" s="37"/>
      <c r="S199" s="37">
        <f t="shared" si="95"/>
        <v>72000</v>
      </c>
      <c r="T199" s="37">
        <f t="shared" si="107"/>
        <v>102857.14285714287</v>
      </c>
      <c r="U199" s="41">
        <f t="shared" si="108"/>
        <v>117551.02040816328</v>
      </c>
      <c r="V199" s="42">
        <f t="shared" si="96"/>
        <v>0.12500000000000003</v>
      </c>
      <c r="W199" s="41">
        <f t="shared" si="97"/>
        <v>117600</v>
      </c>
      <c r="X199" s="43">
        <f t="shared" si="109"/>
        <v>0.3000000000000001</v>
      </c>
      <c r="Y199" s="46">
        <v>98613</v>
      </c>
      <c r="Z199" s="47">
        <f>T199-Y199</f>
        <v>4244.1428571428696</v>
      </c>
      <c r="AA199" s="48">
        <f>Z199/Y199</f>
        <v>4.3038370774064978E-2</v>
      </c>
    </row>
    <row r="200" spans="2:27" ht="14.4" customHeight="1">
      <c r="B200" s="4">
        <v>196</v>
      </c>
      <c r="C200" s="6" t="s">
        <v>1017</v>
      </c>
      <c r="D200" s="5" t="str">
        <f t="shared" si="103"/>
        <v xml:space="preserve"> 496</v>
      </c>
      <c r="E200" s="6" t="s">
        <v>1017</v>
      </c>
      <c r="F200" s="7">
        <f t="shared" si="104"/>
        <v>0</v>
      </c>
      <c r="G200" s="8" t="s">
        <v>21</v>
      </c>
      <c r="H200" s="8" t="s">
        <v>643</v>
      </c>
      <c r="I200" s="8" t="s">
        <v>648</v>
      </c>
      <c r="J200" s="101">
        <v>53000</v>
      </c>
      <c r="K200" s="101">
        <f t="shared" si="106"/>
        <v>0</v>
      </c>
      <c r="L200" s="117" t="s">
        <v>1438</v>
      </c>
      <c r="M200" s="97">
        <f>J200</f>
        <v>53000</v>
      </c>
      <c r="N200" s="98">
        <f>2000+2850+800+300</f>
        <v>5950</v>
      </c>
      <c r="O200" s="112">
        <f>M200+N200</f>
        <v>58950</v>
      </c>
      <c r="P200" s="106"/>
      <c r="Q200" s="99" t="s">
        <v>1417</v>
      </c>
      <c r="R200" s="37"/>
      <c r="S200" s="37">
        <f t="shared" si="95"/>
        <v>58950</v>
      </c>
      <c r="T200" s="37">
        <f t="shared" si="107"/>
        <v>84214.285714285725</v>
      </c>
      <c r="U200" s="41">
        <f t="shared" si="108"/>
        <v>96244.897959183683</v>
      </c>
      <c r="V200" s="42">
        <f t="shared" si="96"/>
        <v>0.12499999999999999</v>
      </c>
      <c r="W200" s="41">
        <f t="shared" si="97"/>
        <v>96300</v>
      </c>
      <c r="X200" s="43">
        <f t="shared" si="109"/>
        <v>0.3000000000000001</v>
      </c>
      <c r="Y200" s="46">
        <v>82863</v>
      </c>
      <c r="Z200" s="47">
        <f>T200-Y200</f>
        <v>1351.2857142857247</v>
      </c>
      <c r="AA200" s="48">
        <f>Z200/Y200</f>
        <v>1.6307467920371271E-2</v>
      </c>
    </row>
    <row r="201" spans="2:27" ht="14.4" customHeight="1">
      <c r="B201" s="4">
        <v>197</v>
      </c>
      <c r="C201" s="5" t="s">
        <v>264</v>
      </c>
      <c r="D201" s="5" t="str">
        <f t="shared" si="103"/>
        <v xml:space="preserve"> 739</v>
      </c>
      <c r="E201" s="6" t="s">
        <v>264</v>
      </c>
      <c r="F201" s="7">
        <f t="shared" si="104"/>
        <v>0</v>
      </c>
      <c r="G201" s="11" t="s">
        <v>299</v>
      </c>
      <c r="H201" s="11" t="s">
        <v>51</v>
      </c>
      <c r="I201" s="11" t="s">
        <v>365</v>
      </c>
      <c r="J201" s="12">
        <v>81000</v>
      </c>
      <c r="K201" s="13">
        <f t="shared" si="106"/>
        <v>6900</v>
      </c>
      <c r="L201" s="7" t="s">
        <v>24</v>
      </c>
      <c r="M201" s="14">
        <f t="shared" si="105"/>
        <v>74100</v>
      </c>
      <c r="N201" s="15">
        <f>2000+300+600+1000+3000</f>
        <v>6900</v>
      </c>
      <c r="O201" s="40">
        <f t="shared" si="110"/>
        <v>81000</v>
      </c>
      <c r="P201" s="106"/>
      <c r="Q201" s="3" t="s">
        <v>450</v>
      </c>
      <c r="R201" s="37"/>
      <c r="S201" s="37">
        <f t="shared" si="95"/>
        <v>81000</v>
      </c>
      <c r="T201" s="37">
        <f t="shared" si="107"/>
        <v>115714.28571428572</v>
      </c>
      <c r="U201" s="41">
        <f t="shared" si="108"/>
        <v>132244.8979591837</v>
      </c>
      <c r="V201" s="42">
        <f t="shared" si="96"/>
        <v>0.12500000000000008</v>
      </c>
      <c r="W201" s="41">
        <f t="shared" si="97"/>
        <v>132300</v>
      </c>
      <c r="X201" s="43">
        <f t="shared" si="109"/>
        <v>0.30000000000000004</v>
      </c>
      <c r="Y201" s="44"/>
      <c r="Z201" s="44"/>
      <c r="AA201" s="44"/>
    </row>
    <row r="202" spans="2:27" ht="14.4" customHeight="1">
      <c r="B202" s="4">
        <v>198</v>
      </c>
      <c r="C202" s="6" t="s">
        <v>1020</v>
      </c>
      <c r="D202" s="5" t="str">
        <f t="shared" si="103"/>
        <v xml:space="preserve"> 632</v>
      </c>
      <c r="E202" s="6" t="s">
        <v>1020</v>
      </c>
      <c r="F202" s="7">
        <f t="shared" si="104"/>
        <v>0</v>
      </c>
      <c r="G202" s="8" t="s">
        <v>299</v>
      </c>
      <c r="H202" s="8" t="s">
        <v>643</v>
      </c>
      <c r="I202" s="8" t="s">
        <v>649</v>
      </c>
      <c r="J202" s="12"/>
      <c r="K202" s="13">
        <f t="shared" si="106"/>
        <v>0</v>
      </c>
      <c r="L202" s="7"/>
      <c r="M202" s="14">
        <f t="shared" si="105"/>
        <v>0</v>
      </c>
      <c r="N202" s="15"/>
      <c r="O202" s="40">
        <f t="shared" si="110"/>
        <v>0</v>
      </c>
      <c r="P202" s="106"/>
      <c r="Q202" s="3"/>
      <c r="R202" s="37"/>
      <c r="S202" s="37">
        <f t="shared" si="95"/>
        <v>0</v>
      </c>
      <c r="T202" s="37">
        <f t="shared" si="107"/>
        <v>0</v>
      </c>
      <c r="U202" s="41">
        <f t="shared" si="108"/>
        <v>0</v>
      </c>
      <c r="V202" s="42" t="e">
        <f t="shared" si="96"/>
        <v>#DIV/0!</v>
      </c>
      <c r="W202" s="41">
        <f t="shared" si="97"/>
        <v>0</v>
      </c>
      <c r="X202" s="43" t="e">
        <f t="shared" si="109"/>
        <v>#DIV/0!</v>
      </c>
      <c r="Y202" s="44"/>
      <c r="Z202" s="44"/>
      <c r="AA202" s="44"/>
    </row>
    <row r="203" spans="2:27" ht="14.4" customHeight="1">
      <c r="B203" s="4">
        <v>199</v>
      </c>
      <c r="C203" s="5" t="s">
        <v>240</v>
      </c>
      <c r="D203" s="5" t="str">
        <f t="shared" si="103"/>
        <v xml:space="preserve"> 672</v>
      </c>
      <c r="E203" s="6" t="s">
        <v>240</v>
      </c>
      <c r="F203" s="7">
        <f t="shared" si="104"/>
        <v>0</v>
      </c>
      <c r="G203" s="11" t="s">
        <v>299</v>
      </c>
      <c r="H203" s="11" t="s">
        <v>51</v>
      </c>
      <c r="I203" s="11" t="s">
        <v>360</v>
      </c>
      <c r="J203" s="12">
        <v>59500</v>
      </c>
      <c r="K203" s="13">
        <f t="shared" si="106"/>
        <v>6900</v>
      </c>
      <c r="L203" s="7" t="s">
        <v>24</v>
      </c>
      <c r="M203" s="14">
        <f t="shared" si="105"/>
        <v>52600</v>
      </c>
      <c r="N203" s="15">
        <f>2000+300+600+1000+3000</f>
        <v>6900</v>
      </c>
      <c r="O203" s="40">
        <f t="shared" si="110"/>
        <v>59500</v>
      </c>
      <c r="P203" s="106"/>
      <c r="Q203" s="3" t="s">
        <v>432</v>
      </c>
      <c r="R203" s="37"/>
      <c r="S203" s="37">
        <f t="shared" si="95"/>
        <v>59500</v>
      </c>
      <c r="T203" s="37">
        <f t="shared" si="107"/>
        <v>85000</v>
      </c>
      <c r="U203" s="41">
        <f t="shared" si="108"/>
        <v>97142.857142857145</v>
      </c>
      <c r="V203" s="42">
        <f t="shared" si="96"/>
        <v>0.12500000000000003</v>
      </c>
      <c r="W203" s="41">
        <f t="shared" si="97"/>
        <v>97200</v>
      </c>
      <c r="X203" s="43">
        <f t="shared" si="109"/>
        <v>0.3</v>
      </c>
      <c r="Y203" s="44"/>
      <c r="Z203" s="44"/>
      <c r="AA203" s="45"/>
    </row>
    <row r="204" spans="2:27" ht="14.4" customHeight="1">
      <c r="B204" s="4">
        <v>200</v>
      </c>
      <c r="C204" s="5" t="s">
        <v>154</v>
      </c>
      <c r="D204" s="5" t="str">
        <f t="shared" si="103"/>
        <v xml:space="preserve"> 575</v>
      </c>
      <c r="E204" s="6" t="s">
        <v>154</v>
      </c>
      <c r="F204" s="7">
        <f t="shared" si="104"/>
        <v>0</v>
      </c>
      <c r="G204" s="11" t="s">
        <v>299</v>
      </c>
      <c r="H204" s="11" t="s">
        <v>51</v>
      </c>
      <c r="I204" s="11" t="s">
        <v>338</v>
      </c>
      <c r="J204" s="12">
        <v>50900</v>
      </c>
      <c r="K204" s="13">
        <f t="shared" si="106"/>
        <v>5900</v>
      </c>
      <c r="L204" s="7" t="s">
        <v>24</v>
      </c>
      <c r="M204" s="14">
        <f t="shared" si="105"/>
        <v>45000</v>
      </c>
      <c r="N204" s="14">
        <f>2000+300+600+1000+2000</f>
        <v>5900</v>
      </c>
      <c r="O204" s="40">
        <f t="shared" si="110"/>
        <v>50900</v>
      </c>
      <c r="P204" s="106"/>
      <c r="Q204" s="3" t="s">
        <v>389</v>
      </c>
      <c r="R204" s="37"/>
      <c r="S204" s="37">
        <f t="shared" si="95"/>
        <v>50900</v>
      </c>
      <c r="T204" s="37">
        <f t="shared" si="107"/>
        <v>72714.285714285725</v>
      </c>
      <c r="U204" s="41">
        <f t="shared" si="108"/>
        <v>83102.040816326538</v>
      </c>
      <c r="V204" s="42">
        <f t="shared" si="96"/>
        <v>0.12499999999999996</v>
      </c>
      <c r="W204" s="41">
        <f t="shared" si="97"/>
        <v>83200</v>
      </c>
      <c r="X204" s="43">
        <f t="shared" si="109"/>
        <v>0.3000000000000001</v>
      </c>
      <c r="Y204" s="44"/>
      <c r="Z204" s="44"/>
      <c r="AA204" s="45"/>
    </row>
    <row r="205" spans="2:27" ht="14.4" customHeight="1">
      <c r="B205" s="4">
        <v>201</v>
      </c>
      <c r="C205" s="6" t="s">
        <v>1025</v>
      </c>
      <c r="D205" s="5" t="str">
        <f t="shared" si="103"/>
        <v xml:space="preserve"> 466</v>
      </c>
      <c r="E205" s="6" t="s">
        <v>1025</v>
      </c>
      <c r="F205" s="7">
        <f t="shared" si="104"/>
        <v>0</v>
      </c>
      <c r="G205" s="8" t="s">
        <v>21</v>
      </c>
      <c r="H205" s="8" t="s">
        <v>650</v>
      </c>
      <c r="I205" s="8" t="s">
        <v>651</v>
      </c>
      <c r="J205" s="96">
        <v>56000</v>
      </c>
      <c r="K205" s="13">
        <f t="shared" si="106"/>
        <v>5950</v>
      </c>
      <c r="L205" s="115" t="s">
        <v>1439</v>
      </c>
      <c r="M205" s="14">
        <f t="shared" si="105"/>
        <v>50050</v>
      </c>
      <c r="N205" s="14">
        <v>5950</v>
      </c>
      <c r="O205" s="40">
        <f t="shared" si="110"/>
        <v>56000</v>
      </c>
      <c r="P205" s="106"/>
      <c r="Q205" s="78" t="s">
        <v>1410</v>
      </c>
      <c r="R205" s="37"/>
      <c r="S205" s="37">
        <f t="shared" si="95"/>
        <v>56000</v>
      </c>
      <c r="T205" s="37">
        <f t="shared" si="107"/>
        <v>80000</v>
      </c>
      <c r="U205" s="41">
        <f t="shared" si="108"/>
        <v>91428.571428571435</v>
      </c>
      <c r="V205" s="42">
        <f t="shared" si="96"/>
        <v>0.12500000000000006</v>
      </c>
      <c r="W205" s="41">
        <f t="shared" si="97"/>
        <v>91500</v>
      </c>
      <c r="X205" s="43">
        <f t="shared" si="109"/>
        <v>0.3</v>
      </c>
      <c r="Y205" s="46">
        <v>75775</v>
      </c>
      <c r="Z205" s="47">
        <f>T205-Y205</f>
        <v>4225</v>
      </c>
      <c r="AA205" s="48">
        <f>Z205/Y205</f>
        <v>5.5757175849554599E-2</v>
      </c>
    </row>
    <row r="206" spans="2:27" ht="14.4" customHeight="1">
      <c r="B206" s="4">
        <v>202</v>
      </c>
      <c r="C206" s="6" t="s">
        <v>1028</v>
      </c>
      <c r="D206" s="5" t="str">
        <f t="shared" si="103"/>
        <v xml:space="preserve"> 604</v>
      </c>
      <c r="E206" s="6" t="s">
        <v>1028</v>
      </c>
      <c r="F206" s="7">
        <f t="shared" si="104"/>
        <v>0</v>
      </c>
      <c r="G206" s="8" t="s">
        <v>21</v>
      </c>
      <c r="H206" s="8" t="s">
        <v>643</v>
      </c>
      <c r="I206" s="8" t="s">
        <v>652</v>
      </c>
      <c r="J206" s="12">
        <f>M206</f>
        <v>32000</v>
      </c>
      <c r="K206" s="13">
        <f t="shared" si="106"/>
        <v>0</v>
      </c>
      <c r="L206" s="116" t="s">
        <v>1438</v>
      </c>
      <c r="M206" s="18">
        <v>32000</v>
      </c>
      <c r="N206" s="15">
        <f>5350</f>
        <v>5350</v>
      </c>
      <c r="O206" s="40">
        <f t="shared" si="110"/>
        <v>37350</v>
      </c>
      <c r="P206" s="106" t="s">
        <v>1408</v>
      </c>
      <c r="Q206" s="78" t="s">
        <v>1409</v>
      </c>
      <c r="R206" s="37"/>
      <c r="S206" s="37">
        <f t="shared" ref="S206:S269" si="111">R206+O206</f>
        <v>37350</v>
      </c>
      <c r="T206" s="37">
        <f t="shared" si="107"/>
        <v>53357.142857142862</v>
      </c>
      <c r="U206" s="41">
        <f t="shared" si="108"/>
        <v>60979.591836734697</v>
      </c>
      <c r="V206" s="42">
        <f t="shared" ref="V206:V269" si="112">(U206-T206)/U206</f>
        <v>0.12499999999999996</v>
      </c>
      <c r="W206" s="41">
        <f t="shared" ref="W206:W269" si="113">(ROUNDUP((U206/100),0))*100</f>
        <v>61000</v>
      </c>
      <c r="X206" s="43">
        <f t="shared" si="109"/>
        <v>0.30000000000000004</v>
      </c>
      <c r="Y206" s="46">
        <v>56263</v>
      </c>
      <c r="Z206" s="47">
        <f>T206-Y206</f>
        <v>-2905.8571428571377</v>
      </c>
      <c r="AA206" s="48">
        <f>Z206/Y206</f>
        <v>-5.1647746171678326E-2</v>
      </c>
    </row>
    <row r="207" spans="2:27" ht="14.4" customHeight="1">
      <c r="B207" s="4">
        <v>203</v>
      </c>
      <c r="C207" s="5" t="s">
        <v>193</v>
      </c>
      <c r="D207" s="5" t="str">
        <f t="shared" si="103"/>
        <v xml:space="preserve"> 681</v>
      </c>
      <c r="E207" s="6" t="s">
        <v>193</v>
      </c>
      <c r="F207" s="7">
        <f t="shared" si="104"/>
        <v>0</v>
      </c>
      <c r="G207" s="11" t="s">
        <v>299</v>
      </c>
      <c r="H207" s="11" t="s">
        <v>51</v>
      </c>
      <c r="I207" s="11" t="s">
        <v>348</v>
      </c>
      <c r="J207" s="12">
        <v>44000</v>
      </c>
      <c r="K207" s="13">
        <f t="shared" si="106"/>
        <v>6400</v>
      </c>
      <c r="L207" s="7" t="s">
        <v>24</v>
      </c>
      <c r="M207" s="14">
        <f t="shared" si="105"/>
        <v>37600</v>
      </c>
      <c r="N207" s="15">
        <v>6400</v>
      </c>
      <c r="O207" s="40">
        <f t="shared" si="110"/>
        <v>44000</v>
      </c>
      <c r="P207" s="106"/>
      <c r="Q207" s="3" t="s">
        <v>408</v>
      </c>
      <c r="R207" s="37"/>
      <c r="S207" s="37">
        <f t="shared" si="111"/>
        <v>44000</v>
      </c>
      <c r="T207" s="37">
        <f t="shared" si="107"/>
        <v>62857.142857142862</v>
      </c>
      <c r="U207" s="41">
        <f t="shared" si="108"/>
        <v>71836.734693877559</v>
      </c>
      <c r="V207" s="42">
        <f t="shared" si="112"/>
        <v>0.12500000000000003</v>
      </c>
      <c r="W207" s="41">
        <f t="shared" si="113"/>
        <v>71900</v>
      </c>
      <c r="X207" s="43">
        <f t="shared" si="109"/>
        <v>0.30000000000000004</v>
      </c>
      <c r="Y207" s="44"/>
      <c r="Z207" s="44"/>
      <c r="AA207" s="44"/>
    </row>
    <row r="208" spans="2:27" ht="14.4" customHeight="1">
      <c r="B208" s="4">
        <v>204</v>
      </c>
      <c r="C208" s="6" t="s">
        <v>1032</v>
      </c>
      <c r="D208" s="5" t="str">
        <f t="shared" si="103"/>
        <v xml:space="preserve"> 635</v>
      </c>
      <c r="E208" s="6" t="s">
        <v>1032</v>
      </c>
      <c r="F208" s="7">
        <f t="shared" si="104"/>
        <v>0</v>
      </c>
      <c r="G208" s="8" t="s">
        <v>299</v>
      </c>
      <c r="H208" s="8" t="s">
        <v>643</v>
      </c>
      <c r="I208" s="8" t="s">
        <v>645</v>
      </c>
      <c r="J208" s="12"/>
      <c r="K208" s="13">
        <f t="shared" si="106"/>
        <v>0</v>
      </c>
      <c r="L208" s="7"/>
      <c r="M208" s="14">
        <f t="shared" si="105"/>
        <v>0</v>
      </c>
      <c r="N208" s="15"/>
      <c r="O208" s="40">
        <f t="shared" si="110"/>
        <v>0</v>
      </c>
      <c r="P208" s="106"/>
      <c r="Q208" s="3"/>
      <c r="R208" s="37"/>
      <c r="S208" s="37">
        <f t="shared" si="111"/>
        <v>0</v>
      </c>
      <c r="T208" s="37">
        <f t="shared" si="107"/>
        <v>0</v>
      </c>
      <c r="U208" s="41">
        <f t="shared" si="108"/>
        <v>0</v>
      </c>
      <c r="V208" s="42" t="e">
        <f t="shared" si="112"/>
        <v>#DIV/0!</v>
      </c>
      <c r="W208" s="41">
        <f t="shared" si="113"/>
        <v>0</v>
      </c>
      <c r="X208" s="43" t="e">
        <f t="shared" si="109"/>
        <v>#DIV/0!</v>
      </c>
      <c r="Y208" s="44"/>
      <c r="Z208" s="44"/>
      <c r="AA208" s="44"/>
    </row>
    <row r="209" spans="2:27" ht="14.4" customHeight="1">
      <c r="B209" s="4">
        <v>205</v>
      </c>
      <c r="C209" s="6" t="s">
        <v>1350</v>
      </c>
      <c r="D209" s="5" t="str">
        <f>REPLACE(C209,1,3, )</f>
        <v xml:space="preserve"> 231</v>
      </c>
      <c r="E209" s="6" t="s">
        <v>1350</v>
      </c>
      <c r="F209" s="7">
        <f t="shared" si="104"/>
        <v>0</v>
      </c>
      <c r="G209" s="8" t="s">
        <v>299</v>
      </c>
      <c r="H209" s="8" t="s">
        <v>643</v>
      </c>
      <c r="I209" s="8" t="s">
        <v>653</v>
      </c>
      <c r="J209" s="12">
        <f>M209</f>
        <v>50000</v>
      </c>
      <c r="K209" s="13">
        <f t="shared" si="106"/>
        <v>0</v>
      </c>
      <c r="L209" s="17" t="s">
        <v>23</v>
      </c>
      <c r="M209" s="18">
        <v>50000</v>
      </c>
      <c r="N209" s="15">
        <f>2000+200+350+300+800+600</f>
        <v>4250</v>
      </c>
      <c r="O209" s="40">
        <f t="shared" si="110"/>
        <v>54250</v>
      </c>
      <c r="P209" s="106"/>
      <c r="Q209" s="78" t="s">
        <v>1370</v>
      </c>
      <c r="R209" s="37"/>
      <c r="S209" s="37">
        <f t="shared" si="111"/>
        <v>54250</v>
      </c>
      <c r="T209" s="37">
        <f t="shared" si="107"/>
        <v>77500</v>
      </c>
      <c r="U209" s="41">
        <f t="shared" si="108"/>
        <v>88571.428571428565</v>
      </c>
      <c r="V209" s="42">
        <f t="shared" si="112"/>
        <v>0.12499999999999994</v>
      </c>
      <c r="W209" s="41">
        <f t="shared" si="113"/>
        <v>88600</v>
      </c>
      <c r="X209" s="43">
        <f t="shared" si="109"/>
        <v>0.3</v>
      </c>
      <c r="Y209" s="44"/>
      <c r="Z209" s="44"/>
      <c r="AA209" s="44"/>
    </row>
    <row r="210" spans="2:27" ht="14.4" customHeight="1">
      <c r="B210" s="4">
        <v>206</v>
      </c>
      <c r="C210" s="5" t="s">
        <v>195</v>
      </c>
      <c r="D210" s="5" t="str">
        <f t="shared" si="103"/>
        <v xml:space="preserve"> 528</v>
      </c>
      <c r="E210" s="6" t="s">
        <v>195</v>
      </c>
      <c r="F210" s="7">
        <f t="shared" si="104"/>
        <v>0</v>
      </c>
      <c r="G210" s="11" t="s">
        <v>299</v>
      </c>
      <c r="H210" s="11" t="s">
        <v>51</v>
      </c>
      <c r="I210" s="11" t="s">
        <v>348</v>
      </c>
      <c r="J210" s="12">
        <v>50000</v>
      </c>
      <c r="K210" s="13">
        <f t="shared" si="106"/>
        <v>5900</v>
      </c>
      <c r="L210" s="7" t="s">
        <v>24</v>
      </c>
      <c r="M210" s="14">
        <f t="shared" si="105"/>
        <v>44100</v>
      </c>
      <c r="N210" s="15">
        <f>2000+300+600+3000</f>
        <v>5900</v>
      </c>
      <c r="O210" s="40">
        <f t="shared" si="110"/>
        <v>50000</v>
      </c>
      <c r="P210" s="106"/>
      <c r="Q210" s="3" t="s">
        <v>410</v>
      </c>
      <c r="R210" s="37"/>
      <c r="S210" s="37">
        <f t="shared" si="111"/>
        <v>50000</v>
      </c>
      <c r="T210" s="37">
        <f t="shared" si="107"/>
        <v>71428.571428571435</v>
      </c>
      <c r="U210" s="41">
        <f t="shared" si="108"/>
        <v>81632.653061224497</v>
      </c>
      <c r="V210" s="42">
        <f t="shared" si="112"/>
        <v>0.125</v>
      </c>
      <c r="W210" s="41">
        <f t="shared" si="113"/>
        <v>81700</v>
      </c>
      <c r="X210" s="43">
        <f t="shared" si="109"/>
        <v>0.30000000000000004</v>
      </c>
      <c r="Y210" s="44"/>
      <c r="Z210" s="44"/>
      <c r="AA210" s="44"/>
    </row>
    <row r="211" spans="2:27" ht="14.4" customHeight="1">
      <c r="B211" s="4">
        <v>207</v>
      </c>
      <c r="C211" s="5" t="s">
        <v>140</v>
      </c>
      <c r="D211" s="5" t="str">
        <f t="shared" si="103"/>
        <v xml:space="preserve"> 913</v>
      </c>
      <c r="E211" s="6" t="s">
        <v>140</v>
      </c>
      <c r="F211" s="7">
        <f t="shared" si="104"/>
        <v>0</v>
      </c>
      <c r="G211" s="11" t="s">
        <v>299</v>
      </c>
      <c r="H211" s="11" t="s">
        <v>51</v>
      </c>
      <c r="I211" s="11" t="s">
        <v>334</v>
      </c>
      <c r="J211" s="12">
        <v>75000</v>
      </c>
      <c r="K211" s="13">
        <f t="shared" si="106"/>
        <v>6900</v>
      </c>
      <c r="L211" s="7" t="s">
        <v>24</v>
      </c>
      <c r="M211" s="14">
        <f t="shared" si="105"/>
        <v>68100</v>
      </c>
      <c r="N211" s="14">
        <f>2000+300+600+1000+3000</f>
        <v>6900</v>
      </c>
      <c r="O211" s="40">
        <f t="shared" si="110"/>
        <v>75000</v>
      </c>
      <c r="P211" s="107"/>
      <c r="Q211" s="3" t="s">
        <v>386</v>
      </c>
      <c r="R211" s="37"/>
      <c r="S211" s="37">
        <f t="shared" si="111"/>
        <v>75000</v>
      </c>
      <c r="T211" s="37">
        <f t="shared" si="107"/>
        <v>107142.85714285714</v>
      </c>
      <c r="U211" s="41">
        <f t="shared" si="108"/>
        <v>122448.97959183673</v>
      </c>
      <c r="V211" s="42">
        <f t="shared" si="112"/>
        <v>0.12499999999999996</v>
      </c>
      <c r="W211" s="41">
        <f t="shared" si="113"/>
        <v>122500</v>
      </c>
      <c r="X211" s="43">
        <f t="shared" si="109"/>
        <v>0.3</v>
      </c>
      <c r="Y211" s="44"/>
      <c r="Z211" s="44"/>
      <c r="AA211" s="45"/>
    </row>
    <row r="212" spans="2:27" ht="14.4" customHeight="1">
      <c r="B212" s="4">
        <v>208</v>
      </c>
      <c r="C212" s="5" t="s">
        <v>138</v>
      </c>
      <c r="D212" s="5" t="str">
        <f t="shared" si="103"/>
        <v xml:space="preserve"> 590</v>
      </c>
      <c r="E212" s="6" t="s">
        <v>138</v>
      </c>
      <c r="F212" s="7">
        <f t="shared" si="104"/>
        <v>0</v>
      </c>
      <c r="G212" s="11" t="s">
        <v>299</v>
      </c>
      <c r="H212" s="11" t="s">
        <v>51</v>
      </c>
      <c r="I212" s="11" t="s">
        <v>333</v>
      </c>
      <c r="J212" s="12">
        <f>M212</f>
        <v>66000</v>
      </c>
      <c r="K212" s="13">
        <f t="shared" si="106"/>
        <v>0</v>
      </c>
      <c r="L212" s="17" t="s">
        <v>23</v>
      </c>
      <c r="M212" s="20">
        <v>66000</v>
      </c>
      <c r="N212" s="14">
        <f>2000+300+600+3000</f>
        <v>5900</v>
      </c>
      <c r="O212" s="40">
        <f t="shared" si="110"/>
        <v>71900</v>
      </c>
      <c r="P212" s="106"/>
      <c r="Q212" s="3" t="s">
        <v>383</v>
      </c>
      <c r="R212" s="37"/>
      <c r="S212" s="37">
        <f t="shared" si="111"/>
        <v>71900</v>
      </c>
      <c r="T212" s="37">
        <f t="shared" si="107"/>
        <v>102714.28571428572</v>
      </c>
      <c r="U212" s="41">
        <f t="shared" si="108"/>
        <v>117387.75510204083</v>
      </c>
      <c r="V212" s="42">
        <f t="shared" si="112"/>
        <v>0.125</v>
      </c>
      <c r="W212" s="41">
        <f t="shared" si="113"/>
        <v>117400</v>
      </c>
      <c r="X212" s="43">
        <f t="shared" si="109"/>
        <v>0.30000000000000004</v>
      </c>
      <c r="Y212" s="44"/>
      <c r="Z212" s="44"/>
      <c r="AA212" s="45"/>
    </row>
    <row r="213" spans="2:27" ht="14.4" customHeight="1">
      <c r="B213" s="4">
        <v>209</v>
      </c>
      <c r="C213" s="6" t="s">
        <v>1039</v>
      </c>
      <c r="D213" s="5" t="str">
        <f t="shared" si="103"/>
        <v xml:space="preserve"> 429</v>
      </c>
      <c r="E213" s="6" t="s">
        <v>1039</v>
      </c>
      <c r="F213" s="7">
        <f t="shared" si="104"/>
        <v>0</v>
      </c>
      <c r="G213" s="8" t="s">
        <v>21</v>
      </c>
      <c r="H213" s="8" t="s">
        <v>643</v>
      </c>
      <c r="I213" s="8" t="s">
        <v>654</v>
      </c>
      <c r="J213" s="101">
        <v>75000</v>
      </c>
      <c r="K213" s="101">
        <f t="shared" si="106"/>
        <v>6950</v>
      </c>
      <c r="L213" s="115" t="s">
        <v>1439</v>
      </c>
      <c r="M213" s="98">
        <f>J213-N213</f>
        <v>68050</v>
      </c>
      <c r="N213" s="98">
        <f>2000+2850+800+300+1000</f>
        <v>6950</v>
      </c>
      <c r="O213" s="112">
        <f t="shared" si="110"/>
        <v>75000</v>
      </c>
      <c r="P213" s="106"/>
      <c r="Q213" s="99" t="s">
        <v>1431</v>
      </c>
      <c r="R213" s="37"/>
      <c r="S213" s="37">
        <f t="shared" si="111"/>
        <v>75000</v>
      </c>
      <c r="T213" s="37">
        <f t="shared" si="107"/>
        <v>107142.85714285714</v>
      </c>
      <c r="U213" s="41">
        <f t="shared" si="108"/>
        <v>122448.97959183673</v>
      </c>
      <c r="V213" s="42">
        <f t="shared" si="112"/>
        <v>0.12499999999999996</v>
      </c>
      <c r="W213" s="41">
        <f t="shared" si="113"/>
        <v>122500</v>
      </c>
      <c r="X213" s="43">
        <f t="shared" si="109"/>
        <v>0.3</v>
      </c>
      <c r="Y213" s="46">
        <v>105788</v>
      </c>
      <c r="Z213" s="47">
        <f>T213-Y213</f>
        <v>1354.8571428571449</v>
      </c>
      <c r="AA213" s="48">
        <f>Z213/Y213</f>
        <v>1.280728573049065E-2</v>
      </c>
    </row>
    <row r="214" spans="2:27" ht="14.4" customHeight="1">
      <c r="B214" s="4">
        <v>210</v>
      </c>
      <c r="C214" s="5" t="s">
        <v>141</v>
      </c>
      <c r="D214" s="5" t="str">
        <f t="shared" si="103"/>
        <v xml:space="preserve"> 949</v>
      </c>
      <c r="E214" s="6" t="s">
        <v>141</v>
      </c>
      <c r="F214" s="7">
        <f t="shared" si="104"/>
        <v>0</v>
      </c>
      <c r="G214" s="11" t="s">
        <v>299</v>
      </c>
      <c r="H214" s="11" t="s">
        <v>51</v>
      </c>
      <c r="I214" s="11" t="s">
        <v>334</v>
      </c>
      <c r="J214" s="12">
        <v>82000</v>
      </c>
      <c r="K214" s="13">
        <f t="shared" si="106"/>
        <v>5900</v>
      </c>
      <c r="L214" s="7" t="s">
        <v>24</v>
      </c>
      <c r="M214" s="14">
        <f t="shared" ref="M213:M215" si="114">J214-N214</f>
        <v>76100</v>
      </c>
      <c r="N214" s="14">
        <f>2000+300+600+3000</f>
        <v>5900</v>
      </c>
      <c r="O214" s="40">
        <f t="shared" si="110"/>
        <v>82000</v>
      </c>
      <c r="P214" s="107"/>
      <c r="Q214" s="3" t="s">
        <v>387</v>
      </c>
      <c r="R214" s="37"/>
      <c r="S214" s="37">
        <f t="shared" si="111"/>
        <v>82000</v>
      </c>
      <c r="T214" s="37">
        <f t="shared" si="107"/>
        <v>117142.85714285714</v>
      </c>
      <c r="U214" s="41">
        <f t="shared" si="108"/>
        <v>133877.55102040817</v>
      </c>
      <c r="V214" s="42">
        <f t="shared" si="112"/>
        <v>0.125</v>
      </c>
      <c r="W214" s="41">
        <f t="shared" si="113"/>
        <v>133900</v>
      </c>
      <c r="X214" s="43">
        <f t="shared" si="109"/>
        <v>0.3</v>
      </c>
      <c r="Y214" s="44"/>
      <c r="Z214" s="44"/>
      <c r="AA214" s="44"/>
    </row>
    <row r="215" spans="2:27" ht="14.4" customHeight="1">
      <c r="B215" s="4">
        <v>211</v>
      </c>
      <c r="C215" s="5" t="s">
        <v>99</v>
      </c>
      <c r="D215" s="5" t="str">
        <f t="shared" si="103"/>
        <v xml:space="preserve"> 546</v>
      </c>
      <c r="E215" s="6" t="s">
        <v>99</v>
      </c>
      <c r="F215" s="7">
        <f t="shared" si="104"/>
        <v>0</v>
      </c>
      <c r="G215" s="11" t="s">
        <v>21</v>
      </c>
      <c r="H215" s="11" t="s">
        <v>51</v>
      </c>
      <c r="I215" s="11" t="s">
        <v>360</v>
      </c>
      <c r="J215" s="12">
        <v>0</v>
      </c>
      <c r="K215" s="13">
        <f t="shared" si="106"/>
        <v>0</v>
      </c>
      <c r="L215" s="7" t="s">
        <v>472</v>
      </c>
      <c r="M215" s="14">
        <f t="shared" si="114"/>
        <v>0</v>
      </c>
      <c r="N215" s="15">
        <v>0</v>
      </c>
      <c r="O215" s="40">
        <f t="shared" si="110"/>
        <v>0</v>
      </c>
      <c r="P215" s="106"/>
      <c r="Q215" s="3" t="s">
        <v>414</v>
      </c>
      <c r="R215" s="37"/>
      <c r="S215" s="37">
        <f t="shared" si="111"/>
        <v>0</v>
      </c>
      <c r="T215" s="37">
        <f t="shared" si="107"/>
        <v>0</v>
      </c>
      <c r="U215" s="41">
        <f t="shared" si="108"/>
        <v>0</v>
      </c>
      <c r="V215" s="42" t="e">
        <f t="shared" si="112"/>
        <v>#DIV/0!</v>
      </c>
      <c r="W215" s="41">
        <f t="shared" si="113"/>
        <v>0</v>
      </c>
      <c r="X215" s="43" t="e">
        <f t="shared" si="109"/>
        <v>#DIV/0!</v>
      </c>
      <c r="Y215" s="46">
        <v>113575</v>
      </c>
      <c r="Z215" s="47">
        <f>T215-Y215</f>
        <v>-113575</v>
      </c>
      <c r="AA215" s="48">
        <f>Z215/Y215</f>
        <v>-1</v>
      </c>
    </row>
    <row r="216" spans="2:27" ht="14.4" customHeight="1">
      <c r="B216" s="4">
        <v>212</v>
      </c>
      <c r="C216" s="5" t="s">
        <v>257</v>
      </c>
      <c r="D216" s="5" t="str">
        <f t="shared" si="103"/>
        <v xml:space="preserve"> 930</v>
      </c>
      <c r="E216" s="6" t="s">
        <v>257</v>
      </c>
      <c r="F216" s="7">
        <f t="shared" si="104"/>
        <v>0</v>
      </c>
      <c r="G216" s="11" t="s">
        <v>299</v>
      </c>
      <c r="H216" s="11" t="s">
        <v>51</v>
      </c>
      <c r="I216" s="11" t="s">
        <v>362</v>
      </c>
      <c r="J216" s="12">
        <f>M216</f>
        <v>65000</v>
      </c>
      <c r="K216" s="13">
        <f t="shared" si="106"/>
        <v>0</v>
      </c>
      <c r="L216" s="17" t="s">
        <v>23</v>
      </c>
      <c r="M216" s="18">
        <v>65000</v>
      </c>
      <c r="N216" s="15">
        <f>2000+300+600+650+3000</f>
        <v>6550</v>
      </c>
      <c r="O216" s="40">
        <f t="shared" si="110"/>
        <v>71550</v>
      </c>
      <c r="P216" s="106"/>
      <c r="Q216" s="3" t="s">
        <v>448</v>
      </c>
      <c r="R216" s="37"/>
      <c r="S216" s="37">
        <f t="shared" si="111"/>
        <v>71550</v>
      </c>
      <c r="T216" s="37">
        <f t="shared" si="107"/>
        <v>102214.28571428572</v>
      </c>
      <c r="U216" s="41">
        <f t="shared" si="108"/>
        <v>116816.32653061226</v>
      </c>
      <c r="V216" s="42">
        <f t="shared" si="112"/>
        <v>0.12500000000000006</v>
      </c>
      <c r="W216" s="41">
        <f t="shared" si="113"/>
        <v>116900</v>
      </c>
      <c r="X216" s="43">
        <f t="shared" si="109"/>
        <v>0.30000000000000004</v>
      </c>
      <c r="Y216" s="44"/>
      <c r="Z216" s="44"/>
      <c r="AA216" s="44"/>
    </row>
    <row r="217" spans="2:27" ht="14.4" customHeight="1">
      <c r="B217" s="4">
        <v>213</v>
      </c>
      <c r="C217" s="5" t="s">
        <v>139</v>
      </c>
      <c r="D217" s="5" t="str">
        <f t="shared" si="103"/>
        <v xml:space="preserve"> 207</v>
      </c>
      <c r="E217" s="6" t="s">
        <v>139</v>
      </c>
      <c r="F217" s="7">
        <f t="shared" si="104"/>
        <v>0</v>
      </c>
      <c r="G217" s="11" t="s">
        <v>299</v>
      </c>
      <c r="H217" s="11" t="s">
        <v>51</v>
      </c>
      <c r="I217" s="11" t="s">
        <v>334</v>
      </c>
      <c r="J217" s="12">
        <v>80000</v>
      </c>
      <c r="K217" s="13">
        <f t="shared" si="106"/>
        <v>6900</v>
      </c>
      <c r="L217" s="7" t="s">
        <v>24</v>
      </c>
      <c r="M217" s="14">
        <f t="shared" ref="M217:M224" si="115">J217-N217</f>
        <v>73100</v>
      </c>
      <c r="N217" s="14">
        <f>2000+300+600+1000+3000</f>
        <v>6900</v>
      </c>
      <c r="O217" s="40">
        <f t="shared" si="110"/>
        <v>80000</v>
      </c>
      <c r="P217" s="106"/>
      <c r="Q217" s="3" t="s">
        <v>386</v>
      </c>
      <c r="R217" s="37"/>
      <c r="S217" s="37">
        <f t="shared" si="111"/>
        <v>80000</v>
      </c>
      <c r="T217" s="37">
        <f t="shared" si="107"/>
        <v>114285.71428571429</v>
      </c>
      <c r="U217" s="41">
        <f t="shared" si="108"/>
        <v>130612.24489795919</v>
      </c>
      <c r="V217" s="42">
        <f t="shared" si="112"/>
        <v>0.12499999999999999</v>
      </c>
      <c r="W217" s="41">
        <f t="shared" si="113"/>
        <v>130700</v>
      </c>
      <c r="X217" s="43">
        <f t="shared" si="109"/>
        <v>0.30000000000000004</v>
      </c>
      <c r="Y217" s="44"/>
      <c r="Z217" s="44"/>
      <c r="AA217" s="44"/>
    </row>
    <row r="218" spans="2:27" ht="14.4" customHeight="1">
      <c r="B218" s="4">
        <v>214</v>
      </c>
      <c r="C218" s="5" t="s">
        <v>142</v>
      </c>
      <c r="D218" s="5" t="str">
        <f t="shared" si="103"/>
        <v xml:space="preserve"> 403</v>
      </c>
      <c r="E218" s="6" t="s">
        <v>142</v>
      </c>
      <c r="F218" s="7">
        <f t="shared" si="104"/>
        <v>0</v>
      </c>
      <c r="G218" s="11" t="s">
        <v>299</v>
      </c>
      <c r="H218" s="11" t="s">
        <v>51</v>
      </c>
      <c r="I218" s="11" t="s">
        <v>334</v>
      </c>
      <c r="J218" s="12">
        <v>82000</v>
      </c>
      <c r="K218" s="13">
        <f t="shared" si="106"/>
        <v>6550</v>
      </c>
      <c r="L218" s="7" t="s">
        <v>24</v>
      </c>
      <c r="M218" s="14">
        <f t="shared" si="115"/>
        <v>75450</v>
      </c>
      <c r="N218" s="14">
        <f>2000+300+600+650+3000</f>
        <v>6550</v>
      </c>
      <c r="O218" s="40">
        <f t="shared" si="110"/>
        <v>82000</v>
      </c>
      <c r="P218" s="107"/>
      <c r="Q218" s="3" t="s">
        <v>388</v>
      </c>
      <c r="R218" s="37"/>
      <c r="S218" s="37">
        <f t="shared" si="111"/>
        <v>82000</v>
      </c>
      <c r="T218" s="37">
        <f t="shared" si="107"/>
        <v>117142.85714285714</v>
      </c>
      <c r="U218" s="41">
        <f t="shared" si="108"/>
        <v>133877.55102040817</v>
      </c>
      <c r="V218" s="42">
        <f t="shared" si="112"/>
        <v>0.125</v>
      </c>
      <c r="W218" s="41">
        <f t="shared" si="113"/>
        <v>133900</v>
      </c>
      <c r="X218" s="43">
        <f t="shared" si="109"/>
        <v>0.3</v>
      </c>
      <c r="Y218" s="44"/>
      <c r="Z218" s="44"/>
      <c r="AA218" s="44"/>
    </row>
    <row r="219" spans="2:27" ht="14.4" customHeight="1">
      <c r="B219" s="4">
        <v>215</v>
      </c>
      <c r="C219" s="5" t="s">
        <v>58</v>
      </c>
      <c r="D219" s="5" t="str">
        <f t="shared" si="103"/>
        <v xml:space="preserve"> 348</v>
      </c>
      <c r="E219" s="6" t="s">
        <v>58</v>
      </c>
      <c r="F219" s="7">
        <f t="shared" si="104"/>
        <v>0</v>
      </c>
      <c r="G219" s="11" t="s">
        <v>21</v>
      </c>
      <c r="H219" s="11" t="s">
        <v>51</v>
      </c>
      <c r="I219" s="11" t="s">
        <v>365</v>
      </c>
      <c r="J219" s="12">
        <v>56450</v>
      </c>
      <c r="K219" s="13">
        <f t="shared" si="106"/>
        <v>6950</v>
      </c>
      <c r="L219" s="7" t="s">
        <v>24</v>
      </c>
      <c r="M219" s="14">
        <f t="shared" si="115"/>
        <v>49500</v>
      </c>
      <c r="N219" s="15">
        <f>2000+300+800+1000+2850</f>
        <v>6950</v>
      </c>
      <c r="O219" s="40">
        <f t="shared" si="110"/>
        <v>56450</v>
      </c>
      <c r="P219" s="106"/>
      <c r="Q219" s="3" t="s">
        <v>456</v>
      </c>
      <c r="R219" s="37"/>
      <c r="S219" s="37">
        <f t="shared" si="111"/>
        <v>56450</v>
      </c>
      <c r="T219" s="37">
        <f t="shared" si="107"/>
        <v>80642.857142857145</v>
      </c>
      <c r="U219" s="41">
        <f t="shared" si="108"/>
        <v>92163.265306122456</v>
      </c>
      <c r="V219" s="42">
        <f t="shared" si="112"/>
        <v>0.12500000000000003</v>
      </c>
      <c r="W219" s="41">
        <f t="shared" si="113"/>
        <v>92200</v>
      </c>
      <c r="X219" s="43">
        <f t="shared" si="109"/>
        <v>0.30000000000000004</v>
      </c>
      <c r="Y219" s="46">
        <v>79100</v>
      </c>
      <c r="Z219" s="47">
        <f>T219-Y219</f>
        <v>1542.8571428571449</v>
      </c>
      <c r="AA219" s="48">
        <f>Z219/Y219</f>
        <v>1.9505147191620036E-2</v>
      </c>
    </row>
    <row r="220" spans="2:27" ht="14.4" customHeight="1">
      <c r="B220" s="4">
        <v>216</v>
      </c>
      <c r="C220" s="5" t="s">
        <v>1352</v>
      </c>
      <c r="D220" s="5" t="str">
        <f t="shared" si="103"/>
        <v xml:space="preserve"> 195</v>
      </c>
      <c r="E220" s="6" t="s">
        <v>1352</v>
      </c>
      <c r="F220" s="7">
        <f t="shared" si="104"/>
        <v>0</v>
      </c>
      <c r="G220" s="11" t="s">
        <v>299</v>
      </c>
      <c r="H220" s="11" t="s">
        <v>51</v>
      </c>
      <c r="I220" s="11" t="s">
        <v>365</v>
      </c>
      <c r="J220" s="12">
        <v>87000</v>
      </c>
      <c r="K220" s="13">
        <f t="shared" si="106"/>
        <v>6900</v>
      </c>
      <c r="L220" s="7" t="s">
        <v>24</v>
      </c>
      <c r="M220" s="14">
        <f t="shared" si="115"/>
        <v>80100</v>
      </c>
      <c r="N220" s="15">
        <v>6900</v>
      </c>
      <c r="O220" s="40">
        <f t="shared" si="110"/>
        <v>87000</v>
      </c>
      <c r="P220" s="106"/>
      <c r="Q220" s="3" t="s">
        <v>450</v>
      </c>
      <c r="R220" s="37"/>
      <c r="S220" s="37">
        <f t="shared" si="111"/>
        <v>87000</v>
      </c>
      <c r="T220" s="37">
        <f t="shared" si="107"/>
        <v>124285.71428571429</v>
      </c>
      <c r="U220" s="41">
        <f t="shared" si="108"/>
        <v>142040.81632653062</v>
      </c>
      <c r="V220" s="42">
        <f t="shared" si="112"/>
        <v>0.12500000000000003</v>
      </c>
      <c r="W220" s="41">
        <f t="shared" si="113"/>
        <v>142100</v>
      </c>
      <c r="X220" s="43">
        <f t="shared" si="109"/>
        <v>0.30000000000000004</v>
      </c>
      <c r="Y220" s="44"/>
      <c r="Z220" s="44"/>
      <c r="AA220" s="45"/>
    </row>
    <row r="221" spans="2:27" ht="14.4" customHeight="1">
      <c r="B221" s="4">
        <v>217</v>
      </c>
      <c r="C221" s="6" t="s">
        <v>1049</v>
      </c>
      <c r="D221" s="5" t="str">
        <f t="shared" si="103"/>
        <v xml:space="preserve"> 737</v>
      </c>
      <c r="E221" s="6" t="s">
        <v>1049</v>
      </c>
      <c r="F221" s="7">
        <f t="shared" si="104"/>
        <v>0</v>
      </c>
      <c r="G221" s="8" t="s">
        <v>21</v>
      </c>
      <c r="H221" s="8" t="s">
        <v>643</v>
      </c>
      <c r="I221" s="8" t="s">
        <v>647</v>
      </c>
      <c r="J221" s="101">
        <v>45000</v>
      </c>
      <c r="K221" s="101">
        <f t="shared" si="106"/>
        <v>0</v>
      </c>
      <c r="L221" s="116" t="s">
        <v>1438</v>
      </c>
      <c r="M221" s="97">
        <f>J221</f>
        <v>45000</v>
      </c>
      <c r="N221" s="98">
        <f>2000+2850+800+300</f>
        <v>5950</v>
      </c>
      <c r="O221" s="98">
        <f t="shared" si="110"/>
        <v>50950</v>
      </c>
      <c r="P221" s="106"/>
      <c r="Q221" s="99" t="s">
        <v>1417</v>
      </c>
      <c r="R221" s="37"/>
      <c r="S221" s="37">
        <f t="shared" si="111"/>
        <v>50950</v>
      </c>
      <c r="T221" s="37">
        <f t="shared" si="107"/>
        <v>72785.71428571429</v>
      </c>
      <c r="U221" s="41">
        <f t="shared" si="108"/>
        <v>83183.673469387766</v>
      </c>
      <c r="V221" s="42">
        <f t="shared" si="112"/>
        <v>0.12500000000000006</v>
      </c>
      <c r="W221" s="41">
        <f t="shared" si="113"/>
        <v>83200</v>
      </c>
      <c r="X221" s="43">
        <f t="shared" si="109"/>
        <v>0.30000000000000004</v>
      </c>
      <c r="Y221" s="46">
        <v>71400</v>
      </c>
      <c r="Z221" s="47">
        <f>T221-Y221</f>
        <v>1385.7142857142899</v>
      </c>
      <c r="AA221" s="48">
        <f>Z221/Y221</f>
        <v>1.9407763105242157E-2</v>
      </c>
    </row>
    <row r="222" spans="2:27" ht="14.4" customHeight="1">
      <c r="B222" s="4">
        <v>218</v>
      </c>
      <c r="C222" s="5" t="s">
        <v>242</v>
      </c>
      <c r="D222" s="5" t="str">
        <f t="shared" si="103"/>
        <v xml:space="preserve"> 601</v>
      </c>
      <c r="E222" s="6" t="s">
        <v>242</v>
      </c>
      <c r="F222" s="7">
        <f t="shared" si="104"/>
        <v>0</v>
      </c>
      <c r="G222" s="11" t="s">
        <v>299</v>
      </c>
      <c r="H222" s="11" t="s">
        <v>51</v>
      </c>
      <c r="I222" s="11" t="s">
        <v>360</v>
      </c>
      <c r="J222" s="12">
        <v>87000</v>
      </c>
      <c r="K222" s="13">
        <f t="shared" si="106"/>
        <v>6700</v>
      </c>
      <c r="L222" s="7" t="s">
        <v>24</v>
      </c>
      <c r="M222" s="14">
        <f t="shared" si="115"/>
        <v>80300</v>
      </c>
      <c r="N222" s="15">
        <f>2000+300+600+800+3000</f>
        <v>6700</v>
      </c>
      <c r="O222" s="40">
        <f t="shared" si="110"/>
        <v>87000</v>
      </c>
      <c r="P222" s="106"/>
      <c r="Q222" s="3" t="s">
        <v>435</v>
      </c>
      <c r="R222" s="37"/>
      <c r="S222" s="37">
        <f t="shared" si="111"/>
        <v>87000</v>
      </c>
      <c r="T222" s="37">
        <f t="shared" si="107"/>
        <v>124285.71428571429</v>
      </c>
      <c r="U222" s="41">
        <f t="shared" si="108"/>
        <v>142040.81632653062</v>
      </c>
      <c r="V222" s="42">
        <f t="shared" si="112"/>
        <v>0.12500000000000003</v>
      </c>
      <c r="W222" s="41">
        <f t="shared" si="113"/>
        <v>142100</v>
      </c>
      <c r="X222" s="43">
        <f t="shared" si="109"/>
        <v>0.30000000000000004</v>
      </c>
      <c r="Y222" s="44"/>
      <c r="Z222" s="44"/>
      <c r="AA222" s="45"/>
    </row>
    <row r="223" spans="2:27" ht="14.4" customHeight="1">
      <c r="B223" s="4">
        <v>219</v>
      </c>
      <c r="C223" s="39" t="s">
        <v>608</v>
      </c>
      <c r="D223" s="5" t="str">
        <f t="shared" si="103"/>
        <v xml:space="preserve"> 177</v>
      </c>
      <c r="E223" s="6" t="s">
        <v>608</v>
      </c>
      <c r="F223" s="7">
        <f t="shared" si="104"/>
        <v>0</v>
      </c>
      <c r="G223" s="8" t="s">
        <v>21</v>
      </c>
      <c r="H223" s="8" t="s">
        <v>309</v>
      </c>
      <c r="I223" s="8" t="s">
        <v>609</v>
      </c>
      <c r="J223" s="101">
        <v>61000</v>
      </c>
      <c r="K223" s="101">
        <f t="shared" si="106"/>
        <v>0</v>
      </c>
      <c r="L223" s="116" t="s">
        <v>1438</v>
      </c>
      <c r="M223" s="97">
        <f>J223</f>
        <v>61000</v>
      </c>
      <c r="N223" s="98">
        <f>2000+3450+800+300+650</f>
        <v>7200</v>
      </c>
      <c r="O223" s="112">
        <f t="shared" si="110"/>
        <v>68200</v>
      </c>
      <c r="P223" s="106" t="s">
        <v>1441</v>
      </c>
      <c r="Q223" s="99" t="s">
        <v>1413</v>
      </c>
      <c r="R223" s="37"/>
      <c r="S223" s="37">
        <f t="shared" si="111"/>
        <v>68200</v>
      </c>
      <c r="T223" s="37">
        <f t="shared" si="107"/>
        <v>97428.571428571435</v>
      </c>
      <c r="U223" s="41">
        <f t="shared" si="108"/>
        <v>111346.93877551021</v>
      </c>
      <c r="V223" s="42">
        <f t="shared" si="112"/>
        <v>0.12499999999999997</v>
      </c>
      <c r="W223" s="41">
        <f t="shared" si="113"/>
        <v>111400</v>
      </c>
      <c r="X223" s="43">
        <f t="shared" si="109"/>
        <v>0.30000000000000004</v>
      </c>
      <c r="Y223" s="46">
        <v>104650</v>
      </c>
      <c r="Z223" s="47">
        <f>T223-Y223</f>
        <v>-7221.4285714285652</v>
      </c>
      <c r="AA223" s="48">
        <f>Z223/Y223</f>
        <v>-6.9005528632857763E-2</v>
      </c>
    </row>
    <row r="224" spans="2:27" ht="14.4" customHeight="1">
      <c r="B224" s="4">
        <v>220</v>
      </c>
      <c r="C224" s="5" t="s">
        <v>168</v>
      </c>
      <c r="D224" s="5" t="str">
        <f t="shared" si="103"/>
        <v xml:space="preserve"> 230</v>
      </c>
      <c r="E224" s="6" t="s">
        <v>168</v>
      </c>
      <c r="F224" s="7">
        <f t="shared" si="104"/>
        <v>0</v>
      </c>
      <c r="G224" s="11" t="s">
        <v>299</v>
      </c>
      <c r="H224" s="11" t="s">
        <v>51</v>
      </c>
      <c r="I224" s="11" t="s">
        <v>340</v>
      </c>
      <c r="J224" s="12">
        <v>77000</v>
      </c>
      <c r="K224" s="13">
        <f t="shared" si="106"/>
        <v>6500</v>
      </c>
      <c r="L224" s="7" t="s">
        <v>24</v>
      </c>
      <c r="M224" s="14">
        <f t="shared" si="115"/>
        <v>70500</v>
      </c>
      <c r="N224" s="14">
        <f>2000+300+600+3600</f>
        <v>6500</v>
      </c>
      <c r="O224" s="40">
        <f t="shared" si="110"/>
        <v>77000</v>
      </c>
      <c r="P224" s="106"/>
      <c r="Q224" s="3" t="s">
        <v>396</v>
      </c>
      <c r="R224" s="37"/>
      <c r="S224" s="37">
        <f t="shared" si="111"/>
        <v>77000</v>
      </c>
      <c r="T224" s="37">
        <f t="shared" si="107"/>
        <v>110000</v>
      </c>
      <c r="U224" s="41">
        <f t="shared" si="108"/>
        <v>125714.28571428571</v>
      </c>
      <c r="V224" s="42">
        <f t="shared" si="112"/>
        <v>0.12499999999999997</v>
      </c>
      <c r="W224" s="41">
        <f t="shared" si="113"/>
        <v>125800</v>
      </c>
      <c r="X224" s="43">
        <f t="shared" si="109"/>
        <v>0.3</v>
      </c>
      <c r="Y224" s="44"/>
      <c r="Z224" s="44"/>
      <c r="AA224" s="45"/>
    </row>
    <row r="225" spans="2:27" ht="14.4" customHeight="1">
      <c r="B225" s="4">
        <v>221</v>
      </c>
      <c r="C225" s="5" t="s">
        <v>256</v>
      </c>
      <c r="D225" s="5" t="str">
        <f t="shared" si="103"/>
        <v xml:space="preserve"> 424</v>
      </c>
      <c r="E225" s="6" t="s">
        <v>256</v>
      </c>
      <c r="F225" s="7">
        <f t="shared" si="104"/>
        <v>0</v>
      </c>
      <c r="G225" s="11" t="s">
        <v>299</v>
      </c>
      <c r="H225" s="11" t="s">
        <v>309</v>
      </c>
      <c r="I225" s="11" t="s">
        <v>362</v>
      </c>
      <c r="J225" s="12">
        <f>M225</f>
        <v>67500</v>
      </c>
      <c r="K225" s="13">
        <f t="shared" si="106"/>
        <v>0</v>
      </c>
      <c r="L225" s="17" t="s">
        <v>23</v>
      </c>
      <c r="M225" s="18">
        <v>67500</v>
      </c>
      <c r="N225" s="15">
        <f>2000+300+600+1000+3000</f>
        <v>6900</v>
      </c>
      <c r="O225" s="40">
        <f t="shared" si="110"/>
        <v>74400</v>
      </c>
      <c r="P225" s="107"/>
      <c r="Q225" s="3" t="s">
        <v>447</v>
      </c>
      <c r="R225" s="37"/>
      <c r="S225" s="37">
        <f t="shared" si="111"/>
        <v>74400</v>
      </c>
      <c r="T225" s="37">
        <f t="shared" si="107"/>
        <v>106285.71428571429</v>
      </c>
      <c r="U225" s="41">
        <f t="shared" si="108"/>
        <v>121469.38775510204</v>
      </c>
      <c r="V225" s="42">
        <f t="shared" si="112"/>
        <v>0.12499999999999997</v>
      </c>
      <c r="W225" s="41">
        <f t="shared" si="113"/>
        <v>121500</v>
      </c>
      <c r="X225" s="43">
        <f t="shared" si="109"/>
        <v>0.30000000000000004</v>
      </c>
      <c r="Y225" s="44"/>
      <c r="Z225" s="44"/>
      <c r="AA225" s="44"/>
    </row>
    <row r="226" spans="2:27" ht="14.4" customHeight="1">
      <c r="B226" s="4">
        <v>222</v>
      </c>
      <c r="C226" s="5" t="s">
        <v>238</v>
      </c>
      <c r="D226" s="5" t="str">
        <f t="shared" si="103"/>
        <v xml:space="preserve"> 648</v>
      </c>
      <c r="E226" s="6" t="s">
        <v>238</v>
      </c>
      <c r="F226" s="7">
        <f t="shared" si="104"/>
        <v>0</v>
      </c>
      <c r="G226" s="11" t="s">
        <v>299</v>
      </c>
      <c r="H226" s="11" t="s">
        <v>51</v>
      </c>
      <c r="I226" s="11" t="s">
        <v>360</v>
      </c>
      <c r="J226" s="12">
        <v>75000</v>
      </c>
      <c r="K226" s="13">
        <f t="shared" si="106"/>
        <v>7500</v>
      </c>
      <c r="L226" s="7" t="s">
        <v>24</v>
      </c>
      <c r="M226" s="14">
        <f t="shared" ref="M226:M228" si="116">J226-N226</f>
        <v>67500</v>
      </c>
      <c r="N226" s="15">
        <f>2000+300+600+1000+3600</f>
        <v>7500</v>
      </c>
      <c r="O226" s="40">
        <f t="shared" si="110"/>
        <v>75000</v>
      </c>
      <c r="P226" s="106"/>
      <c r="Q226" s="3" t="s">
        <v>414</v>
      </c>
      <c r="R226" s="37"/>
      <c r="S226" s="37">
        <f t="shared" si="111"/>
        <v>75000</v>
      </c>
      <c r="T226" s="37">
        <f t="shared" si="107"/>
        <v>107142.85714285714</v>
      </c>
      <c r="U226" s="41">
        <f t="shared" si="108"/>
        <v>122448.97959183673</v>
      </c>
      <c r="V226" s="42">
        <f t="shared" si="112"/>
        <v>0.12499999999999996</v>
      </c>
      <c r="W226" s="41">
        <f t="shared" si="113"/>
        <v>122500</v>
      </c>
      <c r="X226" s="43">
        <f t="shared" si="109"/>
        <v>0.3</v>
      </c>
      <c r="Y226" s="44"/>
      <c r="Z226" s="44"/>
      <c r="AA226" s="44"/>
    </row>
    <row r="227" spans="2:27" ht="14.4" customHeight="1">
      <c r="B227" s="4">
        <v>223</v>
      </c>
      <c r="C227" s="39" t="s">
        <v>610</v>
      </c>
      <c r="D227" s="5" t="str">
        <f t="shared" si="103"/>
        <v xml:space="preserve"> 898</v>
      </c>
      <c r="E227" s="6" t="s">
        <v>610</v>
      </c>
      <c r="F227" s="7">
        <f t="shared" si="104"/>
        <v>0</v>
      </c>
      <c r="G227" s="8" t="s">
        <v>299</v>
      </c>
      <c r="H227" s="8" t="s">
        <v>309</v>
      </c>
      <c r="I227" s="8" t="s">
        <v>600</v>
      </c>
      <c r="J227" s="12"/>
      <c r="K227" s="13">
        <f t="shared" si="106"/>
        <v>0</v>
      </c>
      <c r="L227" s="7"/>
      <c r="M227" s="14">
        <f t="shared" si="116"/>
        <v>0</v>
      </c>
      <c r="N227" s="15"/>
      <c r="O227" s="40">
        <f t="shared" si="110"/>
        <v>0</v>
      </c>
      <c r="P227" s="106"/>
      <c r="Q227" s="3"/>
      <c r="R227" s="37"/>
      <c r="S227" s="37">
        <f t="shared" si="111"/>
        <v>0</v>
      </c>
      <c r="T227" s="37">
        <f t="shared" si="107"/>
        <v>0</v>
      </c>
      <c r="U227" s="41">
        <f t="shared" si="108"/>
        <v>0</v>
      </c>
      <c r="V227" s="42" t="e">
        <f t="shared" si="112"/>
        <v>#DIV/0!</v>
      </c>
      <c r="W227" s="41">
        <f t="shared" si="113"/>
        <v>0</v>
      </c>
      <c r="X227" s="43" t="e">
        <f t="shared" si="109"/>
        <v>#DIV/0!</v>
      </c>
      <c r="Y227" s="44"/>
      <c r="Z227" s="44"/>
      <c r="AA227" s="44"/>
    </row>
    <row r="228" spans="2:27" ht="14.4" customHeight="1">
      <c r="B228" s="4">
        <v>224</v>
      </c>
      <c r="C228" s="39" t="s">
        <v>611</v>
      </c>
      <c r="D228" s="5" t="str">
        <f t="shared" si="103"/>
        <v xml:space="preserve"> 798</v>
      </c>
      <c r="E228" s="6" t="s">
        <v>611</v>
      </c>
      <c r="F228" s="7">
        <f t="shared" si="104"/>
        <v>0</v>
      </c>
      <c r="G228" s="8" t="s">
        <v>299</v>
      </c>
      <c r="H228" s="8" t="s">
        <v>51</v>
      </c>
      <c r="I228" s="8" t="s">
        <v>612</v>
      </c>
      <c r="J228" s="12"/>
      <c r="K228" s="13">
        <f t="shared" si="106"/>
        <v>0</v>
      </c>
      <c r="L228" s="7"/>
      <c r="M228" s="14">
        <f t="shared" si="116"/>
        <v>0</v>
      </c>
      <c r="N228" s="15"/>
      <c r="O228" s="40">
        <f t="shared" si="110"/>
        <v>0</v>
      </c>
      <c r="P228" s="106"/>
      <c r="Q228" s="3"/>
      <c r="R228" s="37"/>
      <c r="S228" s="37">
        <f t="shared" si="111"/>
        <v>0</v>
      </c>
      <c r="T228" s="37">
        <f t="shared" si="107"/>
        <v>0</v>
      </c>
      <c r="U228" s="41">
        <f t="shared" si="108"/>
        <v>0</v>
      </c>
      <c r="V228" s="42" t="e">
        <f t="shared" si="112"/>
        <v>#DIV/0!</v>
      </c>
      <c r="W228" s="41">
        <f t="shared" si="113"/>
        <v>0</v>
      </c>
      <c r="X228" s="43" t="e">
        <f t="shared" si="109"/>
        <v>#DIV/0!</v>
      </c>
      <c r="Y228" s="44"/>
      <c r="Z228" s="44"/>
      <c r="AA228" s="44"/>
    </row>
    <row r="229" spans="2:27" ht="14.4" customHeight="1">
      <c r="B229" s="4">
        <v>225</v>
      </c>
      <c r="C229" s="5" t="s">
        <v>166</v>
      </c>
      <c r="D229" s="5" t="str">
        <f t="shared" si="103"/>
        <v xml:space="preserve"> 685</v>
      </c>
      <c r="E229" s="6" t="s">
        <v>166</v>
      </c>
      <c r="F229" s="7">
        <f t="shared" si="104"/>
        <v>0</v>
      </c>
      <c r="G229" s="11" t="s">
        <v>299</v>
      </c>
      <c r="H229" s="11" t="s">
        <v>51</v>
      </c>
      <c r="I229" s="11" t="s">
        <v>340</v>
      </c>
      <c r="J229" s="12">
        <v>77000</v>
      </c>
      <c r="K229" s="13">
        <f t="shared" si="106"/>
        <v>5900</v>
      </c>
      <c r="L229" s="7" t="s">
        <v>24</v>
      </c>
      <c r="M229" s="14">
        <f>J229-N229</f>
        <v>71100</v>
      </c>
      <c r="N229" s="14">
        <f>2000+300+600+3000</f>
        <v>5900</v>
      </c>
      <c r="O229" s="40">
        <f t="shared" si="110"/>
        <v>77000</v>
      </c>
      <c r="P229" s="107"/>
      <c r="Q229" s="3" t="s">
        <v>383</v>
      </c>
      <c r="R229" s="37"/>
      <c r="S229" s="37">
        <f t="shared" si="111"/>
        <v>77000</v>
      </c>
      <c r="T229" s="37">
        <f t="shared" si="107"/>
        <v>110000</v>
      </c>
      <c r="U229" s="41">
        <f t="shared" si="108"/>
        <v>125714.28571428571</v>
      </c>
      <c r="V229" s="42">
        <f t="shared" si="112"/>
        <v>0.12499999999999997</v>
      </c>
      <c r="W229" s="41">
        <f t="shared" si="113"/>
        <v>125800</v>
      </c>
      <c r="X229" s="43">
        <f t="shared" si="109"/>
        <v>0.3</v>
      </c>
      <c r="Y229" s="44"/>
      <c r="Z229" s="44"/>
      <c r="AA229" s="45"/>
    </row>
    <row r="230" spans="2:27" ht="14.4" customHeight="1">
      <c r="B230" s="4">
        <v>226</v>
      </c>
      <c r="C230" s="5" t="s">
        <v>268</v>
      </c>
      <c r="D230" s="5" t="str">
        <f t="shared" si="103"/>
        <v xml:space="preserve"> 620</v>
      </c>
      <c r="E230" s="6" t="s">
        <v>268</v>
      </c>
      <c r="F230" s="7">
        <f t="shared" si="104"/>
        <v>0</v>
      </c>
      <c r="G230" s="11" t="s">
        <v>299</v>
      </c>
      <c r="H230" s="11" t="s">
        <v>51</v>
      </c>
      <c r="I230" s="11" t="s">
        <v>365</v>
      </c>
      <c r="J230" s="12">
        <v>81000</v>
      </c>
      <c r="K230" s="13">
        <f t="shared" si="106"/>
        <v>7500</v>
      </c>
      <c r="L230" s="7" t="s">
        <v>24</v>
      </c>
      <c r="M230" s="14">
        <f>J230-N230</f>
        <v>73500</v>
      </c>
      <c r="N230" s="15">
        <f>2000+300+600+1000+3600</f>
        <v>7500</v>
      </c>
      <c r="O230" s="40">
        <f t="shared" si="110"/>
        <v>81000</v>
      </c>
      <c r="P230" s="107"/>
      <c r="Q230" s="3" t="s">
        <v>446</v>
      </c>
      <c r="R230" s="37"/>
      <c r="S230" s="37">
        <f t="shared" si="111"/>
        <v>81000</v>
      </c>
      <c r="T230" s="37">
        <f t="shared" si="107"/>
        <v>115714.28571428572</v>
      </c>
      <c r="U230" s="41">
        <f t="shared" si="108"/>
        <v>132244.8979591837</v>
      </c>
      <c r="V230" s="42">
        <f t="shared" si="112"/>
        <v>0.12500000000000008</v>
      </c>
      <c r="W230" s="41">
        <f t="shared" si="113"/>
        <v>132300</v>
      </c>
      <c r="X230" s="43">
        <f t="shared" si="109"/>
        <v>0.30000000000000004</v>
      </c>
      <c r="Y230" s="44"/>
      <c r="Z230" s="44"/>
      <c r="AA230" s="45"/>
    </row>
    <row r="231" spans="2:27" ht="14.4" customHeight="1">
      <c r="B231" s="4">
        <v>227</v>
      </c>
      <c r="C231" s="5" t="s">
        <v>104</v>
      </c>
      <c r="D231" s="5" t="str">
        <f t="shared" si="103"/>
        <v xml:space="preserve"> 979</v>
      </c>
      <c r="E231" s="6" t="s">
        <v>104</v>
      </c>
      <c r="F231" s="7">
        <f t="shared" si="104"/>
        <v>0</v>
      </c>
      <c r="G231" s="11" t="s">
        <v>21</v>
      </c>
      <c r="H231" s="11" t="s">
        <v>51</v>
      </c>
      <c r="I231" s="11" t="s">
        <v>360</v>
      </c>
      <c r="J231" s="12">
        <v>79500</v>
      </c>
      <c r="K231" s="13">
        <f t="shared" si="106"/>
        <v>7500</v>
      </c>
      <c r="L231" s="7" t="s">
        <v>24</v>
      </c>
      <c r="M231" s="14">
        <f>J231-N231</f>
        <v>72000</v>
      </c>
      <c r="N231" s="15">
        <f>2000+300+600+1000+3600</f>
        <v>7500</v>
      </c>
      <c r="O231" s="40">
        <f t="shared" si="110"/>
        <v>79500</v>
      </c>
      <c r="P231" s="106"/>
      <c r="Q231" s="3" t="s">
        <v>414</v>
      </c>
      <c r="R231" s="37"/>
      <c r="S231" s="37">
        <f t="shared" si="111"/>
        <v>79500</v>
      </c>
      <c r="T231" s="37">
        <f t="shared" si="107"/>
        <v>113571.42857142858</v>
      </c>
      <c r="U231" s="41">
        <f t="shared" si="108"/>
        <v>129795.91836734695</v>
      </c>
      <c r="V231" s="42">
        <f t="shared" si="112"/>
        <v>0.12500000000000003</v>
      </c>
      <c r="W231" s="41">
        <f t="shared" si="113"/>
        <v>129800</v>
      </c>
      <c r="X231" s="43">
        <f t="shared" si="109"/>
        <v>0.30000000000000004</v>
      </c>
      <c r="Y231" s="46">
        <v>115063</v>
      </c>
      <c r="Z231" s="47">
        <f>T231-Y231</f>
        <v>-1491.5714285714203</v>
      </c>
      <c r="AA231" s="48">
        <f>Z231/Y231</f>
        <v>-1.2963084819372172E-2</v>
      </c>
    </row>
    <row r="232" spans="2:27" ht="14.4" customHeight="1">
      <c r="B232" s="4">
        <v>228</v>
      </c>
      <c r="C232" s="5" t="s">
        <v>59</v>
      </c>
      <c r="D232" s="5" t="str">
        <f t="shared" si="103"/>
        <v xml:space="preserve"> 840</v>
      </c>
      <c r="E232" s="6" t="s">
        <v>59</v>
      </c>
      <c r="F232" s="7">
        <f t="shared" si="104"/>
        <v>0</v>
      </c>
      <c r="G232" s="11" t="s">
        <v>21</v>
      </c>
      <c r="H232" s="11" t="s">
        <v>309</v>
      </c>
      <c r="I232" s="11" t="s">
        <v>365</v>
      </c>
      <c r="J232" s="12">
        <v>90050</v>
      </c>
      <c r="K232" s="13">
        <f t="shared" si="106"/>
        <v>7550</v>
      </c>
      <c r="L232" s="7" t="s">
        <v>24</v>
      </c>
      <c r="M232" s="14">
        <f>J232-N232</f>
        <v>82500</v>
      </c>
      <c r="N232" s="15">
        <f>2000+300+800+1000+3450</f>
        <v>7550</v>
      </c>
      <c r="O232" s="40">
        <f t="shared" si="110"/>
        <v>90050</v>
      </c>
      <c r="P232" s="107"/>
      <c r="Q232" s="3" t="s">
        <v>454</v>
      </c>
      <c r="R232" s="37"/>
      <c r="S232" s="37">
        <f t="shared" si="111"/>
        <v>90050</v>
      </c>
      <c r="T232" s="37">
        <f t="shared" si="107"/>
        <v>128642.85714285714</v>
      </c>
      <c r="U232" s="41">
        <f t="shared" si="108"/>
        <v>147020.4081632653</v>
      </c>
      <c r="V232" s="42">
        <f t="shared" si="112"/>
        <v>0.12499999999999993</v>
      </c>
      <c r="W232" s="41">
        <f t="shared" si="113"/>
        <v>147100</v>
      </c>
      <c r="X232" s="43">
        <f t="shared" si="109"/>
        <v>0.3</v>
      </c>
      <c r="Y232" s="46">
        <v>135800</v>
      </c>
      <c r="Z232" s="47">
        <f>T232-Y232</f>
        <v>-7157.1428571428551</v>
      </c>
      <c r="AA232" s="48">
        <f>Z232/Y232</f>
        <v>-5.2703555649063732E-2</v>
      </c>
    </row>
    <row r="233" spans="2:27" ht="14.4" customHeight="1">
      <c r="B233" s="4">
        <v>229</v>
      </c>
      <c r="C233" s="5" t="s">
        <v>105</v>
      </c>
      <c r="D233" s="5" t="str">
        <f t="shared" si="103"/>
        <v xml:space="preserve"> 184</v>
      </c>
      <c r="E233" s="6" t="s">
        <v>105</v>
      </c>
      <c r="F233" s="7">
        <f t="shared" si="104"/>
        <v>0</v>
      </c>
      <c r="G233" s="11" t="s">
        <v>21</v>
      </c>
      <c r="H233" s="11" t="s">
        <v>309</v>
      </c>
      <c r="I233" s="11" t="s">
        <v>333</v>
      </c>
      <c r="J233" s="12">
        <f>M233</f>
        <v>68000</v>
      </c>
      <c r="K233" s="13">
        <f t="shared" si="106"/>
        <v>0</v>
      </c>
      <c r="L233" s="17" t="s">
        <v>23</v>
      </c>
      <c r="M233" s="20">
        <v>68000</v>
      </c>
      <c r="N233" s="14">
        <f>2000+300+600+1000+3600</f>
        <v>7500</v>
      </c>
      <c r="O233" s="40">
        <f t="shared" si="110"/>
        <v>75500</v>
      </c>
      <c r="P233" s="105"/>
      <c r="Q233" s="3" t="s">
        <v>384</v>
      </c>
      <c r="R233" s="37"/>
      <c r="S233" s="37">
        <f t="shared" si="111"/>
        <v>75500</v>
      </c>
      <c r="T233" s="37">
        <f t="shared" si="107"/>
        <v>107857.14285714287</v>
      </c>
      <c r="U233" s="41">
        <f t="shared" si="108"/>
        <v>123265.30612244899</v>
      </c>
      <c r="V233" s="42">
        <f t="shared" si="112"/>
        <v>0.125</v>
      </c>
      <c r="W233" s="41">
        <f t="shared" si="113"/>
        <v>123300</v>
      </c>
      <c r="X233" s="43">
        <f t="shared" si="109"/>
        <v>0.3000000000000001</v>
      </c>
      <c r="Y233" s="46">
        <v>104388</v>
      </c>
      <c r="Z233" s="47">
        <f>T233-Y233</f>
        <v>3469.1428571428696</v>
      </c>
      <c r="AA233" s="48">
        <f>Z233/Y233</f>
        <v>3.3233157615270618E-2</v>
      </c>
    </row>
    <row r="234" spans="2:27" ht="14.4" customHeight="1">
      <c r="B234" s="4">
        <v>230</v>
      </c>
      <c r="C234" s="5" t="s">
        <v>267</v>
      </c>
      <c r="D234" s="5" t="str">
        <f t="shared" si="103"/>
        <v xml:space="preserve"> 203</v>
      </c>
      <c r="E234" s="6" t="s">
        <v>267</v>
      </c>
      <c r="F234" s="7">
        <f t="shared" si="104"/>
        <v>0</v>
      </c>
      <c r="G234" s="11" t="s">
        <v>299</v>
      </c>
      <c r="H234" s="11" t="s">
        <v>51</v>
      </c>
      <c r="I234" s="11" t="s">
        <v>365</v>
      </c>
      <c r="J234" s="12">
        <v>79000</v>
      </c>
      <c r="K234" s="13">
        <f t="shared" si="106"/>
        <v>7150</v>
      </c>
      <c r="L234" s="7" t="s">
        <v>24</v>
      </c>
      <c r="M234" s="14">
        <f t="shared" ref="M234:M297" si="117">J234-N234</f>
        <v>71850</v>
      </c>
      <c r="N234" s="15">
        <f>2000+300+600+650+3600</f>
        <v>7150</v>
      </c>
      <c r="O234" s="40">
        <f t="shared" si="110"/>
        <v>79000</v>
      </c>
      <c r="P234" s="106"/>
      <c r="Q234" s="3" t="s">
        <v>453</v>
      </c>
      <c r="R234" s="37"/>
      <c r="S234" s="37">
        <f t="shared" si="111"/>
        <v>79000</v>
      </c>
      <c r="T234" s="37">
        <f t="shared" si="107"/>
        <v>112857.14285714287</v>
      </c>
      <c r="U234" s="41">
        <f t="shared" si="108"/>
        <v>128979.5918367347</v>
      </c>
      <c r="V234" s="42">
        <f t="shared" si="112"/>
        <v>0.12499999999999997</v>
      </c>
      <c r="W234" s="41">
        <f t="shared" si="113"/>
        <v>129000</v>
      </c>
      <c r="X234" s="43">
        <f t="shared" si="109"/>
        <v>0.3000000000000001</v>
      </c>
      <c r="Y234" s="44"/>
      <c r="Z234" s="44"/>
      <c r="AA234" s="44"/>
    </row>
    <row r="235" spans="2:27" ht="14.4" customHeight="1">
      <c r="B235" s="4">
        <v>231</v>
      </c>
      <c r="C235" s="5" t="s">
        <v>269</v>
      </c>
      <c r="D235" s="5" t="str">
        <f t="shared" si="103"/>
        <v xml:space="preserve"> 740</v>
      </c>
      <c r="E235" s="6" t="s">
        <v>269</v>
      </c>
      <c r="F235" s="7">
        <f t="shared" si="104"/>
        <v>0</v>
      </c>
      <c r="G235" s="11" t="s">
        <v>299</v>
      </c>
      <c r="H235" s="11" t="s">
        <v>51</v>
      </c>
      <c r="I235" s="11" t="s">
        <v>365</v>
      </c>
      <c r="J235" s="12">
        <v>85000</v>
      </c>
      <c r="K235" s="13">
        <f t="shared" si="106"/>
        <v>7500</v>
      </c>
      <c r="L235" s="7" t="s">
        <v>24</v>
      </c>
      <c r="M235" s="14">
        <f t="shared" si="117"/>
        <v>77500</v>
      </c>
      <c r="N235" s="15">
        <f>2000+300+600+1000+3600</f>
        <v>7500</v>
      </c>
      <c r="O235" s="40">
        <f t="shared" si="110"/>
        <v>85000</v>
      </c>
      <c r="P235" s="106"/>
      <c r="Q235" s="3" t="s">
        <v>446</v>
      </c>
      <c r="R235" s="37"/>
      <c r="S235" s="37">
        <f t="shared" si="111"/>
        <v>85000</v>
      </c>
      <c r="T235" s="37">
        <f t="shared" si="107"/>
        <v>121428.57142857143</v>
      </c>
      <c r="U235" s="41">
        <f t="shared" si="108"/>
        <v>138775.51020408163</v>
      </c>
      <c r="V235" s="42">
        <f t="shared" si="112"/>
        <v>0.12499999999999992</v>
      </c>
      <c r="W235" s="41">
        <f t="shared" si="113"/>
        <v>138800</v>
      </c>
      <c r="X235" s="43">
        <f t="shared" si="109"/>
        <v>0.30000000000000004</v>
      </c>
      <c r="Y235" s="44"/>
      <c r="Z235" s="44"/>
      <c r="AA235" s="45"/>
    </row>
    <row r="236" spans="2:27" ht="14.4" customHeight="1">
      <c r="B236" s="4">
        <v>232</v>
      </c>
      <c r="C236" s="39" t="s">
        <v>613</v>
      </c>
      <c r="D236" s="5" t="str">
        <f t="shared" si="103"/>
        <v xml:space="preserve"> 558</v>
      </c>
      <c r="E236" s="6" t="s">
        <v>613</v>
      </c>
      <c r="F236" s="7">
        <f t="shared" si="104"/>
        <v>0</v>
      </c>
      <c r="G236" s="8" t="s">
        <v>21</v>
      </c>
      <c r="H236" s="8" t="s">
        <v>309</v>
      </c>
      <c r="I236" s="8" t="s">
        <v>614</v>
      </c>
      <c r="J236" s="101">
        <v>65000</v>
      </c>
      <c r="K236" s="101">
        <f t="shared" si="106"/>
        <v>0</v>
      </c>
      <c r="L236" s="116" t="s">
        <v>1438</v>
      </c>
      <c r="M236" s="97">
        <f t="shared" ref="M236" si="118">J236</f>
        <v>65000</v>
      </c>
      <c r="N236" s="98">
        <f>2000+3450+800+200+250+700</f>
        <v>7400</v>
      </c>
      <c r="O236" s="112">
        <f>M236+N236</f>
        <v>72400</v>
      </c>
      <c r="P236" s="106"/>
      <c r="Q236" s="99" t="s">
        <v>1427</v>
      </c>
      <c r="R236" s="37"/>
      <c r="S236" s="37">
        <f t="shared" si="111"/>
        <v>72400</v>
      </c>
      <c r="T236" s="37">
        <f t="shared" si="107"/>
        <v>103428.57142857143</v>
      </c>
      <c r="U236" s="41">
        <f t="shared" si="108"/>
        <v>118204.08163265306</v>
      </c>
      <c r="V236" s="42">
        <f t="shared" si="112"/>
        <v>0.12499999999999996</v>
      </c>
      <c r="W236" s="41">
        <f t="shared" si="113"/>
        <v>118300</v>
      </c>
      <c r="X236" s="43">
        <f t="shared" si="109"/>
        <v>0.30000000000000004</v>
      </c>
      <c r="Y236" s="46">
        <v>110600</v>
      </c>
      <c r="Z236" s="47">
        <f>T236-Y236</f>
        <v>-7171.4285714285652</v>
      </c>
      <c r="AA236" s="48">
        <f>Z236/Y236</f>
        <v>-6.4841126323947243E-2</v>
      </c>
    </row>
    <row r="237" spans="2:27" ht="14.4" customHeight="1">
      <c r="B237" s="4">
        <v>233</v>
      </c>
      <c r="C237" s="39" t="s">
        <v>615</v>
      </c>
      <c r="D237" s="5" t="str">
        <f t="shared" si="103"/>
        <v xml:space="preserve"> 419</v>
      </c>
      <c r="E237" s="6" t="s">
        <v>615</v>
      </c>
      <c r="F237" s="7">
        <f t="shared" si="104"/>
        <v>0</v>
      </c>
      <c r="G237" s="8" t="s">
        <v>299</v>
      </c>
      <c r="H237" s="8" t="s">
        <v>51</v>
      </c>
      <c r="I237" s="8" t="s">
        <v>606</v>
      </c>
      <c r="J237" s="12"/>
      <c r="K237" s="13">
        <f t="shared" si="106"/>
        <v>0</v>
      </c>
      <c r="L237" s="7"/>
      <c r="M237" s="14">
        <f t="shared" si="117"/>
        <v>0</v>
      </c>
      <c r="N237" s="15"/>
      <c r="O237" s="40">
        <f t="shared" si="110"/>
        <v>0</v>
      </c>
      <c r="P237" s="106"/>
      <c r="Q237" s="3"/>
      <c r="R237" s="37"/>
      <c r="S237" s="37">
        <f t="shared" si="111"/>
        <v>0</v>
      </c>
      <c r="T237" s="37">
        <f t="shared" si="107"/>
        <v>0</v>
      </c>
      <c r="U237" s="41">
        <f t="shared" si="108"/>
        <v>0</v>
      </c>
      <c r="V237" s="42" t="e">
        <f t="shared" si="112"/>
        <v>#DIV/0!</v>
      </c>
      <c r="W237" s="41">
        <f t="shared" si="113"/>
        <v>0</v>
      </c>
      <c r="X237" s="43" t="e">
        <f t="shared" si="109"/>
        <v>#DIV/0!</v>
      </c>
      <c r="Y237" s="44"/>
      <c r="Z237" s="44"/>
      <c r="AA237" s="45"/>
    </row>
    <row r="238" spans="2:27" ht="14.4" customHeight="1">
      <c r="B238" s="4">
        <v>234</v>
      </c>
      <c r="C238" s="5" t="s">
        <v>239</v>
      </c>
      <c r="D238" s="5" t="str">
        <f t="shared" si="103"/>
        <v xml:space="preserve"> 163</v>
      </c>
      <c r="E238" s="6" t="s">
        <v>239</v>
      </c>
      <c r="F238" s="7">
        <f t="shared" si="104"/>
        <v>0</v>
      </c>
      <c r="G238" s="11" t="s">
        <v>299</v>
      </c>
      <c r="H238" s="11" t="s">
        <v>51</v>
      </c>
      <c r="I238" s="11" t="s">
        <v>360</v>
      </c>
      <c r="J238" s="12">
        <v>74000</v>
      </c>
      <c r="K238" s="13">
        <f t="shared" si="106"/>
        <v>7500</v>
      </c>
      <c r="L238" s="7" t="s">
        <v>24</v>
      </c>
      <c r="M238" s="14">
        <f t="shared" si="117"/>
        <v>66500</v>
      </c>
      <c r="N238" s="15">
        <f>2000+300+600+1000+3600</f>
        <v>7500</v>
      </c>
      <c r="O238" s="40">
        <f t="shared" si="110"/>
        <v>74000</v>
      </c>
      <c r="P238" s="106"/>
      <c r="Q238" s="3" t="s">
        <v>414</v>
      </c>
      <c r="R238" s="37"/>
      <c r="S238" s="37">
        <f t="shared" si="111"/>
        <v>74000</v>
      </c>
      <c r="T238" s="37">
        <f t="shared" si="107"/>
        <v>105714.28571428572</v>
      </c>
      <c r="U238" s="41">
        <f t="shared" si="108"/>
        <v>120816.32653061226</v>
      </c>
      <c r="V238" s="42">
        <f t="shared" si="112"/>
        <v>0.12500000000000006</v>
      </c>
      <c r="W238" s="41">
        <f t="shared" si="113"/>
        <v>120900</v>
      </c>
      <c r="X238" s="43">
        <f t="shared" si="109"/>
        <v>0.30000000000000004</v>
      </c>
      <c r="Y238" s="44"/>
      <c r="Z238" s="44"/>
      <c r="AA238" s="44"/>
    </row>
    <row r="239" spans="2:27" ht="14.4" customHeight="1">
      <c r="B239" s="4">
        <v>235</v>
      </c>
      <c r="C239" s="5" t="s">
        <v>237</v>
      </c>
      <c r="D239" s="5" t="str">
        <f t="shared" si="103"/>
        <v xml:space="preserve"> 565</v>
      </c>
      <c r="E239" s="6" t="s">
        <v>237</v>
      </c>
      <c r="F239" s="7">
        <f t="shared" si="104"/>
        <v>0</v>
      </c>
      <c r="G239" s="11" t="s">
        <v>299</v>
      </c>
      <c r="H239" s="11" t="s">
        <v>51</v>
      </c>
      <c r="I239" s="11" t="s">
        <v>360</v>
      </c>
      <c r="J239" s="12">
        <v>77000</v>
      </c>
      <c r="K239" s="13">
        <f t="shared" si="106"/>
        <v>7300</v>
      </c>
      <c r="L239" s="7" t="s">
        <v>24</v>
      </c>
      <c r="M239" s="14">
        <f t="shared" si="117"/>
        <v>69700</v>
      </c>
      <c r="N239" s="15">
        <f>2000+300+600+800+3600</f>
        <v>7300</v>
      </c>
      <c r="O239" s="40">
        <f t="shared" si="110"/>
        <v>77000</v>
      </c>
      <c r="P239" s="106"/>
      <c r="Q239" s="3" t="s">
        <v>431</v>
      </c>
      <c r="R239" s="37"/>
      <c r="S239" s="37">
        <f t="shared" si="111"/>
        <v>77000</v>
      </c>
      <c r="T239" s="37">
        <f t="shared" si="107"/>
        <v>110000</v>
      </c>
      <c r="U239" s="41">
        <f t="shared" si="108"/>
        <v>125714.28571428571</v>
      </c>
      <c r="V239" s="42">
        <f t="shared" si="112"/>
        <v>0.12499999999999997</v>
      </c>
      <c r="W239" s="41">
        <f t="shared" si="113"/>
        <v>125800</v>
      </c>
      <c r="X239" s="43">
        <f t="shared" si="109"/>
        <v>0.3</v>
      </c>
      <c r="Y239" s="44"/>
      <c r="Z239" s="44"/>
      <c r="AA239" s="44"/>
    </row>
    <row r="240" spans="2:27" ht="14.4" customHeight="1">
      <c r="B240" s="4">
        <v>236</v>
      </c>
      <c r="C240" s="39" t="s">
        <v>616</v>
      </c>
      <c r="D240" s="5" t="str">
        <f t="shared" si="103"/>
        <v xml:space="preserve"> 897</v>
      </c>
      <c r="E240" s="6" t="s">
        <v>616</v>
      </c>
      <c r="F240" s="7">
        <f t="shared" si="104"/>
        <v>0</v>
      </c>
      <c r="G240" s="8" t="s">
        <v>21</v>
      </c>
      <c r="H240" s="8" t="s">
        <v>309</v>
      </c>
      <c r="I240" s="8" t="s">
        <v>605</v>
      </c>
      <c r="J240" s="12"/>
      <c r="K240" s="13">
        <f t="shared" si="106"/>
        <v>0</v>
      </c>
      <c r="L240" s="7"/>
      <c r="M240" s="14">
        <f t="shared" si="117"/>
        <v>0</v>
      </c>
      <c r="N240" s="15"/>
      <c r="O240" s="40">
        <f t="shared" si="110"/>
        <v>0</v>
      </c>
      <c r="P240" s="106"/>
      <c r="Q240" s="3"/>
      <c r="R240" s="37"/>
      <c r="S240" s="37">
        <f t="shared" si="111"/>
        <v>0</v>
      </c>
      <c r="T240" s="37">
        <f t="shared" si="107"/>
        <v>0</v>
      </c>
      <c r="U240" s="41">
        <f t="shared" si="108"/>
        <v>0</v>
      </c>
      <c r="V240" s="42" t="e">
        <f t="shared" si="112"/>
        <v>#DIV/0!</v>
      </c>
      <c r="W240" s="41">
        <f t="shared" si="113"/>
        <v>0</v>
      </c>
      <c r="X240" s="43" t="e">
        <f t="shared" si="109"/>
        <v>#DIV/0!</v>
      </c>
      <c r="Y240" s="46">
        <v>88900</v>
      </c>
      <c r="Z240" s="47">
        <f>T240-Y240</f>
        <v>-88900</v>
      </c>
      <c r="AA240" s="48">
        <f>Z240/Y240</f>
        <v>-1</v>
      </c>
    </row>
    <row r="241" spans="2:27" ht="14.4" customHeight="1">
      <c r="B241" s="4">
        <v>237</v>
      </c>
      <c r="C241" s="5" t="s">
        <v>265</v>
      </c>
      <c r="D241" s="5" t="str">
        <f t="shared" si="103"/>
        <v xml:space="preserve"> 480</v>
      </c>
      <c r="E241" s="6" t="s">
        <v>265</v>
      </c>
      <c r="F241" s="7">
        <f t="shared" si="104"/>
        <v>0</v>
      </c>
      <c r="G241" s="11" t="s">
        <v>299</v>
      </c>
      <c r="H241" s="11" t="s">
        <v>309</v>
      </c>
      <c r="I241" s="11" t="s">
        <v>365</v>
      </c>
      <c r="J241" s="12">
        <v>81000</v>
      </c>
      <c r="K241" s="13">
        <f t="shared" si="106"/>
        <v>7500</v>
      </c>
      <c r="L241" s="7" t="s">
        <v>24</v>
      </c>
      <c r="M241" s="14">
        <f t="shared" si="117"/>
        <v>73500</v>
      </c>
      <c r="N241" s="15">
        <f>2000+300+600+1000+3600</f>
        <v>7500</v>
      </c>
      <c r="O241" s="40">
        <f t="shared" si="110"/>
        <v>81000</v>
      </c>
      <c r="P241" s="106"/>
      <c r="Q241" s="3" t="s">
        <v>453</v>
      </c>
      <c r="R241" s="37"/>
      <c r="S241" s="37">
        <f t="shared" si="111"/>
        <v>81000</v>
      </c>
      <c r="T241" s="37">
        <f t="shared" si="107"/>
        <v>115714.28571428572</v>
      </c>
      <c r="U241" s="41">
        <f t="shared" si="108"/>
        <v>132244.8979591837</v>
      </c>
      <c r="V241" s="42">
        <f t="shared" si="112"/>
        <v>0.12500000000000008</v>
      </c>
      <c r="W241" s="41">
        <f t="shared" si="113"/>
        <v>132300</v>
      </c>
      <c r="X241" s="43">
        <f t="shared" si="109"/>
        <v>0.30000000000000004</v>
      </c>
      <c r="Y241" s="44"/>
      <c r="Z241" s="44"/>
      <c r="AA241" s="44"/>
    </row>
    <row r="242" spans="2:27" ht="14.4" customHeight="1">
      <c r="B242" s="4">
        <v>238</v>
      </c>
      <c r="C242" s="5" t="s">
        <v>101</v>
      </c>
      <c r="D242" s="5" t="str">
        <f t="shared" si="103"/>
        <v xml:space="preserve"> 695</v>
      </c>
      <c r="E242" s="6" t="s">
        <v>101</v>
      </c>
      <c r="F242" s="7">
        <f t="shared" si="104"/>
        <v>0</v>
      </c>
      <c r="G242" s="11" t="s">
        <v>21</v>
      </c>
      <c r="H242" s="11" t="s">
        <v>309</v>
      </c>
      <c r="I242" s="11" t="s">
        <v>360</v>
      </c>
      <c r="J242" s="12">
        <v>68000</v>
      </c>
      <c r="K242" s="13">
        <f t="shared" si="106"/>
        <v>7150</v>
      </c>
      <c r="L242" s="7" t="s">
        <v>24</v>
      </c>
      <c r="M242" s="14">
        <f t="shared" si="117"/>
        <v>60850</v>
      </c>
      <c r="N242" s="15">
        <f>2000+300+600+650+3600</f>
        <v>7150</v>
      </c>
      <c r="O242" s="40">
        <f t="shared" si="110"/>
        <v>68000</v>
      </c>
      <c r="P242" s="106"/>
      <c r="Q242" s="3" t="s">
        <v>430</v>
      </c>
      <c r="R242" s="37"/>
      <c r="S242" s="37">
        <f t="shared" si="111"/>
        <v>68000</v>
      </c>
      <c r="T242" s="37">
        <f t="shared" si="107"/>
        <v>97142.857142857145</v>
      </c>
      <c r="U242" s="41">
        <f t="shared" si="108"/>
        <v>111020.40816326531</v>
      </c>
      <c r="V242" s="42">
        <f t="shared" si="112"/>
        <v>0.12500000000000003</v>
      </c>
      <c r="W242" s="41">
        <f t="shared" si="113"/>
        <v>111100</v>
      </c>
      <c r="X242" s="43">
        <f t="shared" si="109"/>
        <v>0.3</v>
      </c>
      <c r="Y242" s="46">
        <v>98613</v>
      </c>
      <c r="Z242" s="47">
        <f>T242-Y242</f>
        <v>-1470.1428571428551</v>
      </c>
      <c r="AA242" s="48">
        <f>Z242/Y242</f>
        <v>-1.4908205380049841E-2</v>
      </c>
    </row>
    <row r="243" spans="2:27" ht="14.4" customHeight="1">
      <c r="B243" s="4">
        <v>239</v>
      </c>
      <c r="C243" s="5" t="s">
        <v>102</v>
      </c>
      <c r="D243" s="5" t="str">
        <f t="shared" si="103"/>
        <v xml:space="preserve"> 016</v>
      </c>
      <c r="E243" s="6" t="s">
        <v>102</v>
      </c>
      <c r="F243" s="7">
        <f t="shared" si="104"/>
        <v>0</v>
      </c>
      <c r="G243" s="11" t="s">
        <v>21</v>
      </c>
      <c r="H243" s="11" t="s">
        <v>309</v>
      </c>
      <c r="I243" s="11" t="s">
        <v>360</v>
      </c>
      <c r="J243" s="12">
        <v>83800</v>
      </c>
      <c r="K243" s="13">
        <f t="shared" si="106"/>
        <v>6500</v>
      </c>
      <c r="L243" s="7" t="s">
        <v>24</v>
      </c>
      <c r="M243" s="14">
        <f t="shared" si="117"/>
        <v>77300</v>
      </c>
      <c r="N243" s="15">
        <f>2000+300+600+3600</f>
        <v>6500</v>
      </c>
      <c r="O243" s="40">
        <f t="shared" si="110"/>
        <v>83800</v>
      </c>
      <c r="P243" s="107"/>
      <c r="Q243" s="3" t="s">
        <v>433</v>
      </c>
      <c r="R243" s="37"/>
      <c r="S243" s="37">
        <f t="shared" si="111"/>
        <v>83800</v>
      </c>
      <c r="T243" s="37">
        <f t="shared" si="107"/>
        <v>119714.28571428572</v>
      </c>
      <c r="U243" s="41">
        <f t="shared" si="108"/>
        <v>136816.32653061225</v>
      </c>
      <c r="V243" s="42">
        <f t="shared" si="112"/>
        <v>0.12499999999999994</v>
      </c>
      <c r="W243" s="41">
        <f t="shared" si="113"/>
        <v>136900</v>
      </c>
      <c r="X243" s="43">
        <f t="shared" si="109"/>
        <v>0.30000000000000004</v>
      </c>
      <c r="Y243" s="46">
        <v>121188</v>
      </c>
      <c r="Z243" s="47">
        <f>T243-Y243</f>
        <v>-1473.7142857142753</v>
      </c>
      <c r="AA243" s="48">
        <f>Z243/Y243</f>
        <v>-1.216056280914179E-2</v>
      </c>
    </row>
    <row r="244" spans="2:27" ht="14.4" customHeight="1">
      <c r="B244" s="4">
        <v>240</v>
      </c>
      <c r="C244" s="5" t="s">
        <v>266</v>
      </c>
      <c r="D244" s="5" t="str">
        <f t="shared" si="103"/>
        <v xml:space="preserve"> 288</v>
      </c>
      <c r="E244" s="6" t="s">
        <v>266</v>
      </c>
      <c r="F244" s="7">
        <f t="shared" si="104"/>
        <v>0</v>
      </c>
      <c r="G244" s="11" t="s">
        <v>299</v>
      </c>
      <c r="H244" s="11" t="s">
        <v>51</v>
      </c>
      <c r="I244" s="11" t="s">
        <v>365</v>
      </c>
      <c r="J244" s="12">
        <v>84000</v>
      </c>
      <c r="K244" s="13">
        <f t="shared" si="106"/>
        <v>7150</v>
      </c>
      <c r="L244" s="7" t="s">
        <v>24</v>
      </c>
      <c r="M244" s="14">
        <f t="shared" si="117"/>
        <v>76850</v>
      </c>
      <c r="N244" s="15">
        <f>2000+300+600+650+3600</f>
        <v>7150</v>
      </c>
      <c r="O244" s="40">
        <f t="shared" si="110"/>
        <v>84000</v>
      </c>
      <c r="P244" s="106"/>
      <c r="Q244" s="3" t="s">
        <v>453</v>
      </c>
      <c r="R244" s="37"/>
      <c r="S244" s="37">
        <f t="shared" si="111"/>
        <v>84000</v>
      </c>
      <c r="T244" s="37">
        <f t="shared" si="107"/>
        <v>120000.00000000001</v>
      </c>
      <c r="U244" s="41">
        <f t="shared" si="108"/>
        <v>137142.85714285716</v>
      </c>
      <c r="V244" s="42">
        <f t="shared" si="112"/>
        <v>0.125</v>
      </c>
      <c r="W244" s="41">
        <f t="shared" si="113"/>
        <v>137200</v>
      </c>
      <c r="X244" s="43">
        <f t="shared" si="109"/>
        <v>0.3000000000000001</v>
      </c>
      <c r="Y244" s="44"/>
      <c r="Z244" s="44"/>
      <c r="AA244" s="44"/>
    </row>
    <row r="245" spans="2:27" ht="14.4" customHeight="1">
      <c r="B245" s="4">
        <v>241</v>
      </c>
      <c r="C245" s="5" t="s">
        <v>226</v>
      </c>
      <c r="D245" s="5" t="str">
        <f t="shared" si="103"/>
        <v xml:space="preserve"> 990</v>
      </c>
      <c r="E245" s="6" t="s">
        <v>226</v>
      </c>
      <c r="F245" s="7">
        <f t="shared" si="104"/>
        <v>0</v>
      </c>
      <c r="G245" s="11" t="s">
        <v>299</v>
      </c>
      <c r="H245" s="11" t="s">
        <v>309</v>
      </c>
      <c r="I245" s="11" t="s">
        <v>357</v>
      </c>
      <c r="J245" s="12">
        <v>57400</v>
      </c>
      <c r="K245" s="13">
        <f t="shared" si="106"/>
        <v>7400</v>
      </c>
      <c r="L245" s="7" t="s">
        <v>24</v>
      </c>
      <c r="M245" s="14">
        <f t="shared" si="117"/>
        <v>50000</v>
      </c>
      <c r="N245" s="15">
        <f>2000+200+600+1000+3600</f>
        <v>7400</v>
      </c>
      <c r="O245" s="40">
        <f t="shared" si="110"/>
        <v>57400</v>
      </c>
      <c r="P245" s="107"/>
      <c r="Q245" s="3" t="s">
        <v>427</v>
      </c>
      <c r="R245" s="37"/>
      <c r="S245" s="37">
        <f t="shared" si="111"/>
        <v>57400</v>
      </c>
      <c r="T245" s="37">
        <f t="shared" si="107"/>
        <v>82000</v>
      </c>
      <c r="U245" s="41">
        <f t="shared" si="108"/>
        <v>93714.28571428571</v>
      </c>
      <c r="V245" s="42">
        <f t="shared" si="112"/>
        <v>0.12499999999999996</v>
      </c>
      <c r="W245" s="41">
        <f t="shared" si="113"/>
        <v>93800</v>
      </c>
      <c r="X245" s="43">
        <f t="shared" si="109"/>
        <v>0.3</v>
      </c>
      <c r="Y245" s="44"/>
      <c r="Z245" s="44"/>
      <c r="AA245" s="44"/>
    </row>
    <row r="246" spans="2:27" ht="14.4" customHeight="1">
      <c r="B246" s="4">
        <v>242</v>
      </c>
      <c r="C246" s="5" t="s">
        <v>103</v>
      </c>
      <c r="D246" s="5" t="str">
        <f t="shared" si="103"/>
        <v xml:space="preserve"> 392</v>
      </c>
      <c r="E246" s="6" t="s">
        <v>103</v>
      </c>
      <c r="F246" s="7">
        <f t="shared" si="104"/>
        <v>0</v>
      </c>
      <c r="G246" s="11" t="s">
        <v>299</v>
      </c>
      <c r="H246" s="11" t="s">
        <v>309</v>
      </c>
      <c r="I246" s="11" t="s">
        <v>371</v>
      </c>
      <c r="J246" s="12">
        <v>0</v>
      </c>
      <c r="K246" s="13">
        <f t="shared" si="106"/>
        <v>0</v>
      </c>
      <c r="L246" s="7"/>
      <c r="M246" s="14">
        <f t="shared" si="117"/>
        <v>0</v>
      </c>
      <c r="N246" s="15">
        <v>0</v>
      </c>
      <c r="O246" s="40">
        <f t="shared" si="110"/>
        <v>0</v>
      </c>
      <c r="P246" s="106"/>
      <c r="Q246" s="3" t="s">
        <v>466</v>
      </c>
      <c r="R246" s="37">
        <v>2000</v>
      </c>
      <c r="S246" s="37">
        <f t="shared" si="111"/>
        <v>2000</v>
      </c>
      <c r="T246" s="37">
        <f t="shared" si="107"/>
        <v>2857.1428571428573</v>
      </c>
      <c r="U246" s="41">
        <f t="shared" si="108"/>
        <v>3265.3061224489797</v>
      </c>
      <c r="V246" s="42">
        <f t="shared" si="112"/>
        <v>0.12499999999999999</v>
      </c>
      <c r="W246" s="41">
        <f t="shared" si="113"/>
        <v>3300</v>
      </c>
      <c r="X246" s="43">
        <f t="shared" si="109"/>
        <v>1</v>
      </c>
      <c r="Y246" s="44"/>
      <c r="Z246" s="44"/>
      <c r="AA246" s="44"/>
    </row>
    <row r="247" spans="2:27" ht="14.4" customHeight="1">
      <c r="B247" s="4">
        <v>243</v>
      </c>
      <c r="C247" s="5" t="s">
        <v>194</v>
      </c>
      <c r="D247" s="5" t="str">
        <f t="shared" si="103"/>
        <v xml:space="preserve"> 295</v>
      </c>
      <c r="E247" s="6" t="s">
        <v>194</v>
      </c>
      <c r="F247" s="7">
        <f t="shared" si="104"/>
        <v>0</v>
      </c>
      <c r="G247" s="11" t="s">
        <v>299</v>
      </c>
      <c r="H247" s="11" t="s">
        <v>51</v>
      </c>
      <c r="I247" s="11" t="s">
        <v>348</v>
      </c>
      <c r="J247" s="12">
        <v>87000</v>
      </c>
      <c r="K247" s="13">
        <f t="shared" si="106"/>
        <v>7500</v>
      </c>
      <c r="L247" s="7" t="s">
        <v>24</v>
      </c>
      <c r="M247" s="14">
        <f t="shared" si="117"/>
        <v>79500</v>
      </c>
      <c r="N247" s="15">
        <f>2000+300+600+1000+3600</f>
        <v>7500</v>
      </c>
      <c r="O247" s="40">
        <f t="shared" si="110"/>
        <v>87000</v>
      </c>
      <c r="P247" s="106"/>
      <c r="Q247" s="3" t="s">
        <v>409</v>
      </c>
      <c r="R247" s="37"/>
      <c r="S247" s="37">
        <f t="shared" si="111"/>
        <v>87000</v>
      </c>
      <c r="T247" s="37">
        <f t="shared" si="107"/>
        <v>124285.71428571429</v>
      </c>
      <c r="U247" s="41">
        <f t="shared" si="108"/>
        <v>142040.81632653062</v>
      </c>
      <c r="V247" s="42">
        <f t="shared" si="112"/>
        <v>0.12500000000000003</v>
      </c>
      <c r="W247" s="41">
        <f t="shared" si="113"/>
        <v>142100</v>
      </c>
      <c r="X247" s="43">
        <f t="shared" si="109"/>
        <v>0.30000000000000004</v>
      </c>
      <c r="Y247" s="44"/>
      <c r="Z247" s="44"/>
      <c r="AA247" s="45"/>
    </row>
    <row r="248" spans="2:27" ht="14.4" customHeight="1">
      <c r="B248" s="4">
        <v>244</v>
      </c>
      <c r="C248" s="5" t="s">
        <v>1077</v>
      </c>
      <c r="D248" s="5" t="str">
        <f t="shared" si="103"/>
        <v xml:space="preserve"> 553</v>
      </c>
      <c r="E248" s="6" t="s">
        <v>1077</v>
      </c>
      <c r="F248" s="7">
        <f t="shared" si="104"/>
        <v>0</v>
      </c>
      <c r="G248" s="11" t="s">
        <v>21</v>
      </c>
      <c r="H248" s="11" t="s">
        <v>51</v>
      </c>
      <c r="I248" s="11" t="s">
        <v>614</v>
      </c>
      <c r="J248" s="101">
        <v>70000</v>
      </c>
      <c r="K248" s="101">
        <f t="shared" si="106"/>
        <v>0</v>
      </c>
      <c r="L248" s="116" t="s">
        <v>1438</v>
      </c>
      <c r="M248" s="97">
        <f t="shared" ref="M248" si="119">J248</f>
        <v>70000</v>
      </c>
      <c r="N248" s="98">
        <f>2000+3450+800+200+250+700</f>
        <v>7400</v>
      </c>
      <c r="O248" s="112">
        <f>M248+N248</f>
        <v>77400</v>
      </c>
      <c r="P248" s="106"/>
      <c r="Q248" s="99" t="s">
        <v>1428</v>
      </c>
      <c r="R248" s="37"/>
      <c r="S248" s="37">
        <f t="shared" si="111"/>
        <v>77400</v>
      </c>
      <c r="T248" s="37">
        <f t="shared" si="107"/>
        <v>110571.42857142858</v>
      </c>
      <c r="U248" s="41">
        <f t="shared" si="108"/>
        <v>126367.34693877552</v>
      </c>
      <c r="V248" s="42">
        <f t="shared" si="112"/>
        <v>0.12499999999999999</v>
      </c>
      <c r="W248" s="41">
        <f t="shared" si="113"/>
        <v>126400</v>
      </c>
      <c r="X248" s="43">
        <f t="shared" si="109"/>
        <v>0.30000000000000004</v>
      </c>
      <c r="Y248" s="46">
        <v>116288</v>
      </c>
      <c r="Z248" s="47">
        <f>T248-Y248</f>
        <v>-5716.5714285714203</v>
      </c>
      <c r="AA248" s="48">
        <f>Z248/Y248</f>
        <v>-4.9158738894567108E-2</v>
      </c>
    </row>
    <row r="249" spans="2:27" ht="14.4" customHeight="1">
      <c r="B249" s="4">
        <v>245</v>
      </c>
      <c r="C249" s="5" t="s">
        <v>107</v>
      </c>
      <c r="D249" s="5" t="str">
        <f t="shared" si="103"/>
        <v xml:space="preserve"> 578</v>
      </c>
      <c r="E249" s="6" t="s">
        <v>107</v>
      </c>
      <c r="F249" s="7">
        <f t="shared" si="104"/>
        <v>0</v>
      </c>
      <c r="G249" s="11" t="s">
        <v>21</v>
      </c>
      <c r="H249" s="11" t="s">
        <v>60</v>
      </c>
      <c r="I249" s="11" t="s">
        <v>362</v>
      </c>
      <c r="J249" s="12">
        <v>37000</v>
      </c>
      <c r="K249" s="13">
        <f t="shared" si="106"/>
        <v>5900</v>
      </c>
      <c r="L249" s="7" t="s">
        <v>24</v>
      </c>
      <c r="M249" s="14">
        <f t="shared" si="117"/>
        <v>31100</v>
      </c>
      <c r="N249" s="15">
        <f>2000+300+600+2000+1000</f>
        <v>5900</v>
      </c>
      <c r="O249" s="40">
        <f t="shared" si="110"/>
        <v>37000</v>
      </c>
      <c r="P249" s="106"/>
      <c r="Q249" s="3" t="s">
        <v>446</v>
      </c>
      <c r="R249" s="37"/>
      <c r="S249" s="37">
        <f t="shared" si="111"/>
        <v>37000</v>
      </c>
      <c r="T249" s="37">
        <f t="shared" si="107"/>
        <v>52857.142857142862</v>
      </c>
      <c r="U249" s="41">
        <f t="shared" si="108"/>
        <v>60408.163265306132</v>
      </c>
      <c r="V249" s="42">
        <f t="shared" si="112"/>
        <v>0.12500000000000006</v>
      </c>
      <c r="W249" s="41">
        <f t="shared" si="113"/>
        <v>60500</v>
      </c>
      <c r="X249" s="43">
        <f t="shared" si="109"/>
        <v>0.30000000000000004</v>
      </c>
      <c r="Y249" s="46">
        <v>52938</v>
      </c>
      <c r="Z249" s="47">
        <f>T249-Y249</f>
        <v>-80.85714285713766</v>
      </c>
      <c r="AA249" s="48">
        <f>Z249/Y249</f>
        <v>-1.5273932308953429E-3</v>
      </c>
    </row>
    <row r="250" spans="2:27" ht="14.4" customHeight="1">
      <c r="B250" s="4">
        <v>246</v>
      </c>
      <c r="C250" s="5" t="s">
        <v>61</v>
      </c>
      <c r="D250" s="5" t="str">
        <f t="shared" si="103"/>
        <v xml:space="preserve"> 468</v>
      </c>
      <c r="E250" s="6" t="s">
        <v>61</v>
      </c>
      <c r="F250" s="7">
        <f t="shared" si="104"/>
        <v>0</v>
      </c>
      <c r="G250" s="11" t="s">
        <v>21</v>
      </c>
      <c r="H250" s="11" t="s">
        <v>60</v>
      </c>
      <c r="I250" s="11" t="s">
        <v>362</v>
      </c>
      <c r="J250" s="12">
        <v>36000</v>
      </c>
      <c r="K250" s="13">
        <f t="shared" si="106"/>
        <v>4900</v>
      </c>
      <c r="L250" s="7" t="s">
        <v>24</v>
      </c>
      <c r="M250" s="14">
        <f t="shared" si="117"/>
        <v>31100</v>
      </c>
      <c r="N250" s="15">
        <f>2000+300+600+2000</f>
        <v>4900</v>
      </c>
      <c r="O250" s="40">
        <f t="shared" si="110"/>
        <v>36000</v>
      </c>
      <c r="P250" s="106"/>
      <c r="Q250" s="3" t="s">
        <v>391</v>
      </c>
      <c r="R250" s="37"/>
      <c r="S250" s="37">
        <f t="shared" si="111"/>
        <v>36000</v>
      </c>
      <c r="T250" s="37">
        <f t="shared" si="107"/>
        <v>51428.571428571435</v>
      </c>
      <c r="U250" s="41">
        <f t="shared" si="108"/>
        <v>58775.510204081642</v>
      </c>
      <c r="V250" s="42">
        <f t="shared" si="112"/>
        <v>0.12500000000000003</v>
      </c>
      <c r="W250" s="41">
        <f t="shared" si="113"/>
        <v>58800</v>
      </c>
      <c r="X250" s="43">
        <f t="shared" si="109"/>
        <v>0.3000000000000001</v>
      </c>
      <c r="Y250" s="46">
        <v>52938</v>
      </c>
      <c r="Z250" s="47">
        <f>T250-Y250</f>
        <v>-1509.4285714285652</v>
      </c>
      <c r="AA250" s="48">
        <f>Z250/Y250</f>
        <v>-2.8513139359790041E-2</v>
      </c>
    </row>
    <row r="251" spans="2:27" ht="14.4" customHeight="1">
      <c r="B251" s="4">
        <v>247</v>
      </c>
      <c r="C251" s="5" t="s">
        <v>63</v>
      </c>
      <c r="D251" s="5" t="str">
        <f t="shared" si="103"/>
        <v xml:space="preserve"> 397</v>
      </c>
      <c r="E251" s="6" t="s">
        <v>63</v>
      </c>
      <c r="F251" s="7">
        <f t="shared" si="104"/>
        <v>0</v>
      </c>
      <c r="G251" s="11" t="s">
        <v>21</v>
      </c>
      <c r="H251" s="11" t="s">
        <v>60</v>
      </c>
      <c r="I251" s="11" t="s">
        <v>336</v>
      </c>
      <c r="J251" s="12"/>
      <c r="K251" s="13">
        <f t="shared" si="106"/>
        <v>0</v>
      </c>
      <c r="L251" s="7"/>
      <c r="M251" s="14">
        <f t="shared" si="117"/>
        <v>0</v>
      </c>
      <c r="N251" s="14"/>
      <c r="O251" s="40">
        <f t="shared" si="110"/>
        <v>0</v>
      </c>
      <c r="P251" s="106"/>
      <c r="Q251" s="3"/>
      <c r="R251" s="37">
        <v>3000</v>
      </c>
      <c r="S251" s="37">
        <f t="shared" si="111"/>
        <v>3000</v>
      </c>
      <c r="T251" s="37">
        <f t="shared" si="107"/>
        <v>4285.7142857142862</v>
      </c>
      <c r="U251" s="41">
        <f t="shared" si="108"/>
        <v>4897.9591836734699</v>
      </c>
      <c r="V251" s="42">
        <f t="shared" si="112"/>
        <v>0.12499999999999997</v>
      </c>
      <c r="W251" s="41">
        <f t="shared" si="113"/>
        <v>4900</v>
      </c>
      <c r="X251" s="43">
        <f t="shared" si="109"/>
        <v>1</v>
      </c>
      <c r="Y251" s="46">
        <v>50750</v>
      </c>
      <c r="Z251" s="47">
        <f>T251-Y251</f>
        <v>-46464.28571428571</v>
      </c>
      <c r="AA251" s="48">
        <f>Z251/Y251</f>
        <v>-0.91555242786769875</v>
      </c>
    </row>
    <row r="252" spans="2:27" ht="14.4" customHeight="1">
      <c r="B252" s="4">
        <v>248</v>
      </c>
      <c r="C252" s="5" t="s">
        <v>152</v>
      </c>
      <c r="D252" s="5" t="str">
        <f t="shared" si="103"/>
        <v xml:space="preserve"> 773</v>
      </c>
      <c r="E252" s="6" t="s">
        <v>152</v>
      </c>
      <c r="F252" s="7">
        <f t="shared" si="104"/>
        <v>0</v>
      </c>
      <c r="G252" s="11" t="s">
        <v>299</v>
      </c>
      <c r="H252" s="11" t="s">
        <v>60</v>
      </c>
      <c r="I252" s="11" t="s">
        <v>338</v>
      </c>
      <c r="J252" s="12">
        <v>37900</v>
      </c>
      <c r="K252" s="13">
        <f t="shared" si="106"/>
        <v>4900</v>
      </c>
      <c r="L252" s="7" t="s">
        <v>24</v>
      </c>
      <c r="M252" s="14">
        <f t="shared" si="117"/>
        <v>33000</v>
      </c>
      <c r="N252" s="14">
        <f>2000+300+600+2000</f>
        <v>4900</v>
      </c>
      <c r="O252" s="40">
        <f t="shared" si="110"/>
        <v>37900</v>
      </c>
      <c r="P252" s="107"/>
      <c r="Q252" s="3" t="s">
        <v>391</v>
      </c>
      <c r="R252" s="37"/>
      <c r="S252" s="37">
        <f t="shared" si="111"/>
        <v>37900</v>
      </c>
      <c r="T252" s="37">
        <f t="shared" si="107"/>
        <v>54142.857142857145</v>
      </c>
      <c r="U252" s="41">
        <f t="shared" si="108"/>
        <v>61877.551020408166</v>
      </c>
      <c r="V252" s="42">
        <f t="shared" si="112"/>
        <v>0.125</v>
      </c>
      <c r="W252" s="41">
        <f t="shared" si="113"/>
        <v>61900</v>
      </c>
      <c r="X252" s="43">
        <f t="shared" si="109"/>
        <v>0.30000000000000004</v>
      </c>
      <c r="Y252" s="44"/>
      <c r="Z252" s="44"/>
      <c r="AA252" s="44"/>
    </row>
    <row r="253" spans="2:27" ht="14.4" customHeight="1">
      <c r="B253" s="4">
        <v>249</v>
      </c>
      <c r="C253" s="5" t="s">
        <v>143</v>
      </c>
      <c r="D253" s="5" t="str">
        <f t="shared" si="103"/>
        <v xml:space="preserve"> 187</v>
      </c>
      <c r="E253" s="6" t="s">
        <v>143</v>
      </c>
      <c r="F253" s="7">
        <f t="shared" si="104"/>
        <v>0</v>
      </c>
      <c r="G253" s="11" t="s">
        <v>299</v>
      </c>
      <c r="H253" s="11" t="s">
        <v>60</v>
      </c>
      <c r="I253" s="11" t="s">
        <v>335</v>
      </c>
      <c r="J253" s="12">
        <v>40900</v>
      </c>
      <c r="K253" s="13">
        <f t="shared" si="106"/>
        <v>5900</v>
      </c>
      <c r="L253" s="7" t="s">
        <v>24</v>
      </c>
      <c r="M253" s="14">
        <f t="shared" si="117"/>
        <v>35000</v>
      </c>
      <c r="N253" s="14">
        <f>2000+300+600+1000+2000</f>
        <v>5900</v>
      </c>
      <c r="O253" s="40">
        <f t="shared" si="110"/>
        <v>40900</v>
      </c>
      <c r="P253" s="105"/>
      <c r="Q253" s="3" t="s">
        <v>389</v>
      </c>
      <c r="R253" s="37"/>
      <c r="S253" s="37">
        <f t="shared" si="111"/>
        <v>40900</v>
      </c>
      <c r="T253" s="37">
        <f t="shared" si="107"/>
        <v>58428.571428571435</v>
      </c>
      <c r="U253" s="41">
        <f t="shared" si="108"/>
        <v>66775.510204081642</v>
      </c>
      <c r="V253" s="42">
        <f t="shared" si="112"/>
        <v>0.12500000000000003</v>
      </c>
      <c r="W253" s="41">
        <f t="shared" si="113"/>
        <v>66800</v>
      </c>
      <c r="X253" s="43">
        <f t="shared" si="109"/>
        <v>0.3000000000000001</v>
      </c>
      <c r="Y253" s="44"/>
      <c r="Z253" s="44"/>
      <c r="AA253" s="44"/>
    </row>
    <row r="254" spans="2:27" ht="14.4" customHeight="1">
      <c r="B254" s="4">
        <v>250</v>
      </c>
      <c r="C254" s="5" t="s">
        <v>153</v>
      </c>
      <c r="D254" s="5" t="str">
        <f t="shared" si="103"/>
        <v xml:space="preserve"> 460</v>
      </c>
      <c r="E254" s="6" t="s">
        <v>153</v>
      </c>
      <c r="F254" s="7">
        <f t="shared" si="104"/>
        <v>0</v>
      </c>
      <c r="G254" s="11" t="s">
        <v>299</v>
      </c>
      <c r="H254" s="11" t="s">
        <v>60</v>
      </c>
      <c r="I254" s="11" t="s">
        <v>338</v>
      </c>
      <c r="J254" s="12">
        <v>37900</v>
      </c>
      <c r="K254" s="13">
        <f t="shared" si="106"/>
        <v>4900</v>
      </c>
      <c r="L254" s="7" t="s">
        <v>24</v>
      </c>
      <c r="M254" s="14">
        <f t="shared" si="117"/>
        <v>33000</v>
      </c>
      <c r="N254" s="14">
        <f>2000+300+600+2000</f>
        <v>4900</v>
      </c>
      <c r="O254" s="40">
        <f t="shared" si="110"/>
        <v>37900</v>
      </c>
      <c r="P254" s="107"/>
      <c r="Q254" s="3" t="s">
        <v>391</v>
      </c>
      <c r="R254" s="37"/>
      <c r="S254" s="37">
        <f t="shared" si="111"/>
        <v>37900</v>
      </c>
      <c r="T254" s="37">
        <f t="shared" si="107"/>
        <v>54142.857142857145</v>
      </c>
      <c r="U254" s="41">
        <f t="shared" si="108"/>
        <v>61877.551020408166</v>
      </c>
      <c r="V254" s="42">
        <f t="shared" si="112"/>
        <v>0.125</v>
      </c>
      <c r="W254" s="41">
        <f t="shared" si="113"/>
        <v>61900</v>
      </c>
      <c r="X254" s="43">
        <f t="shared" si="109"/>
        <v>0.30000000000000004</v>
      </c>
      <c r="Y254" s="44"/>
      <c r="Z254" s="44"/>
      <c r="AA254" s="45"/>
    </row>
    <row r="255" spans="2:27" ht="14.4" customHeight="1">
      <c r="B255" s="4">
        <v>251</v>
      </c>
      <c r="C255" s="5" t="s">
        <v>159</v>
      </c>
      <c r="D255" s="5" t="str">
        <f t="shared" ref="D255:D387" si="120">REPLACE(C255,1,3, )</f>
        <v xml:space="preserve"> 914</v>
      </c>
      <c r="E255" s="6" t="s">
        <v>159</v>
      </c>
      <c r="F255" s="7">
        <f t="shared" ref="F255:F387" si="121">IF(C255=E255,0,1)</f>
        <v>0</v>
      </c>
      <c r="G255" s="11" t="s">
        <v>299</v>
      </c>
      <c r="H255" s="11" t="s">
        <v>60</v>
      </c>
      <c r="I255" s="11" t="s">
        <v>338</v>
      </c>
      <c r="J255" s="12">
        <v>40900</v>
      </c>
      <c r="K255" s="13">
        <f t="shared" si="106"/>
        <v>5900</v>
      </c>
      <c r="L255" s="7" t="s">
        <v>24</v>
      </c>
      <c r="M255" s="14">
        <f t="shared" si="117"/>
        <v>35000</v>
      </c>
      <c r="N255" s="14">
        <f>2000+300+600+1000+2000</f>
        <v>5900</v>
      </c>
      <c r="O255" s="40">
        <f t="shared" si="110"/>
        <v>40900</v>
      </c>
      <c r="P255" s="105"/>
      <c r="Q255" s="3" t="s">
        <v>389</v>
      </c>
      <c r="R255" s="37"/>
      <c r="S255" s="37">
        <f t="shared" si="111"/>
        <v>40900</v>
      </c>
      <c r="T255" s="37">
        <f t="shared" si="107"/>
        <v>58428.571428571435</v>
      </c>
      <c r="U255" s="41">
        <f t="shared" si="108"/>
        <v>66775.510204081642</v>
      </c>
      <c r="V255" s="42">
        <f t="shared" si="112"/>
        <v>0.12500000000000003</v>
      </c>
      <c r="W255" s="41">
        <f t="shared" si="113"/>
        <v>66800</v>
      </c>
      <c r="X255" s="43">
        <f t="shared" si="109"/>
        <v>0.3000000000000001</v>
      </c>
      <c r="Y255" s="44"/>
      <c r="Z255" s="44"/>
      <c r="AA255" s="45"/>
    </row>
    <row r="256" spans="2:27" ht="14.4" customHeight="1">
      <c r="B256" s="4">
        <v>252</v>
      </c>
      <c r="C256" s="39" t="s">
        <v>617</v>
      </c>
      <c r="D256" s="5" t="str">
        <f t="shared" si="120"/>
        <v xml:space="preserve"> 797</v>
      </c>
      <c r="E256" s="6" t="s">
        <v>617</v>
      </c>
      <c r="F256" s="7">
        <f t="shared" si="121"/>
        <v>0</v>
      </c>
      <c r="G256" s="8" t="s">
        <v>299</v>
      </c>
      <c r="H256" s="8" t="s">
        <v>60</v>
      </c>
      <c r="I256" s="8" t="s">
        <v>618</v>
      </c>
      <c r="J256" s="12">
        <f>47500</f>
        <v>47500</v>
      </c>
      <c r="K256" s="13">
        <f t="shared" si="106"/>
        <v>5450</v>
      </c>
      <c r="L256" s="7" t="s">
        <v>24</v>
      </c>
      <c r="M256" s="14">
        <f t="shared" si="117"/>
        <v>42050</v>
      </c>
      <c r="N256" s="14">
        <f>2000+2000+600+200+650</f>
        <v>5450</v>
      </c>
      <c r="O256" s="40">
        <f t="shared" si="110"/>
        <v>47500</v>
      </c>
      <c r="P256" s="105"/>
      <c r="Q256" s="78" t="s">
        <v>1366</v>
      </c>
      <c r="R256" s="37"/>
      <c r="S256" s="37">
        <f t="shared" si="111"/>
        <v>47500</v>
      </c>
      <c r="T256" s="37">
        <f t="shared" si="107"/>
        <v>67857.142857142855</v>
      </c>
      <c r="U256" s="41">
        <f t="shared" si="108"/>
        <v>77551.020408163269</v>
      </c>
      <c r="V256" s="42">
        <f t="shared" si="112"/>
        <v>0.12500000000000008</v>
      </c>
      <c r="W256" s="41">
        <f t="shared" si="113"/>
        <v>77600</v>
      </c>
      <c r="X256" s="43">
        <f t="shared" si="109"/>
        <v>0.3</v>
      </c>
      <c r="Y256" s="44"/>
      <c r="Z256" s="44"/>
      <c r="AA256" s="45"/>
    </row>
    <row r="257" spans="2:34" ht="14.4" customHeight="1">
      <c r="B257" s="4">
        <v>253</v>
      </c>
      <c r="C257" s="39" t="s">
        <v>619</v>
      </c>
      <c r="D257" s="5" t="str">
        <f t="shared" si="120"/>
        <v xml:space="preserve"> 941</v>
      </c>
      <c r="E257" s="6" t="s">
        <v>619</v>
      </c>
      <c r="F257" s="7">
        <f t="shared" si="121"/>
        <v>0</v>
      </c>
      <c r="G257" s="8" t="s">
        <v>21</v>
      </c>
      <c r="H257" s="8" t="s">
        <v>60</v>
      </c>
      <c r="I257" s="8" t="s">
        <v>607</v>
      </c>
      <c r="J257" s="101">
        <v>65000</v>
      </c>
      <c r="K257" s="101">
        <f t="shared" si="106"/>
        <v>0</v>
      </c>
      <c r="L257" s="116" t="s">
        <v>1438</v>
      </c>
      <c r="M257" s="97">
        <f t="shared" ref="M257" si="122">J257</f>
        <v>65000</v>
      </c>
      <c r="N257" s="98">
        <f>2000+1750+800+300+650</f>
        <v>5500</v>
      </c>
      <c r="O257" s="112">
        <f>N257+M257</f>
        <v>70500</v>
      </c>
      <c r="P257" s="106"/>
      <c r="Q257" s="99" t="s">
        <v>1418</v>
      </c>
      <c r="R257" s="37"/>
      <c r="S257" s="37">
        <f t="shared" si="111"/>
        <v>70500</v>
      </c>
      <c r="T257" s="37">
        <f t="shared" si="107"/>
        <v>100714.28571428572</v>
      </c>
      <c r="U257" s="41">
        <f t="shared" si="108"/>
        <v>115102.04081632654</v>
      </c>
      <c r="V257" s="42">
        <f t="shared" si="112"/>
        <v>0.12499999999999997</v>
      </c>
      <c r="W257" s="41">
        <f t="shared" si="113"/>
        <v>115200</v>
      </c>
      <c r="X257" s="43">
        <f t="shared" si="109"/>
        <v>0.3000000000000001</v>
      </c>
      <c r="Y257" s="46">
        <v>104300</v>
      </c>
      <c r="Z257" s="47">
        <f>T257-Y257</f>
        <v>-3585.7142857142753</v>
      </c>
      <c r="AA257" s="48">
        <f>Z257/Y257</f>
        <v>-3.4378852212025648E-2</v>
      </c>
    </row>
    <row r="258" spans="2:34" ht="14.4" customHeight="1">
      <c r="B258" s="4">
        <v>254</v>
      </c>
      <c r="C258" s="5" t="s">
        <v>145</v>
      </c>
      <c r="D258" s="5" t="str">
        <f t="shared" si="120"/>
        <v xml:space="preserve"> 580</v>
      </c>
      <c r="E258" s="6" t="s">
        <v>145</v>
      </c>
      <c r="F258" s="7">
        <f t="shared" si="121"/>
        <v>0</v>
      </c>
      <c r="G258" s="11" t="s">
        <v>299</v>
      </c>
      <c r="H258" s="11" t="s">
        <v>60</v>
      </c>
      <c r="I258" s="11" t="s">
        <v>336</v>
      </c>
      <c r="J258" s="12">
        <v>30000</v>
      </c>
      <c r="K258" s="13">
        <f t="shared" si="106"/>
        <v>5900</v>
      </c>
      <c r="L258" s="7" t="s">
        <v>24</v>
      </c>
      <c r="M258" s="14">
        <f t="shared" si="117"/>
        <v>24100</v>
      </c>
      <c r="N258" s="14">
        <f>2000+300+600+1000+2000</f>
        <v>5900</v>
      </c>
      <c r="O258" s="40">
        <f t="shared" si="110"/>
        <v>30000</v>
      </c>
      <c r="P258" s="107"/>
      <c r="Q258" s="3" t="s">
        <v>389</v>
      </c>
      <c r="R258" s="37">
        <v>3000</v>
      </c>
      <c r="S258" s="37">
        <f t="shared" si="111"/>
        <v>33000</v>
      </c>
      <c r="T258" s="37">
        <f t="shared" si="107"/>
        <v>47142.857142857145</v>
      </c>
      <c r="U258" s="41">
        <f t="shared" si="108"/>
        <v>53877.551020408166</v>
      </c>
      <c r="V258" s="42">
        <f t="shared" si="112"/>
        <v>0.125</v>
      </c>
      <c r="W258" s="41">
        <f t="shared" si="113"/>
        <v>53900</v>
      </c>
      <c r="X258" s="43">
        <f t="shared" si="109"/>
        <v>0.36363636363636365</v>
      </c>
      <c r="Y258" s="44"/>
      <c r="Z258" s="44"/>
      <c r="AA258" s="45"/>
    </row>
    <row r="259" spans="2:34" ht="14.4" customHeight="1">
      <c r="B259" s="4">
        <v>255</v>
      </c>
      <c r="C259" s="5" t="s">
        <v>144</v>
      </c>
      <c r="D259" s="5" t="str">
        <f t="shared" si="120"/>
        <v xml:space="preserve"> 763</v>
      </c>
      <c r="E259" s="6" t="s">
        <v>144</v>
      </c>
      <c r="F259" s="7">
        <f t="shared" si="121"/>
        <v>0</v>
      </c>
      <c r="G259" s="11" t="s">
        <v>299</v>
      </c>
      <c r="H259" s="11" t="s">
        <v>60</v>
      </c>
      <c r="I259" s="11" t="s">
        <v>335</v>
      </c>
      <c r="J259" s="12">
        <v>41900</v>
      </c>
      <c r="K259" s="13">
        <f t="shared" si="106"/>
        <v>5900</v>
      </c>
      <c r="L259" s="7" t="s">
        <v>24</v>
      </c>
      <c r="M259" s="14">
        <f t="shared" si="117"/>
        <v>36000</v>
      </c>
      <c r="N259" s="14">
        <f>2000+300+600+1000+2000</f>
        <v>5900</v>
      </c>
      <c r="O259" s="40">
        <f t="shared" si="110"/>
        <v>41900</v>
      </c>
      <c r="P259" s="107"/>
      <c r="Q259" s="3" t="s">
        <v>389</v>
      </c>
      <c r="R259" s="37"/>
      <c r="S259" s="37">
        <f t="shared" si="111"/>
        <v>41900</v>
      </c>
      <c r="T259" s="37">
        <f t="shared" si="107"/>
        <v>59857.142857142862</v>
      </c>
      <c r="U259" s="41">
        <f t="shared" si="108"/>
        <v>68408.163265306124</v>
      </c>
      <c r="V259" s="42">
        <f t="shared" si="112"/>
        <v>0.12499999999999994</v>
      </c>
      <c r="W259" s="41">
        <f t="shared" si="113"/>
        <v>68500</v>
      </c>
      <c r="X259" s="43">
        <f t="shared" si="109"/>
        <v>0.30000000000000004</v>
      </c>
      <c r="Y259" s="44"/>
      <c r="Z259" s="44"/>
      <c r="AA259" s="45"/>
    </row>
    <row r="260" spans="2:34" ht="14.4" customHeight="1">
      <c r="B260" s="4">
        <v>256</v>
      </c>
      <c r="C260" s="5" t="s">
        <v>62</v>
      </c>
      <c r="D260" s="5" t="str">
        <f t="shared" si="120"/>
        <v xml:space="preserve"> 805</v>
      </c>
      <c r="E260" s="6" t="s">
        <v>62</v>
      </c>
      <c r="F260" s="7">
        <f t="shared" si="121"/>
        <v>0</v>
      </c>
      <c r="G260" s="11" t="s">
        <v>21</v>
      </c>
      <c r="H260" s="11" t="s">
        <v>60</v>
      </c>
      <c r="I260" s="11" t="s">
        <v>336</v>
      </c>
      <c r="J260" s="12">
        <v>32000</v>
      </c>
      <c r="K260" s="13">
        <f t="shared" si="106"/>
        <v>5900</v>
      </c>
      <c r="L260" s="7" t="s">
        <v>24</v>
      </c>
      <c r="M260" s="14">
        <f t="shared" si="117"/>
        <v>26100</v>
      </c>
      <c r="N260" s="14">
        <f>2000+300+600+1000+2000</f>
        <v>5900</v>
      </c>
      <c r="O260" s="40">
        <f t="shared" si="110"/>
        <v>32000</v>
      </c>
      <c r="P260" s="107"/>
      <c r="Q260" s="3" t="s">
        <v>389</v>
      </c>
      <c r="R260" s="37">
        <v>3000</v>
      </c>
      <c r="S260" s="37">
        <f t="shared" si="111"/>
        <v>35000</v>
      </c>
      <c r="T260" s="37">
        <f t="shared" si="107"/>
        <v>50000</v>
      </c>
      <c r="U260" s="41">
        <f t="shared" si="108"/>
        <v>57142.857142857145</v>
      </c>
      <c r="V260" s="42">
        <f t="shared" si="112"/>
        <v>0.12500000000000003</v>
      </c>
      <c r="W260" s="41">
        <f t="shared" si="113"/>
        <v>57200</v>
      </c>
      <c r="X260" s="43">
        <f t="shared" si="109"/>
        <v>0.36</v>
      </c>
      <c r="Y260" s="46">
        <v>50050</v>
      </c>
      <c r="Z260" s="47">
        <f>T260-Y260</f>
        <v>-50</v>
      </c>
      <c r="AA260" s="48">
        <f>Z260/Y260</f>
        <v>-9.99000999000999E-4</v>
      </c>
    </row>
    <row r="261" spans="2:34" ht="14.4" customHeight="1">
      <c r="B261" s="4">
        <v>257</v>
      </c>
      <c r="C261" s="5" t="s">
        <v>106</v>
      </c>
      <c r="D261" s="5" t="str">
        <f t="shared" si="120"/>
        <v xml:space="preserve"> 123</v>
      </c>
      <c r="E261" s="6" t="s">
        <v>106</v>
      </c>
      <c r="F261" s="7">
        <f t="shared" si="121"/>
        <v>0</v>
      </c>
      <c r="G261" s="11" t="s">
        <v>21</v>
      </c>
      <c r="H261" s="11" t="s">
        <v>60</v>
      </c>
      <c r="I261" s="11" t="s">
        <v>336</v>
      </c>
      <c r="J261" s="12">
        <v>27550</v>
      </c>
      <c r="K261" s="13">
        <f t="shared" ref="K261:K324" si="123">J261-M261</f>
        <v>4900</v>
      </c>
      <c r="L261" s="7" t="s">
        <v>24</v>
      </c>
      <c r="M261" s="14">
        <f t="shared" si="117"/>
        <v>22650</v>
      </c>
      <c r="N261" s="14">
        <f>2000+300+600+2000</f>
        <v>4900</v>
      </c>
      <c r="O261" s="40">
        <f t="shared" si="110"/>
        <v>27550</v>
      </c>
      <c r="P261" s="107"/>
      <c r="Q261" s="3" t="s">
        <v>391</v>
      </c>
      <c r="R261" s="37">
        <v>3000</v>
      </c>
      <c r="S261" s="37">
        <f t="shared" si="111"/>
        <v>30550</v>
      </c>
      <c r="T261" s="37">
        <f t="shared" ref="T261:T324" si="124">S261/0.7</f>
        <v>43642.857142857145</v>
      </c>
      <c r="U261" s="41">
        <f t="shared" ref="U261:U324" si="125">T261/0.875</f>
        <v>49877.551020408166</v>
      </c>
      <c r="V261" s="42">
        <f t="shared" si="112"/>
        <v>0.125</v>
      </c>
      <c r="W261" s="41">
        <f t="shared" si="113"/>
        <v>49900</v>
      </c>
      <c r="X261" s="43">
        <f t="shared" ref="X261:X324" si="126">(T261-O261)/T261</f>
        <v>0.36873977086743048</v>
      </c>
      <c r="Y261" s="46">
        <v>39375</v>
      </c>
      <c r="Z261" s="47">
        <f>T261-Y261</f>
        <v>4267.8571428571449</v>
      </c>
      <c r="AA261" s="48">
        <f>Z261/Y261</f>
        <v>0.10839002267573701</v>
      </c>
    </row>
    <row r="262" spans="2:34" ht="14.4" customHeight="1">
      <c r="B262" s="4">
        <v>258</v>
      </c>
      <c r="C262" s="5" t="s">
        <v>1353</v>
      </c>
      <c r="D262" s="5" t="str">
        <f t="shared" si="120"/>
        <v xml:space="preserve"> 943</v>
      </c>
      <c r="E262" s="6" t="s">
        <v>1353</v>
      </c>
      <c r="F262" s="7">
        <f t="shared" si="121"/>
        <v>0</v>
      </c>
      <c r="G262" s="11" t="s">
        <v>299</v>
      </c>
      <c r="H262" s="11" t="s">
        <v>60</v>
      </c>
      <c r="I262" s="11" t="s">
        <v>339</v>
      </c>
      <c r="J262" s="12">
        <v>38000</v>
      </c>
      <c r="K262" s="13">
        <f t="shared" si="123"/>
        <v>5900</v>
      </c>
      <c r="L262" s="7" t="s">
        <v>24</v>
      </c>
      <c r="M262" s="14">
        <f t="shared" si="117"/>
        <v>32100</v>
      </c>
      <c r="N262" s="14">
        <f>2000+300+600+1000+2000</f>
        <v>5900</v>
      </c>
      <c r="O262" s="40">
        <f t="shared" ref="O262:O325" si="127">M262+N262</f>
        <v>38000</v>
      </c>
      <c r="P262" s="106"/>
      <c r="Q262" s="3" t="s">
        <v>389</v>
      </c>
      <c r="R262" s="37"/>
      <c r="S262" s="37">
        <f t="shared" si="111"/>
        <v>38000</v>
      </c>
      <c r="T262" s="37">
        <f t="shared" si="124"/>
        <v>54285.71428571429</v>
      </c>
      <c r="U262" s="41">
        <f t="shared" si="125"/>
        <v>62040.816326530614</v>
      </c>
      <c r="V262" s="42">
        <f t="shared" si="112"/>
        <v>0.12499999999999996</v>
      </c>
      <c r="W262" s="41">
        <f t="shared" si="113"/>
        <v>62100</v>
      </c>
      <c r="X262" s="43">
        <f t="shared" si="126"/>
        <v>0.30000000000000004</v>
      </c>
      <c r="Y262" s="44"/>
      <c r="Z262" s="44"/>
      <c r="AA262" s="44"/>
    </row>
    <row r="263" spans="2:34" ht="14.4" customHeight="1">
      <c r="B263" s="4">
        <v>259</v>
      </c>
      <c r="C263" s="39" t="s">
        <v>620</v>
      </c>
      <c r="D263" s="5" t="str">
        <f t="shared" si="120"/>
        <v xml:space="preserve"> 647</v>
      </c>
      <c r="E263" s="6" t="s">
        <v>620</v>
      </c>
      <c r="F263" s="7">
        <f t="shared" si="121"/>
        <v>0</v>
      </c>
      <c r="G263" s="8" t="s">
        <v>21</v>
      </c>
      <c r="H263" s="8" t="s">
        <v>60</v>
      </c>
      <c r="I263" s="8" t="s">
        <v>621</v>
      </c>
      <c r="J263" s="12"/>
      <c r="K263" s="13">
        <f t="shared" si="123"/>
        <v>0</v>
      </c>
      <c r="L263" s="7"/>
      <c r="M263" s="14">
        <f t="shared" si="117"/>
        <v>0</v>
      </c>
      <c r="N263" s="14"/>
      <c r="O263" s="40">
        <f t="shared" si="127"/>
        <v>0</v>
      </c>
      <c r="P263" s="106"/>
      <c r="Q263" s="3"/>
      <c r="R263" s="37"/>
      <c r="S263" s="37">
        <f t="shared" si="111"/>
        <v>0</v>
      </c>
      <c r="T263" s="37">
        <f t="shared" si="124"/>
        <v>0</v>
      </c>
      <c r="U263" s="41">
        <f t="shared" si="125"/>
        <v>0</v>
      </c>
      <c r="V263" s="42" t="e">
        <f t="shared" si="112"/>
        <v>#DIV/0!</v>
      </c>
      <c r="W263" s="41">
        <f t="shared" si="113"/>
        <v>0</v>
      </c>
      <c r="X263" s="43" t="e">
        <f t="shared" si="126"/>
        <v>#DIV/0!</v>
      </c>
      <c r="Y263" s="46">
        <v>60638</v>
      </c>
      <c r="Z263" s="47">
        <f>T263-Y263</f>
        <v>-60638</v>
      </c>
      <c r="AA263" s="48">
        <f>Z263/Y263</f>
        <v>-1</v>
      </c>
    </row>
    <row r="264" spans="2:34" ht="14.4" customHeight="1">
      <c r="B264" s="4">
        <v>260</v>
      </c>
      <c r="C264" s="5" t="s">
        <v>155</v>
      </c>
      <c r="D264" s="5" t="str">
        <f t="shared" si="120"/>
        <v xml:space="preserve"> 755</v>
      </c>
      <c r="E264" s="6" t="s">
        <v>155</v>
      </c>
      <c r="F264" s="7">
        <f t="shared" si="121"/>
        <v>0</v>
      </c>
      <c r="G264" s="11" t="s">
        <v>299</v>
      </c>
      <c r="H264" s="11" t="s">
        <v>60</v>
      </c>
      <c r="I264" s="11" t="s">
        <v>338</v>
      </c>
      <c r="J264" s="12">
        <v>37900</v>
      </c>
      <c r="K264" s="13">
        <f t="shared" si="123"/>
        <v>4900</v>
      </c>
      <c r="L264" s="7" t="s">
        <v>24</v>
      </c>
      <c r="M264" s="14">
        <f t="shared" si="117"/>
        <v>33000</v>
      </c>
      <c r="N264" s="14">
        <f t="shared" ref="N264:N272" si="128">2000+300+600+2000</f>
        <v>4900</v>
      </c>
      <c r="O264" s="40">
        <f t="shared" si="127"/>
        <v>37900</v>
      </c>
      <c r="P264" s="106"/>
      <c r="Q264" s="3" t="s">
        <v>391</v>
      </c>
      <c r="R264" s="37"/>
      <c r="S264" s="37">
        <f t="shared" si="111"/>
        <v>37900</v>
      </c>
      <c r="T264" s="37">
        <f t="shared" si="124"/>
        <v>54142.857142857145</v>
      </c>
      <c r="U264" s="41">
        <f t="shared" si="125"/>
        <v>61877.551020408166</v>
      </c>
      <c r="V264" s="42">
        <f t="shared" si="112"/>
        <v>0.125</v>
      </c>
      <c r="W264" s="41">
        <f t="shared" si="113"/>
        <v>61900</v>
      </c>
      <c r="X264" s="43">
        <f t="shared" si="126"/>
        <v>0.30000000000000004</v>
      </c>
      <c r="Y264" s="44"/>
      <c r="Z264" s="44"/>
      <c r="AA264" s="44"/>
    </row>
    <row r="265" spans="2:34" ht="14.4" customHeight="1">
      <c r="B265" s="4">
        <v>261</v>
      </c>
      <c r="C265" s="39" t="s">
        <v>148</v>
      </c>
      <c r="D265" s="5" t="str">
        <f t="shared" si="120"/>
        <v xml:space="preserve"> 360</v>
      </c>
      <c r="E265" s="6" t="s">
        <v>148</v>
      </c>
      <c r="F265" s="7">
        <f t="shared" si="121"/>
        <v>0</v>
      </c>
      <c r="G265" s="8" t="s">
        <v>299</v>
      </c>
      <c r="H265" s="8" t="s">
        <v>60</v>
      </c>
      <c r="I265" s="8" t="s">
        <v>336</v>
      </c>
      <c r="J265" s="12"/>
      <c r="K265" s="13">
        <f t="shared" si="123"/>
        <v>0</v>
      </c>
      <c r="L265" s="7"/>
      <c r="M265" s="14">
        <f t="shared" si="117"/>
        <v>0</v>
      </c>
      <c r="N265" s="14"/>
      <c r="O265" s="40">
        <f t="shared" si="127"/>
        <v>0</v>
      </c>
      <c r="P265" s="106"/>
      <c r="Q265" s="3"/>
      <c r="R265" s="37">
        <v>3000</v>
      </c>
      <c r="S265" s="37">
        <f t="shared" si="111"/>
        <v>3000</v>
      </c>
      <c r="T265" s="37">
        <f t="shared" si="124"/>
        <v>4285.7142857142862</v>
      </c>
      <c r="U265" s="41">
        <f t="shared" si="125"/>
        <v>4897.9591836734699</v>
      </c>
      <c r="V265" s="42">
        <f t="shared" si="112"/>
        <v>0.12499999999999997</v>
      </c>
      <c r="W265" s="41">
        <f t="shared" si="113"/>
        <v>4900</v>
      </c>
      <c r="X265" s="43">
        <f t="shared" si="126"/>
        <v>1</v>
      </c>
      <c r="Y265" s="44"/>
      <c r="Z265" s="44"/>
      <c r="AA265" s="44"/>
    </row>
    <row r="266" spans="2:34" ht="14.4" customHeight="1">
      <c r="B266" s="4">
        <v>262</v>
      </c>
      <c r="C266" s="5" t="s">
        <v>65</v>
      </c>
      <c r="D266" s="5" t="str">
        <f t="shared" si="120"/>
        <v xml:space="preserve"> 242</v>
      </c>
      <c r="E266" s="6" t="s">
        <v>65</v>
      </c>
      <c r="F266" s="7">
        <f t="shared" si="121"/>
        <v>0</v>
      </c>
      <c r="G266" s="11" t="s">
        <v>21</v>
      </c>
      <c r="H266" s="11" t="s">
        <v>60</v>
      </c>
      <c r="I266" s="11" t="s">
        <v>336</v>
      </c>
      <c r="J266" s="12">
        <v>27000</v>
      </c>
      <c r="K266" s="13">
        <f t="shared" si="123"/>
        <v>4900</v>
      </c>
      <c r="L266" s="7" t="s">
        <v>24</v>
      </c>
      <c r="M266" s="14">
        <f t="shared" si="117"/>
        <v>22100</v>
      </c>
      <c r="N266" s="14">
        <f t="shared" si="128"/>
        <v>4900</v>
      </c>
      <c r="O266" s="40">
        <f t="shared" si="127"/>
        <v>27000</v>
      </c>
      <c r="P266" s="107"/>
      <c r="Q266" s="3" t="s">
        <v>391</v>
      </c>
      <c r="R266" s="37">
        <v>3000</v>
      </c>
      <c r="S266" s="37">
        <f t="shared" si="111"/>
        <v>30000</v>
      </c>
      <c r="T266" s="37">
        <f t="shared" si="124"/>
        <v>42857.142857142862</v>
      </c>
      <c r="U266" s="41">
        <f t="shared" si="125"/>
        <v>48979.591836734697</v>
      </c>
      <c r="V266" s="42">
        <f t="shared" si="112"/>
        <v>0.12499999999999994</v>
      </c>
      <c r="W266" s="41">
        <f t="shared" si="113"/>
        <v>49000</v>
      </c>
      <c r="X266" s="43">
        <f t="shared" si="126"/>
        <v>0.37000000000000005</v>
      </c>
      <c r="Y266" s="46">
        <v>40075</v>
      </c>
      <c r="Z266" s="47">
        <f>T266-Y266</f>
        <v>2782.1428571428623</v>
      </c>
      <c r="AA266" s="48">
        <f>Z266/Y266</f>
        <v>6.9423402548792576E-2</v>
      </c>
    </row>
    <row r="267" spans="2:34" ht="14.4" customHeight="1">
      <c r="B267" s="4">
        <v>263</v>
      </c>
      <c r="C267" s="5" t="s">
        <v>64</v>
      </c>
      <c r="D267" s="5" t="str">
        <f t="shared" si="120"/>
        <v xml:space="preserve"> 993</v>
      </c>
      <c r="E267" s="6" t="s">
        <v>64</v>
      </c>
      <c r="F267" s="7">
        <f t="shared" si="121"/>
        <v>0</v>
      </c>
      <c r="G267" s="11" t="s">
        <v>21</v>
      </c>
      <c r="H267" s="11" t="s">
        <v>60</v>
      </c>
      <c r="I267" s="11" t="s">
        <v>336</v>
      </c>
      <c r="J267" s="12">
        <v>27000</v>
      </c>
      <c r="K267" s="13">
        <f t="shared" si="123"/>
        <v>4900</v>
      </c>
      <c r="L267" s="7" t="s">
        <v>24</v>
      </c>
      <c r="M267" s="14">
        <f t="shared" si="117"/>
        <v>22100</v>
      </c>
      <c r="N267" s="14">
        <f t="shared" si="128"/>
        <v>4900</v>
      </c>
      <c r="O267" s="40">
        <f t="shared" si="127"/>
        <v>27000</v>
      </c>
      <c r="P267" s="106"/>
      <c r="Q267" s="3" t="s">
        <v>391</v>
      </c>
      <c r="R267" s="37">
        <v>3000</v>
      </c>
      <c r="S267" s="37">
        <f t="shared" si="111"/>
        <v>30000</v>
      </c>
      <c r="T267" s="37">
        <f t="shared" si="124"/>
        <v>42857.142857142862</v>
      </c>
      <c r="U267" s="41">
        <f t="shared" si="125"/>
        <v>48979.591836734697</v>
      </c>
      <c r="V267" s="42">
        <f t="shared" si="112"/>
        <v>0.12499999999999994</v>
      </c>
      <c r="W267" s="41">
        <f t="shared" si="113"/>
        <v>49000</v>
      </c>
      <c r="X267" s="43">
        <f t="shared" si="126"/>
        <v>0.37000000000000005</v>
      </c>
      <c r="Y267" s="46">
        <v>40075</v>
      </c>
      <c r="Z267" s="47">
        <f>T267-Y267</f>
        <v>2782.1428571428623</v>
      </c>
      <c r="AA267" s="48">
        <f>Z267/Y267</f>
        <v>6.9423402548792576E-2</v>
      </c>
    </row>
    <row r="268" spans="2:34" ht="14.4" customHeight="1">
      <c r="B268" s="4">
        <v>264</v>
      </c>
      <c r="C268" s="5" t="s">
        <v>147</v>
      </c>
      <c r="D268" s="5" t="str">
        <f t="shared" si="120"/>
        <v xml:space="preserve"> 764</v>
      </c>
      <c r="E268" s="6" t="s">
        <v>147</v>
      </c>
      <c r="F268" s="7">
        <f t="shared" si="121"/>
        <v>0</v>
      </c>
      <c r="G268" s="11" t="s">
        <v>299</v>
      </c>
      <c r="H268" s="11" t="s">
        <v>60</v>
      </c>
      <c r="I268" s="11" t="s">
        <v>336</v>
      </c>
      <c r="J268" s="12">
        <v>30000</v>
      </c>
      <c r="K268" s="13">
        <f t="shared" si="123"/>
        <v>4900</v>
      </c>
      <c r="L268" s="7" t="s">
        <v>24</v>
      </c>
      <c r="M268" s="14">
        <f t="shared" si="117"/>
        <v>25100</v>
      </c>
      <c r="N268" s="14">
        <f t="shared" si="128"/>
        <v>4900</v>
      </c>
      <c r="O268" s="40">
        <f t="shared" si="127"/>
        <v>30000</v>
      </c>
      <c r="P268" s="106"/>
      <c r="Q268" s="3" t="s">
        <v>391</v>
      </c>
      <c r="R268" s="37">
        <v>3000</v>
      </c>
      <c r="S268" s="37">
        <f t="shared" si="111"/>
        <v>33000</v>
      </c>
      <c r="T268" s="37">
        <f t="shared" si="124"/>
        <v>47142.857142857145</v>
      </c>
      <c r="U268" s="41">
        <f t="shared" si="125"/>
        <v>53877.551020408166</v>
      </c>
      <c r="V268" s="42">
        <f t="shared" si="112"/>
        <v>0.125</v>
      </c>
      <c r="W268" s="41">
        <f t="shared" si="113"/>
        <v>53900</v>
      </c>
      <c r="X268" s="43">
        <f t="shared" si="126"/>
        <v>0.36363636363636365</v>
      </c>
      <c r="Y268" s="44"/>
      <c r="Z268" s="44"/>
      <c r="AA268" s="44"/>
    </row>
    <row r="269" spans="2:34" ht="14.4" customHeight="1">
      <c r="B269" s="4">
        <v>265</v>
      </c>
      <c r="C269" s="5" t="s">
        <v>162</v>
      </c>
      <c r="D269" s="5" t="str">
        <f t="shared" si="120"/>
        <v xml:space="preserve"> 418</v>
      </c>
      <c r="E269" s="6" t="s">
        <v>162</v>
      </c>
      <c r="F269" s="7">
        <f t="shared" si="121"/>
        <v>0</v>
      </c>
      <c r="G269" s="11" t="s">
        <v>299</v>
      </c>
      <c r="H269" s="11" t="s">
        <v>51</v>
      </c>
      <c r="I269" s="11" t="s">
        <v>339</v>
      </c>
      <c r="J269" s="12">
        <v>37000</v>
      </c>
      <c r="K269" s="13">
        <f t="shared" si="123"/>
        <v>4900</v>
      </c>
      <c r="L269" s="7" t="s">
        <v>24</v>
      </c>
      <c r="M269" s="14">
        <f t="shared" si="117"/>
        <v>32100</v>
      </c>
      <c r="N269" s="14">
        <f t="shared" si="128"/>
        <v>4900</v>
      </c>
      <c r="O269" s="40">
        <f t="shared" si="127"/>
        <v>37000</v>
      </c>
      <c r="P269" s="107"/>
      <c r="Q269" s="3" t="s">
        <v>391</v>
      </c>
      <c r="R269" s="37"/>
      <c r="S269" s="37">
        <f t="shared" si="111"/>
        <v>37000</v>
      </c>
      <c r="T269" s="37">
        <f t="shared" si="124"/>
        <v>52857.142857142862</v>
      </c>
      <c r="U269" s="41">
        <f t="shared" si="125"/>
        <v>60408.163265306132</v>
      </c>
      <c r="V269" s="42">
        <f t="shared" si="112"/>
        <v>0.12500000000000006</v>
      </c>
      <c r="W269" s="41">
        <f t="shared" si="113"/>
        <v>60500</v>
      </c>
      <c r="X269" s="43">
        <f t="shared" si="126"/>
        <v>0.30000000000000004</v>
      </c>
      <c r="Y269" s="44"/>
      <c r="Z269" s="44"/>
      <c r="AA269" s="44"/>
    </row>
    <row r="270" spans="2:34" ht="14.4" customHeight="1">
      <c r="B270" s="4">
        <v>266</v>
      </c>
      <c r="C270" s="5" t="s">
        <v>158</v>
      </c>
      <c r="D270" s="5" t="str">
        <f t="shared" si="120"/>
        <v xml:space="preserve"> 406</v>
      </c>
      <c r="E270" s="6" t="s">
        <v>158</v>
      </c>
      <c r="F270" s="7">
        <f t="shared" si="121"/>
        <v>0</v>
      </c>
      <c r="G270" s="11" t="s">
        <v>299</v>
      </c>
      <c r="H270" s="11" t="s">
        <v>60</v>
      </c>
      <c r="I270" s="11" t="s">
        <v>338</v>
      </c>
      <c r="J270" s="12">
        <v>37900</v>
      </c>
      <c r="K270" s="13">
        <f t="shared" si="123"/>
        <v>4900</v>
      </c>
      <c r="L270" s="7" t="s">
        <v>24</v>
      </c>
      <c r="M270" s="14">
        <f t="shared" si="117"/>
        <v>33000</v>
      </c>
      <c r="N270" s="14">
        <f t="shared" si="128"/>
        <v>4900</v>
      </c>
      <c r="O270" s="40">
        <f t="shared" si="127"/>
        <v>37900</v>
      </c>
      <c r="P270" s="105"/>
      <c r="Q270" s="3" t="s">
        <v>391</v>
      </c>
      <c r="R270" s="37"/>
      <c r="S270" s="37">
        <f t="shared" ref="S270:S333" si="129">R270+O270</f>
        <v>37900</v>
      </c>
      <c r="T270" s="37">
        <f t="shared" si="124"/>
        <v>54142.857142857145</v>
      </c>
      <c r="U270" s="41">
        <f t="shared" si="125"/>
        <v>61877.551020408166</v>
      </c>
      <c r="V270" s="42">
        <f t="shared" ref="V270:V333" si="130">(U270-T270)/U270</f>
        <v>0.125</v>
      </c>
      <c r="W270" s="41">
        <f t="shared" ref="W270:W333" si="131">(ROUNDUP((U270/100),0))*100</f>
        <v>61900</v>
      </c>
      <c r="X270" s="43">
        <f t="shared" si="126"/>
        <v>0.30000000000000004</v>
      </c>
      <c r="Y270" s="44"/>
      <c r="Z270" s="44"/>
      <c r="AA270" s="44"/>
    </row>
    <row r="271" spans="2:34" ht="14.4" customHeight="1">
      <c r="B271" s="4">
        <v>267</v>
      </c>
      <c r="C271" s="5" t="s">
        <v>146</v>
      </c>
      <c r="D271" s="5" t="str">
        <f t="shared" si="120"/>
        <v xml:space="preserve"> 699</v>
      </c>
      <c r="E271" s="6" t="s">
        <v>146</v>
      </c>
      <c r="F271" s="7">
        <f t="shared" si="121"/>
        <v>0</v>
      </c>
      <c r="G271" s="11" t="s">
        <v>299</v>
      </c>
      <c r="H271" s="11" t="s">
        <v>60</v>
      </c>
      <c r="I271" s="11" t="s">
        <v>336</v>
      </c>
      <c r="J271" s="12">
        <v>30000</v>
      </c>
      <c r="K271" s="13">
        <f t="shared" si="123"/>
        <v>4900</v>
      </c>
      <c r="L271" s="7" t="s">
        <v>24</v>
      </c>
      <c r="M271" s="14">
        <f t="shared" si="117"/>
        <v>25100</v>
      </c>
      <c r="N271" s="14">
        <f t="shared" si="128"/>
        <v>4900</v>
      </c>
      <c r="O271" s="40">
        <f t="shared" si="127"/>
        <v>30000</v>
      </c>
      <c r="P271" s="105"/>
      <c r="Q271" s="3" t="s">
        <v>391</v>
      </c>
      <c r="R271" s="37">
        <v>3000</v>
      </c>
      <c r="S271" s="37">
        <f t="shared" si="129"/>
        <v>33000</v>
      </c>
      <c r="T271" s="37">
        <f t="shared" si="124"/>
        <v>47142.857142857145</v>
      </c>
      <c r="U271" s="41">
        <f t="shared" si="125"/>
        <v>53877.551020408166</v>
      </c>
      <c r="V271" s="42">
        <f t="shared" si="130"/>
        <v>0.125</v>
      </c>
      <c r="W271" s="41">
        <f t="shared" si="131"/>
        <v>53900</v>
      </c>
      <c r="X271" s="43">
        <f t="shared" si="126"/>
        <v>0.36363636363636365</v>
      </c>
      <c r="Y271" s="44"/>
      <c r="Z271" s="44"/>
      <c r="AA271" s="45"/>
    </row>
    <row r="272" spans="2:34" ht="14.4" customHeight="1">
      <c r="B272" s="4">
        <v>268</v>
      </c>
      <c r="C272" s="5" t="s">
        <v>149</v>
      </c>
      <c r="D272" s="5" t="str">
        <f t="shared" si="120"/>
        <v xml:space="preserve"> 770</v>
      </c>
      <c r="E272" s="6" t="s">
        <v>149</v>
      </c>
      <c r="F272" s="7">
        <f t="shared" si="121"/>
        <v>0</v>
      </c>
      <c r="G272" s="11" t="s">
        <v>299</v>
      </c>
      <c r="H272" s="11" t="s">
        <v>60</v>
      </c>
      <c r="I272" s="11" t="s">
        <v>336</v>
      </c>
      <c r="J272" s="12">
        <v>30000</v>
      </c>
      <c r="K272" s="13">
        <f t="shared" si="123"/>
        <v>4900</v>
      </c>
      <c r="L272" s="7" t="s">
        <v>24</v>
      </c>
      <c r="M272" s="14">
        <f t="shared" si="117"/>
        <v>25100</v>
      </c>
      <c r="N272" s="14">
        <f t="shared" si="128"/>
        <v>4900</v>
      </c>
      <c r="O272" s="40">
        <f t="shared" si="127"/>
        <v>30000</v>
      </c>
      <c r="P272" s="107"/>
      <c r="Q272" s="3" t="s">
        <v>391</v>
      </c>
      <c r="R272" s="37">
        <v>3000</v>
      </c>
      <c r="S272" s="37">
        <f t="shared" si="129"/>
        <v>33000</v>
      </c>
      <c r="T272" s="37">
        <f t="shared" si="124"/>
        <v>47142.857142857145</v>
      </c>
      <c r="U272" s="41">
        <f t="shared" si="125"/>
        <v>53877.551020408166</v>
      </c>
      <c r="V272" s="42">
        <f t="shared" si="130"/>
        <v>0.125</v>
      </c>
      <c r="W272" s="41">
        <f t="shared" si="131"/>
        <v>53900</v>
      </c>
      <c r="X272" s="43">
        <f t="shared" si="126"/>
        <v>0.36363636363636365</v>
      </c>
      <c r="Y272" s="44"/>
      <c r="Z272" s="44"/>
      <c r="AA272" s="45"/>
      <c r="AB272" s="81">
        <f>AVERAGE(X272,X271,X270,X268,X267,X266,X264,X262,X261,X260,X259,X258,X256,X255,X254,X253,X252,X250,X249)</f>
        <v>0.32754132765330968</v>
      </c>
      <c r="AC272" s="82">
        <f>AVERAGE(T272,T271,T270,T268,T267,T266,T264,T262,T261,T260,T259,T258,T256,T255,T254,T253,T252,T250,T249)</f>
        <v>51981.203007518809</v>
      </c>
      <c r="AD272" s="87">
        <v>61952.38095238094</v>
      </c>
      <c r="AE272" s="88">
        <v>71761.904761904749</v>
      </c>
      <c r="AF272" s="86">
        <v>45900</v>
      </c>
      <c r="AG272" s="85">
        <v>38040</v>
      </c>
      <c r="AH272" s="85">
        <f>32828/0.7</f>
        <v>46897.142857142862</v>
      </c>
    </row>
    <row r="273" spans="2:27" ht="14.4" customHeight="1">
      <c r="B273" s="4">
        <v>269</v>
      </c>
      <c r="C273" s="39" t="s">
        <v>622</v>
      </c>
      <c r="D273" s="5" t="str">
        <f t="shared" si="120"/>
        <v xml:space="preserve"> 861</v>
      </c>
      <c r="E273" s="6" t="s">
        <v>622</v>
      </c>
      <c r="F273" s="7">
        <f t="shared" si="121"/>
        <v>0</v>
      </c>
      <c r="G273" s="8" t="s">
        <v>21</v>
      </c>
      <c r="H273" s="8" t="s">
        <v>623</v>
      </c>
      <c r="I273" s="8" t="s">
        <v>587</v>
      </c>
      <c r="J273" s="12"/>
      <c r="K273" s="13">
        <f t="shared" si="123"/>
        <v>0</v>
      </c>
      <c r="L273" s="7"/>
      <c r="M273" s="14">
        <f t="shared" si="117"/>
        <v>0</v>
      </c>
      <c r="N273" s="14"/>
      <c r="O273" s="40">
        <f t="shared" si="127"/>
        <v>0</v>
      </c>
      <c r="P273" s="107"/>
      <c r="Q273" s="3"/>
      <c r="R273" s="37"/>
      <c r="S273" s="37">
        <f t="shared" si="129"/>
        <v>0</v>
      </c>
      <c r="T273" s="37">
        <f t="shared" si="124"/>
        <v>0</v>
      </c>
      <c r="U273" s="41">
        <f t="shared" si="125"/>
        <v>0</v>
      </c>
      <c r="V273" s="42" t="e">
        <f t="shared" si="130"/>
        <v>#DIV/0!</v>
      </c>
      <c r="W273" s="41">
        <f t="shared" si="131"/>
        <v>0</v>
      </c>
      <c r="X273" s="43" t="e">
        <f t="shared" si="126"/>
        <v>#DIV/0!</v>
      </c>
      <c r="Y273" s="46">
        <v>69300</v>
      </c>
      <c r="Z273" s="47">
        <f>T273-Y273</f>
        <v>-69300</v>
      </c>
      <c r="AA273" s="48">
        <f>Z273/Y273</f>
        <v>-1</v>
      </c>
    </row>
    <row r="274" spans="2:27" ht="14.4" customHeight="1">
      <c r="B274" s="4">
        <v>270</v>
      </c>
      <c r="C274" s="39" t="s">
        <v>624</v>
      </c>
      <c r="D274" s="5" t="str">
        <f t="shared" si="120"/>
        <v xml:space="preserve"> 115</v>
      </c>
      <c r="E274" s="6" t="s">
        <v>624</v>
      </c>
      <c r="F274" s="7">
        <f t="shared" si="121"/>
        <v>0</v>
      </c>
      <c r="G274" s="8" t="s">
        <v>21</v>
      </c>
      <c r="H274" s="8" t="s">
        <v>623</v>
      </c>
      <c r="I274" s="8" t="s">
        <v>625</v>
      </c>
      <c r="J274" s="101">
        <v>48000</v>
      </c>
      <c r="K274" s="101">
        <f t="shared" si="123"/>
        <v>3650</v>
      </c>
      <c r="L274" s="115" t="s">
        <v>1439</v>
      </c>
      <c r="M274" s="98">
        <f>J274-N274</f>
        <v>44350</v>
      </c>
      <c r="N274" s="98">
        <f t="shared" ref="N274" si="132">2000+650+500+200+300</f>
        <v>3650</v>
      </c>
      <c r="O274" s="112">
        <f t="shared" si="127"/>
        <v>48000</v>
      </c>
      <c r="P274" s="106"/>
      <c r="Q274" s="99" t="s">
        <v>1416</v>
      </c>
      <c r="R274" s="37"/>
      <c r="S274" s="37">
        <f t="shared" si="129"/>
        <v>48000</v>
      </c>
      <c r="T274" s="37">
        <f t="shared" si="124"/>
        <v>68571.42857142858</v>
      </c>
      <c r="U274" s="41">
        <f t="shared" si="125"/>
        <v>78367.346938775518</v>
      </c>
      <c r="V274" s="42">
        <f t="shared" si="130"/>
        <v>0.12499999999999997</v>
      </c>
      <c r="W274" s="41">
        <f t="shared" si="131"/>
        <v>78400</v>
      </c>
      <c r="X274" s="43">
        <f t="shared" si="126"/>
        <v>0.3000000000000001</v>
      </c>
      <c r="Y274" s="46">
        <v>83300</v>
      </c>
      <c r="Z274" s="47">
        <f>T274-Y274</f>
        <v>-14728.57142857142</v>
      </c>
      <c r="AA274" s="48">
        <f>Z274/Y274</f>
        <v>-0.17681358257588739</v>
      </c>
    </row>
    <row r="275" spans="2:27" ht="14.4" customHeight="1">
      <c r="B275" s="4">
        <v>271</v>
      </c>
      <c r="C275" s="39" t="s">
        <v>1354</v>
      </c>
      <c r="D275" s="5" t="str">
        <f t="shared" si="120"/>
        <v xml:space="preserve"> 556</v>
      </c>
      <c r="E275" s="6" t="s">
        <v>1354</v>
      </c>
      <c r="F275" s="7">
        <f t="shared" si="121"/>
        <v>0</v>
      </c>
      <c r="G275" s="8" t="s">
        <v>299</v>
      </c>
      <c r="H275" s="8" t="s">
        <v>324</v>
      </c>
      <c r="I275" s="8" t="s">
        <v>627</v>
      </c>
      <c r="J275" s="12"/>
      <c r="K275" s="13">
        <f t="shared" si="123"/>
        <v>0</v>
      </c>
      <c r="L275" s="7"/>
      <c r="M275" s="14">
        <f t="shared" si="117"/>
        <v>0</v>
      </c>
      <c r="N275" s="14"/>
      <c r="O275" s="40">
        <f t="shared" si="127"/>
        <v>0</v>
      </c>
      <c r="P275" s="107"/>
      <c r="Q275" s="3"/>
      <c r="R275" s="37"/>
      <c r="S275" s="37">
        <f t="shared" si="129"/>
        <v>0</v>
      </c>
      <c r="T275" s="37">
        <f t="shared" si="124"/>
        <v>0</v>
      </c>
      <c r="U275" s="41">
        <f t="shared" si="125"/>
        <v>0</v>
      </c>
      <c r="V275" s="42" t="e">
        <f t="shared" si="130"/>
        <v>#DIV/0!</v>
      </c>
      <c r="W275" s="41">
        <f t="shared" si="131"/>
        <v>0</v>
      </c>
      <c r="X275" s="43" t="e">
        <f t="shared" si="126"/>
        <v>#DIV/0!</v>
      </c>
      <c r="Y275" s="44"/>
      <c r="Z275" s="44"/>
      <c r="AA275" s="45"/>
    </row>
    <row r="276" spans="2:27" ht="14.4" customHeight="1">
      <c r="B276" s="4">
        <v>272</v>
      </c>
      <c r="C276" s="39" t="s">
        <v>628</v>
      </c>
      <c r="D276" s="5" t="str">
        <f t="shared" si="120"/>
        <v xml:space="preserve"> 337</v>
      </c>
      <c r="E276" s="6" t="s">
        <v>628</v>
      </c>
      <c r="F276" s="7">
        <f t="shared" si="121"/>
        <v>0</v>
      </c>
      <c r="G276" s="8" t="s">
        <v>299</v>
      </c>
      <c r="H276" s="8" t="s">
        <v>623</v>
      </c>
      <c r="I276" s="8" t="s">
        <v>627</v>
      </c>
      <c r="J276" s="12"/>
      <c r="K276" s="13">
        <f t="shared" si="123"/>
        <v>0</v>
      </c>
      <c r="L276" s="7"/>
      <c r="M276" s="14">
        <f t="shared" si="117"/>
        <v>0</v>
      </c>
      <c r="N276" s="14"/>
      <c r="O276" s="40">
        <f t="shared" si="127"/>
        <v>0</v>
      </c>
      <c r="P276" s="107"/>
      <c r="Q276" s="3"/>
      <c r="R276" s="37"/>
      <c r="S276" s="37">
        <f t="shared" si="129"/>
        <v>0</v>
      </c>
      <c r="T276" s="37">
        <f t="shared" si="124"/>
        <v>0</v>
      </c>
      <c r="U276" s="41">
        <f t="shared" si="125"/>
        <v>0</v>
      </c>
      <c r="V276" s="42" t="e">
        <f t="shared" si="130"/>
        <v>#DIV/0!</v>
      </c>
      <c r="W276" s="41">
        <f t="shared" si="131"/>
        <v>0</v>
      </c>
      <c r="X276" s="43" t="e">
        <f t="shared" si="126"/>
        <v>#DIV/0!</v>
      </c>
      <c r="Y276" s="44"/>
      <c r="Z276" s="44"/>
      <c r="AA276" s="45"/>
    </row>
    <row r="277" spans="2:27" ht="14.4" customHeight="1">
      <c r="B277" s="4">
        <v>273</v>
      </c>
      <c r="C277" s="39" t="s">
        <v>629</v>
      </c>
      <c r="D277" s="5" t="str">
        <f t="shared" si="120"/>
        <v xml:space="preserve"> 218</v>
      </c>
      <c r="E277" s="6" t="s">
        <v>629</v>
      </c>
      <c r="F277" s="7">
        <f t="shared" si="121"/>
        <v>0</v>
      </c>
      <c r="G277" s="8" t="s">
        <v>299</v>
      </c>
      <c r="H277" s="8" t="s">
        <v>623</v>
      </c>
      <c r="I277" s="8" t="s">
        <v>627</v>
      </c>
      <c r="J277" s="12"/>
      <c r="K277" s="13">
        <f t="shared" si="123"/>
        <v>0</v>
      </c>
      <c r="L277" s="7"/>
      <c r="M277" s="14">
        <f t="shared" si="117"/>
        <v>0</v>
      </c>
      <c r="N277" s="14"/>
      <c r="O277" s="40">
        <f t="shared" si="127"/>
        <v>0</v>
      </c>
      <c r="P277" s="107"/>
      <c r="Q277" s="3"/>
      <c r="R277" s="37"/>
      <c r="S277" s="37">
        <f t="shared" si="129"/>
        <v>0</v>
      </c>
      <c r="T277" s="37">
        <f t="shared" si="124"/>
        <v>0</v>
      </c>
      <c r="U277" s="41">
        <f t="shared" si="125"/>
        <v>0</v>
      </c>
      <c r="V277" s="42" t="e">
        <f t="shared" si="130"/>
        <v>#DIV/0!</v>
      </c>
      <c r="W277" s="41">
        <f t="shared" si="131"/>
        <v>0</v>
      </c>
      <c r="X277" s="43" t="e">
        <f t="shared" si="126"/>
        <v>#DIV/0!</v>
      </c>
      <c r="Y277" s="44"/>
      <c r="Z277" s="44"/>
      <c r="AA277" s="45"/>
    </row>
    <row r="278" spans="2:27" ht="14.4" customHeight="1">
      <c r="B278" s="4">
        <v>274</v>
      </c>
      <c r="C278" s="39" t="s">
        <v>630</v>
      </c>
      <c r="D278" s="5" t="str">
        <f t="shared" si="120"/>
        <v xml:space="preserve"> 278</v>
      </c>
      <c r="E278" s="6" t="s">
        <v>630</v>
      </c>
      <c r="F278" s="7">
        <f t="shared" si="121"/>
        <v>0</v>
      </c>
      <c r="G278" s="8" t="s">
        <v>299</v>
      </c>
      <c r="H278" s="8" t="s">
        <v>623</v>
      </c>
      <c r="I278" s="8" t="s">
        <v>627</v>
      </c>
      <c r="J278" s="12"/>
      <c r="K278" s="13">
        <f t="shared" si="123"/>
        <v>0</v>
      </c>
      <c r="L278" s="7"/>
      <c r="M278" s="14">
        <f t="shared" si="117"/>
        <v>0</v>
      </c>
      <c r="N278" s="14"/>
      <c r="O278" s="40">
        <f t="shared" si="127"/>
        <v>0</v>
      </c>
      <c r="P278" s="107"/>
      <c r="Q278" s="3"/>
      <c r="R278" s="37"/>
      <c r="S278" s="37">
        <f t="shared" si="129"/>
        <v>0</v>
      </c>
      <c r="T278" s="37">
        <f t="shared" si="124"/>
        <v>0</v>
      </c>
      <c r="U278" s="41">
        <f t="shared" si="125"/>
        <v>0</v>
      </c>
      <c r="V278" s="42" t="e">
        <f t="shared" si="130"/>
        <v>#DIV/0!</v>
      </c>
      <c r="W278" s="41">
        <f t="shared" si="131"/>
        <v>0</v>
      </c>
      <c r="X278" s="43" t="e">
        <f t="shared" si="126"/>
        <v>#DIV/0!</v>
      </c>
      <c r="Y278" s="44"/>
      <c r="Z278" s="44"/>
      <c r="AA278" s="45"/>
    </row>
    <row r="279" spans="2:27" ht="14.4" customHeight="1">
      <c r="B279" s="4">
        <v>275</v>
      </c>
      <c r="C279" s="39" t="s">
        <v>631</v>
      </c>
      <c r="D279" s="5" t="str">
        <f t="shared" si="120"/>
        <v xml:space="preserve"> 901</v>
      </c>
      <c r="E279" s="6" t="s">
        <v>631</v>
      </c>
      <c r="F279" s="7">
        <f t="shared" si="121"/>
        <v>0</v>
      </c>
      <c r="G279" s="8" t="s">
        <v>299</v>
      </c>
      <c r="H279" s="8" t="s">
        <v>324</v>
      </c>
      <c r="I279" s="8" t="s">
        <v>627</v>
      </c>
      <c r="J279" s="12"/>
      <c r="K279" s="13">
        <f t="shared" si="123"/>
        <v>0</v>
      </c>
      <c r="L279" s="7"/>
      <c r="M279" s="14">
        <f t="shared" si="117"/>
        <v>0</v>
      </c>
      <c r="N279" s="14"/>
      <c r="O279" s="40">
        <f t="shared" si="127"/>
        <v>0</v>
      </c>
      <c r="P279" s="107"/>
      <c r="Q279" s="3"/>
      <c r="R279" s="37"/>
      <c r="S279" s="37">
        <f t="shared" si="129"/>
        <v>0</v>
      </c>
      <c r="T279" s="37">
        <f t="shared" si="124"/>
        <v>0</v>
      </c>
      <c r="U279" s="41">
        <f t="shared" si="125"/>
        <v>0</v>
      </c>
      <c r="V279" s="42" t="e">
        <f t="shared" si="130"/>
        <v>#DIV/0!</v>
      </c>
      <c r="W279" s="41">
        <f t="shared" si="131"/>
        <v>0</v>
      </c>
      <c r="X279" s="43" t="e">
        <f t="shared" si="126"/>
        <v>#DIV/0!</v>
      </c>
      <c r="Y279" s="44"/>
      <c r="Z279" s="44"/>
      <c r="AA279" s="45"/>
    </row>
    <row r="280" spans="2:27" ht="14.4" customHeight="1">
      <c r="B280" s="4">
        <v>276</v>
      </c>
      <c r="C280" s="39" t="s">
        <v>632</v>
      </c>
      <c r="D280" s="5" t="str">
        <f t="shared" si="120"/>
        <v xml:space="preserve"> 733</v>
      </c>
      <c r="E280" s="6" t="s">
        <v>632</v>
      </c>
      <c r="F280" s="7">
        <f t="shared" si="121"/>
        <v>0</v>
      </c>
      <c r="G280" s="8" t="s">
        <v>21</v>
      </c>
      <c r="H280" s="8" t="s">
        <v>623</v>
      </c>
      <c r="I280" s="8" t="s">
        <v>633</v>
      </c>
      <c r="J280" s="101">
        <v>47000</v>
      </c>
      <c r="K280" s="101">
        <f t="shared" si="123"/>
        <v>0</v>
      </c>
      <c r="L280" s="99" t="s">
        <v>23</v>
      </c>
      <c r="M280" s="97">
        <f t="shared" ref="M280" si="133">J280</f>
        <v>47000</v>
      </c>
      <c r="N280" s="98">
        <f>2000+650+500+200+300</f>
        <v>3650</v>
      </c>
      <c r="O280" s="112">
        <f t="shared" si="127"/>
        <v>50650</v>
      </c>
      <c r="P280" s="106"/>
      <c r="Q280" s="99" t="s">
        <v>1416</v>
      </c>
      <c r="R280" s="37"/>
      <c r="S280" s="37">
        <f t="shared" si="129"/>
        <v>50650</v>
      </c>
      <c r="T280" s="37">
        <f t="shared" si="124"/>
        <v>72357.142857142855</v>
      </c>
      <c r="U280" s="41">
        <f t="shared" si="125"/>
        <v>82693.8775510204</v>
      </c>
      <c r="V280" s="42">
        <f t="shared" si="130"/>
        <v>0.12499999999999993</v>
      </c>
      <c r="W280" s="41">
        <f t="shared" si="131"/>
        <v>82700</v>
      </c>
      <c r="X280" s="43">
        <f t="shared" si="126"/>
        <v>0.3</v>
      </c>
      <c r="Y280" s="46">
        <v>76650</v>
      </c>
      <c r="Z280" s="47">
        <f>T280-Y280</f>
        <v>-4292.8571428571449</v>
      </c>
      <c r="AA280" s="48">
        <f>Z280/Y280</f>
        <v>-5.6005964029447422E-2</v>
      </c>
    </row>
    <row r="281" spans="2:27" ht="14.4" customHeight="1">
      <c r="B281" s="4">
        <v>277</v>
      </c>
      <c r="C281" s="39" t="s">
        <v>634</v>
      </c>
      <c r="D281" s="5" t="str">
        <f t="shared" si="120"/>
        <v xml:space="preserve"> 821</v>
      </c>
      <c r="E281" s="6" t="s">
        <v>634</v>
      </c>
      <c r="F281" s="7">
        <f t="shared" si="121"/>
        <v>0</v>
      </c>
      <c r="G281" s="8" t="s">
        <v>299</v>
      </c>
      <c r="H281" s="8" t="s">
        <v>324</v>
      </c>
      <c r="I281" s="8" t="s">
        <v>361</v>
      </c>
      <c r="J281" s="12"/>
      <c r="K281" s="13">
        <f t="shared" si="123"/>
        <v>0</v>
      </c>
      <c r="L281" s="7"/>
      <c r="M281" s="14">
        <f t="shared" si="117"/>
        <v>0</v>
      </c>
      <c r="N281" s="14"/>
      <c r="O281" s="40">
        <f t="shared" si="127"/>
        <v>0</v>
      </c>
      <c r="P281" s="107"/>
      <c r="Q281" s="3"/>
      <c r="R281" s="37"/>
      <c r="S281" s="37">
        <f t="shared" si="129"/>
        <v>0</v>
      </c>
      <c r="T281" s="37">
        <f t="shared" si="124"/>
        <v>0</v>
      </c>
      <c r="U281" s="41">
        <f t="shared" si="125"/>
        <v>0</v>
      </c>
      <c r="V281" s="42" t="e">
        <f t="shared" si="130"/>
        <v>#DIV/0!</v>
      </c>
      <c r="W281" s="41">
        <f t="shared" si="131"/>
        <v>0</v>
      </c>
      <c r="X281" s="43" t="e">
        <f t="shared" si="126"/>
        <v>#DIV/0!</v>
      </c>
      <c r="Y281" s="44"/>
      <c r="Z281" s="44"/>
      <c r="AA281" s="45"/>
    </row>
    <row r="282" spans="2:27" ht="14.4" customHeight="1">
      <c r="B282" s="4">
        <v>278</v>
      </c>
      <c r="C282" s="5" t="s">
        <v>251</v>
      </c>
      <c r="D282" s="5" t="str">
        <f t="shared" si="120"/>
        <v xml:space="preserve"> 447</v>
      </c>
      <c r="E282" s="6" t="s">
        <v>251</v>
      </c>
      <c r="F282" s="7">
        <f t="shared" si="121"/>
        <v>0</v>
      </c>
      <c r="G282" s="11" t="s">
        <v>299</v>
      </c>
      <c r="H282" s="11" t="s">
        <v>324</v>
      </c>
      <c r="I282" s="11" t="s">
        <v>361</v>
      </c>
      <c r="J282" s="12">
        <f>M282</f>
        <v>59000</v>
      </c>
      <c r="K282" s="13">
        <f t="shared" si="123"/>
        <v>0</v>
      </c>
      <c r="L282" s="17" t="s">
        <v>23</v>
      </c>
      <c r="M282" s="18">
        <v>59000</v>
      </c>
      <c r="N282" s="15">
        <f>2000+200+350+600+300+800</f>
        <v>4250</v>
      </c>
      <c r="O282" s="40">
        <f t="shared" si="127"/>
        <v>63250</v>
      </c>
      <c r="P282" s="106"/>
      <c r="Q282" s="3" t="s">
        <v>444</v>
      </c>
      <c r="R282" s="37"/>
      <c r="S282" s="37">
        <f t="shared" si="129"/>
        <v>63250</v>
      </c>
      <c r="T282" s="37">
        <f t="shared" si="124"/>
        <v>90357.14285714287</v>
      </c>
      <c r="U282" s="41">
        <f t="shared" si="125"/>
        <v>103265.30612244899</v>
      </c>
      <c r="V282" s="42">
        <f t="shared" si="130"/>
        <v>0.125</v>
      </c>
      <c r="W282" s="41">
        <f t="shared" si="131"/>
        <v>103300</v>
      </c>
      <c r="X282" s="43">
        <f t="shared" si="126"/>
        <v>0.3000000000000001</v>
      </c>
      <c r="Y282" s="44"/>
      <c r="Z282" s="44"/>
      <c r="AA282" s="44"/>
    </row>
    <row r="283" spans="2:27" ht="14.4" customHeight="1">
      <c r="B283" s="4">
        <v>279</v>
      </c>
      <c r="C283" s="39" t="s">
        <v>635</v>
      </c>
      <c r="D283" s="5" t="str">
        <f t="shared" si="120"/>
        <v xml:space="preserve"> 886</v>
      </c>
      <c r="E283" s="6" t="s">
        <v>635</v>
      </c>
      <c r="F283" s="7">
        <f t="shared" si="121"/>
        <v>0</v>
      </c>
      <c r="G283" s="8" t="s">
        <v>21</v>
      </c>
      <c r="H283" s="8" t="s">
        <v>324</v>
      </c>
      <c r="I283" s="8" t="s">
        <v>636</v>
      </c>
      <c r="J283" s="101">
        <v>55000</v>
      </c>
      <c r="K283" s="101">
        <f t="shared" si="123"/>
        <v>0</v>
      </c>
      <c r="L283" s="116" t="s">
        <v>1438</v>
      </c>
      <c r="M283" s="97">
        <f t="shared" ref="M283" si="134">J283</f>
        <v>55000</v>
      </c>
      <c r="N283" s="98">
        <f>2000+650+500+200+300+500</f>
        <v>4150</v>
      </c>
      <c r="O283" s="112">
        <f t="shared" si="127"/>
        <v>59150</v>
      </c>
      <c r="P283" s="106"/>
      <c r="Q283" s="99" t="s">
        <v>1424</v>
      </c>
      <c r="R283" s="37"/>
      <c r="S283" s="37">
        <f t="shared" si="129"/>
        <v>59150</v>
      </c>
      <c r="T283" s="37">
        <f t="shared" si="124"/>
        <v>84500</v>
      </c>
      <c r="U283" s="41">
        <f t="shared" si="125"/>
        <v>96571.428571428565</v>
      </c>
      <c r="V283" s="42">
        <f t="shared" si="130"/>
        <v>0.12499999999999994</v>
      </c>
      <c r="W283" s="41">
        <f t="shared" si="131"/>
        <v>96600</v>
      </c>
      <c r="X283" s="43">
        <f t="shared" si="126"/>
        <v>0.3</v>
      </c>
      <c r="Y283" s="46">
        <v>87413</v>
      </c>
      <c r="Z283" s="47">
        <f>T283-Y283</f>
        <v>-2913</v>
      </c>
      <c r="AA283" s="48">
        <f>Z283/Y283</f>
        <v>-3.3324562708064019E-2</v>
      </c>
    </row>
    <row r="284" spans="2:27" ht="14.4" customHeight="1">
      <c r="B284" s="4">
        <v>280</v>
      </c>
      <c r="C284" s="5" t="s">
        <v>250</v>
      </c>
      <c r="D284" s="5" t="str">
        <f t="shared" si="120"/>
        <v xml:space="preserve"> 757</v>
      </c>
      <c r="E284" s="6" t="s">
        <v>250</v>
      </c>
      <c r="F284" s="7">
        <f t="shared" si="121"/>
        <v>0</v>
      </c>
      <c r="G284" s="11" t="s">
        <v>299</v>
      </c>
      <c r="H284" s="11" t="s">
        <v>324</v>
      </c>
      <c r="I284" s="11" t="s">
        <v>361</v>
      </c>
      <c r="J284" s="12">
        <f>M284</f>
        <v>59000</v>
      </c>
      <c r="K284" s="13">
        <f t="shared" si="123"/>
        <v>0</v>
      </c>
      <c r="L284" s="17" t="s">
        <v>23</v>
      </c>
      <c r="M284" s="18">
        <v>59000</v>
      </c>
      <c r="N284" s="15">
        <f>2000+200+350+600+300+800</f>
        <v>4250</v>
      </c>
      <c r="O284" s="40">
        <f t="shared" si="127"/>
        <v>63250</v>
      </c>
      <c r="P284" s="106"/>
      <c r="Q284" s="3" t="s">
        <v>443</v>
      </c>
      <c r="R284" s="37"/>
      <c r="S284" s="37">
        <f t="shared" si="129"/>
        <v>63250</v>
      </c>
      <c r="T284" s="37">
        <f t="shared" si="124"/>
        <v>90357.14285714287</v>
      </c>
      <c r="U284" s="41">
        <f t="shared" si="125"/>
        <v>103265.30612244899</v>
      </c>
      <c r="V284" s="42">
        <f t="shared" si="130"/>
        <v>0.125</v>
      </c>
      <c r="W284" s="41">
        <f t="shared" si="131"/>
        <v>103300</v>
      </c>
      <c r="X284" s="43">
        <f t="shared" si="126"/>
        <v>0.3000000000000001</v>
      </c>
      <c r="Y284" s="44"/>
      <c r="Z284" s="44"/>
      <c r="AA284" s="45"/>
    </row>
    <row r="285" spans="2:27" ht="14.4" customHeight="1">
      <c r="B285" s="4">
        <v>281</v>
      </c>
      <c r="C285" s="39" t="s">
        <v>637</v>
      </c>
      <c r="D285" s="5" t="str">
        <f t="shared" si="120"/>
        <v xml:space="preserve"> 991</v>
      </c>
      <c r="E285" s="6" t="s">
        <v>637</v>
      </c>
      <c r="F285" s="7">
        <f t="shared" si="121"/>
        <v>0</v>
      </c>
      <c r="G285" s="8" t="s">
        <v>21</v>
      </c>
      <c r="H285" s="8" t="s">
        <v>324</v>
      </c>
      <c r="I285" s="8" t="s">
        <v>638</v>
      </c>
      <c r="J285" s="101">
        <v>54000</v>
      </c>
      <c r="K285" s="101">
        <f t="shared" si="123"/>
        <v>0</v>
      </c>
      <c r="L285" s="116" t="s">
        <v>1438</v>
      </c>
      <c r="M285" s="97">
        <f>J285</f>
        <v>54000</v>
      </c>
      <c r="N285" s="98">
        <f t="shared" ref="N285" si="135">2000+650+500+200+300</f>
        <v>3650</v>
      </c>
      <c r="O285" s="112">
        <f t="shared" si="127"/>
        <v>57650</v>
      </c>
      <c r="P285" s="106"/>
      <c r="Q285" s="99" t="s">
        <v>1416</v>
      </c>
      <c r="R285" s="37"/>
      <c r="S285" s="37">
        <f t="shared" si="129"/>
        <v>57650</v>
      </c>
      <c r="T285" s="37">
        <f t="shared" si="124"/>
        <v>82357.14285714287</v>
      </c>
      <c r="U285" s="41">
        <f t="shared" si="125"/>
        <v>94122.448979591849</v>
      </c>
      <c r="V285" s="42">
        <f t="shared" si="130"/>
        <v>0.12499999999999999</v>
      </c>
      <c r="W285" s="41">
        <f t="shared" si="131"/>
        <v>94200</v>
      </c>
      <c r="X285" s="43">
        <f t="shared" si="126"/>
        <v>0.3000000000000001</v>
      </c>
      <c r="Y285" s="46">
        <v>85225</v>
      </c>
      <c r="Z285" s="47">
        <f>T285-Y285</f>
        <v>-2867.8571428571304</v>
      </c>
      <c r="AA285" s="48">
        <f>Z285/Y285</f>
        <v>-3.365042115408777E-2</v>
      </c>
    </row>
    <row r="286" spans="2:27" ht="14.4" customHeight="1">
      <c r="B286" s="4">
        <v>282</v>
      </c>
      <c r="C286" s="39" t="s">
        <v>639</v>
      </c>
      <c r="D286" s="5" t="str">
        <f t="shared" si="120"/>
        <v xml:space="preserve"> 150</v>
      </c>
      <c r="E286" s="6" t="s">
        <v>639</v>
      </c>
      <c r="F286" s="7">
        <f t="shared" si="121"/>
        <v>0</v>
      </c>
      <c r="G286" s="8" t="s">
        <v>299</v>
      </c>
      <c r="H286" s="8" t="s">
        <v>324</v>
      </c>
      <c r="I286" s="8" t="s">
        <v>515</v>
      </c>
      <c r="J286" s="12"/>
      <c r="K286" s="13">
        <f t="shared" si="123"/>
        <v>0</v>
      </c>
      <c r="L286" s="7"/>
      <c r="M286" s="14">
        <f t="shared" si="117"/>
        <v>0</v>
      </c>
      <c r="N286" s="15"/>
      <c r="O286" s="40">
        <f t="shared" si="127"/>
        <v>0</v>
      </c>
      <c r="P286" s="106"/>
      <c r="Q286" s="3"/>
      <c r="R286" s="37"/>
      <c r="S286" s="37">
        <f t="shared" si="129"/>
        <v>0</v>
      </c>
      <c r="T286" s="37">
        <f t="shared" si="124"/>
        <v>0</v>
      </c>
      <c r="U286" s="41">
        <f t="shared" si="125"/>
        <v>0</v>
      </c>
      <c r="V286" s="42" t="e">
        <f t="shared" si="130"/>
        <v>#DIV/0!</v>
      </c>
      <c r="W286" s="41">
        <f t="shared" si="131"/>
        <v>0</v>
      </c>
      <c r="X286" s="43" t="e">
        <f t="shared" si="126"/>
        <v>#DIV/0!</v>
      </c>
      <c r="Y286" s="44"/>
      <c r="Z286" s="44"/>
      <c r="AA286" s="45"/>
    </row>
    <row r="287" spans="2:27" ht="14.4" customHeight="1">
      <c r="B287" s="4">
        <v>283</v>
      </c>
      <c r="C287" s="39" t="s">
        <v>640</v>
      </c>
      <c r="D287" s="5" t="str">
        <f t="shared" si="120"/>
        <v xml:space="preserve"> 684</v>
      </c>
      <c r="E287" s="6" t="s">
        <v>640</v>
      </c>
      <c r="F287" s="7">
        <f t="shared" si="121"/>
        <v>0</v>
      </c>
      <c r="G287" s="8" t="s">
        <v>299</v>
      </c>
      <c r="H287" s="8" t="s">
        <v>324</v>
      </c>
      <c r="I287" s="8" t="s">
        <v>627</v>
      </c>
      <c r="J287" s="12"/>
      <c r="K287" s="13">
        <f t="shared" si="123"/>
        <v>0</v>
      </c>
      <c r="L287" s="7"/>
      <c r="M287" s="14">
        <f t="shared" si="117"/>
        <v>0</v>
      </c>
      <c r="N287" s="15"/>
      <c r="O287" s="40">
        <f t="shared" si="127"/>
        <v>0</v>
      </c>
      <c r="P287" s="106"/>
      <c r="Q287" s="3"/>
      <c r="R287" s="37"/>
      <c r="S287" s="37">
        <f t="shared" si="129"/>
        <v>0</v>
      </c>
      <c r="T287" s="37">
        <f t="shared" si="124"/>
        <v>0</v>
      </c>
      <c r="U287" s="41">
        <f t="shared" si="125"/>
        <v>0</v>
      </c>
      <c r="V287" s="42" t="e">
        <f t="shared" si="130"/>
        <v>#DIV/0!</v>
      </c>
      <c r="W287" s="41">
        <f t="shared" si="131"/>
        <v>0</v>
      </c>
      <c r="X287" s="43" t="e">
        <f t="shared" si="126"/>
        <v>#DIV/0!</v>
      </c>
      <c r="Y287" s="44"/>
      <c r="Z287" s="44"/>
      <c r="AA287" s="45"/>
    </row>
    <row r="288" spans="2:27" ht="14.4" customHeight="1">
      <c r="B288" s="4">
        <v>284</v>
      </c>
      <c r="C288" s="5" t="s">
        <v>272</v>
      </c>
      <c r="D288" s="5" t="str">
        <f t="shared" si="120"/>
        <v xml:space="preserve"> 266</v>
      </c>
      <c r="E288" s="6" t="s">
        <v>272</v>
      </c>
      <c r="F288" s="7">
        <f t="shared" si="121"/>
        <v>0</v>
      </c>
      <c r="G288" s="11" t="s">
        <v>299</v>
      </c>
      <c r="H288" s="11" t="s">
        <v>315</v>
      </c>
      <c r="I288" s="11" t="s">
        <v>366</v>
      </c>
      <c r="J288" s="12">
        <v>70000</v>
      </c>
      <c r="K288" s="13">
        <f t="shared" si="123"/>
        <v>4200</v>
      </c>
      <c r="L288" s="7" t="s">
        <v>24</v>
      </c>
      <c r="M288" s="14">
        <f t="shared" si="117"/>
        <v>65800</v>
      </c>
      <c r="N288" s="15">
        <f>2000+200+350+600+300+750</f>
        <v>4200</v>
      </c>
      <c r="O288" s="40">
        <f t="shared" si="127"/>
        <v>70000</v>
      </c>
      <c r="P288" s="107"/>
      <c r="Q288" s="3" t="s">
        <v>459</v>
      </c>
      <c r="R288" s="37"/>
      <c r="S288" s="37">
        <f t="shared" si="129"/>
        <v>70000</v>
      </c>
      <c r="T288" s="37">
        <f t="shared" si="124"/>
        <v>100000</v>
      </c>
      <c r="U288" s="41">
        <f t="shared" si="125"/>
        <v>114285.71428571429</v>
      </c>
      <c r="V288" s="42">
        <f t="shared" si="130"/>
        <v>0.12500000000000003</v>
      </c>
      <c r="W288" s="41">
        <f t="shared" si="131"/>
        <v>114300</v>
      </c>
      <c r="X288" s="43">
        <f t="shared" si="126"/>
        <v>0.3</v>
      </c>
      <c r="Y288" s="44"/>
      <c r="Z288" s="44"/>
      <c r="AA288" s="44"/>
    </row>
    <row r="289" spans="2:27" ht="14.4" customHeight="1">
      <c r="B289" s="4">
        <v>285</v>
      </c>
      <c r="C289" s="39" t="s">
        <v>641</v>
      </c>
      <c r="D289" s="5" t="str">
        <f t="shared" si="120"/>
        <v xml:space="preserve"> 779</v>
      </c>
      <c r="E289" s="6" t="s">
        <v>641</v>
      </c>
      <c r="F289" s="7">
        <f t="shared" si="121"/>
        <v>0</v>
      </c>
      <c r="G289" s="8" t="s">
        <v>21</v>
      </c>
      <c r="H289" s="8" t="s">
        <v>315</v>
      </c>
      <c r="I289" s="8" t="s">
        <v>496</v>
      </c>
      <c r="J289" s="12"/>
      <c r="K289" s="13">
        <f t="shared" si="123"/>
        <v>0</v>
      </c>
      <c r="L289" s="7"/>
      <c r="M289" s="14">
        <f t="shared" si="117"/>
        <v>0</v>
      </c>
      <c r="N289" s="15"/>
      <c r="O289" s="40">
        <f t="shared" si="127"/>
        <v>0</v>
      </c>
      <c r="P289" s="107"/>
      <c r="Q289" s="3"/>
      <c r="R289" s="37"/>
      <c r="S289" s="37">
        <f t="shared" si="129"/>
        <v>0</v>
      </c>
      <c r="T289" s="37">
        <f t="shared" si="124"/>
        <v>0</v>
      </c>
      <c r="U289" s="41">
        <f t="shared" si="125"/>
        <v>0</v>
      </c>
      <c r="V289" s="42" t="e">
        <f t="shared" si="130"/>
        <v>#DIV/0!</v>
      </c>
      <c r="W289" s="41">
        <f t="shared" si="131"/>
        <v>0</v>
      </c>
      <c r="X289" s="43" t="e">
        <f t="shared" si="126"/>
        <v>#DIV/0!</v>
      </c>
      <c r="Y289" s="46">
        <v>118650</v>
      </c>
      <c r="Z289" s="47">
        <f>T289-Y289</f>
        <v>-118650</v>
      </c>
      <c r="AA289" s="48">
        <f>Z289/Y289</f>
        <v>-1</v>
      </c>
    </row>
    <row r="290" spans="2:27" ht="14.4" customHeight="1">
      <c r="B290" s="4">
        <v>286</v>
      </c>
      <c r="C290" s="5" t="s">
        <v>270</v>
      </c>
      <c r="D290" s="5" t="str">
        <f t="shared" si="120"/>
        <v xml:space="preserve"> 633</v>
      </c>
      <c r="E290" s="6" t="s">
        <v>270</v>
      </c>
      <c r="F290" s="7">
        <f t="shared" si="121"/>
        <v>0</v>
      </c>
      <c r="G290" s="11" t="s">
        <v>299</v>
      </c>
      <c r="H290" s="11" t="s">
        <v>315</v>
      </c>
      <c r="I290" s="11" t="s">
        <v>366</v>
      </c>
      <c r="J290" s="12">
        <v>70000</v>
      </c>
      <c r="K290" s="13">
        <f t="shared" si="123"/>
        <v>4200</v>
      </c>
      <c r="L290" s="7" t="s">
        <v>24</v>
      </c>
      <c r="M290" s="14">
        <f t="shared" si="117"/>
        <v>65800</v>
      </c>
      <c r="N290" s="15">
        <f>2000+200+350+600+300+750</f>
        <v>4200</v>
      </c>
      <c r="O290" s="40">
        <f t="shared" si="127"/>
        <v>70000</v>
      </c>
      <c r="P290" s="106"/>
      <c r="Q290" s="3" t="s">
        <v>457</v>
      </c>
      <c r="R290" s="37"/>
      <c r="S290" s="37">
        <f t="shared" si="129"/>
        <v>70000</v>
      </c>
      <c r="T290" s="37">
        <f t="shared" si="124"/>
        <v>100000</v>
      </c>
      <c r="U290" s="41">
        <f t="shared" si="125"/>
        <v>114285.71428571429</v>
      </c>
      <c r="V290" s="42">
        <f t="shared" si="130"/>
        <v>0.12500000000000003</v>
      </c>
      <c r="W290" s="41">
        <f t="shared" si="131"/>
        <v>114300</v>
      </c>
      <c r="X290" s="43">
        <f t="shared" si="126"/>
        <v>0.3</v>
      </c>
      <c r="Y290" s="44"/>
      <c r="Z290" s="44"/>
      <c r="AA290" s="44"/>
    </row>
    <row r="291" spans="2:27" ht="14.4" customHeight="1">
      <c r="B291" s="4">
        <v>287</v>
      </c>
      <c r="C291" s="39" t="s">
        <v>642</v>
      </c>
      <c r="D291" s="5" t="str">
        <f t="shared" si="120"/>
        <v xml:space="preserve"> 298</v>
      </c>
      <c r="E291" s="6" t="s">
        <v>642</v>
      </c>
      <c r="F291" s="7">
        <f t="shared" si="121"/>
        <v>0</v>
      </c>
      <c r="G291" s="8" t="s">
        <v>21</v>
      </c>
      <c r="H291" s="8" t="s">
        <v>315</v>
      </c>
      <c r="I291" s="8" t="s">
        <v>515</v>
      </c>
      <c r="J291" s="12"/>
      <c r="K291" s="13">
        <f t="shared" si="123"/>
        <v>0</v>
      </c>
      <c r="L291" s="7"/>
      <c r="M291" s="14">
        <f t="shared" si="117"/>
        <v>0</v>
      </c>
      <c r="N291" s="15"/>
      <c r="O291" s="40">
        <f t="shared" si="127"/>
        <v>0</v>
      </c>
      <c r="P291" s="106"/>
      <c r="Q291" s="3"/>
      <c r="R291" s="37"/>
      <c r="S291" s="37">
        <f t="shared" si="129"/>
        <v>0</v>
      </c>
      <c r="T291" s="37">
        <f t="shared" si="124"/>
        <v>0</v>
      </c>
      <c r="U291" s="41">
        <f t="shared" si="125"/>
        <v>0</v>
      </c>
      <c r="V291" s="42" t="e">
        <f t="shared" si="130"/>
        <v>#DIV/0!</v>
      </c>
      <c r="W291" s="41">
        <f t="shared" si="131"/>
        <v>0</v>
      </c>
      <c r="X291" s="43" t="e">
        <f t="shared" si="126"/>
        <v>#DIV/0!</v>
      </c>
      <c r="Y291" s="46">
        <v>101500</v>
      </c>
      <c r="Z291" s="47">
        <f>T291-Y291</f>
        <v>-101500</v>
      </c>
      <c r="AA291" s="48">
        <f>Z291/Y291</f>
        <v>-1</v>
      </c>
    </row>
    <row r="292" spans="2:27" ht="14.4" customHeight="1">
      <c r="B292" s="4">
        <v>288</v>
      </c>
      <c r="C292" s="5" t="s">
        <v>234</v>
      </c>
      <c r="D292" s="5" t="str">
        <f t="shared" si="120"/>
        <v xml:space="preserve"> 299</v>
      </c>
      <c r="E292" s="6" t="s">
        <v>234</v>
      </c>
      <c r="F292" s="7">
        <f t="shared" si="121"/>
        <v>0</v>
      </c>
      <c r="G292" s="11" t="s">
        <v>299</v>
      </c>
      <c r="H292" s="11" t="s">
        <v>314</v>
      </c>
      <c r="I292" s="11" t="s">
        <v>359</v>
      </c>
      <c r="J292" s="12">
        <v>75000</v>
      </c>
      <c r="K292" s="13">
        <f t="shared" si="123"/>
        <v>3900</v>
      </c>
      <c r="L292" s="7" t="s">
        <v>24</v>
      </c>
      <c r="M292" s="14">
        <f t="shared" si="117"/>
        <v>71100</v>
      </c>
      <c r="N292" s="15">
        <f>2000+200+350+600+750</f>
        <v>3900</v>
      </c>
      <c r="O292" s="40">
        <f t="shared" si="127"/>
        <v>75000</v>
      </c>
      <c r="P292" s="106"/>
      <c r="Q292" s="3" t="s">
        <v>429</v>
      </c>
      <c r="R292" s="37"/>
      <c r="S292" s="37">
        <f t="shared" si="129"/>
        <v>75000</v>
      </c>
      <c r="T292" s="37">
        <f t="shared" si="124"/>
        <v>107142.85714285714</v>
      </c>
      <c r="U292" s="41">
        <f t="shared" si="125"/>
        <v>122448.97959183673</v>
      </c>
      <c r="V292" s="42">
        <f t="shared" si="130"/>
        <v>0.12499999999999996</v>
      </c>
      <c r="W292" s="41">
        <f t="shared" si="131"/>
        <v>122500</v>
      </c>
      <c r="X292" s="43">
        <f t="shared" si="126"/>
        <v>0.3</v>
      </c>
      <c r="Y292" s="44"/>
      <c r="Z292" s="44"/>
      <c r="AA292" s="45"/>
    </row>
    <row r="293" spans="2:27" ht="14.4" customHeight="1">
      <c r="B293" s="4">
        <v>289</v>
      </c>
      <c r="C293" s="5" t="s">
        <v>233</v>
      </c>
      <c r="D293" s="5" t="str">
        <f t="shared" si="120"/>
        <v xml:space="preserve"> 211</v>
      </c>
      <c r="E293" s="6" t="s">
        <v>233</v>
      </c>
      <c r="F293" s="7">
        <f t="shared" si="121"/>
        <v>0</v>
      </c>
      <c r="G293" s="11" t="s">
        <v>299</v>
      </c>
      <c r="H293" s="11" t="s">
        <v>314</v>
      </c>
      <c r="I293" s="11" t="s">
        <v>359</v>
      </c>
      <c r="J293" s="12">
        <v>75000</v>
      </c>
      <c r="K293" s="13">
        <f t="shared" si="123"/>
        <v>3900</v>
      </c>
      <c r="L293" s="7" t="s">
        <v>24</v>
      </c>
      <c r="M293" s="14">
        <f t="shared" si="117"/>
        <v>71100</v>
      </c>
      <c r="N293" s="15">
        <f>2000+200+350+600+750</f>
        <v>3900</v>
      </c>
      <c r="O293" s="40">
        <f t="shared" si="127"/>
        <v>75000</v>
      </c>
      <c r="P293" s="106"/>
      <c r="Q293" s="3" t="s">
        <v>429</v>
      </c>
      <c r="R293" s="37"/>
      <c r="S293" s="37">
        <f t="shared" si="129"/>
        <v>75000</v>
      </c>
      <c r="T293" s="37">
        <f t="shared" si="124"/>
        <v>107142.85714285714</v>
      </c>
      <c r="U293" s="41">
        <f t="shared" si="125"/>
        <v>122448.97959183673</v>
      </c>
      <c r="V293" s="42">
        <f t="shared" si="130"/>
        <v>0.12499999999999996</v>
      </c>
      <c r="W293" s="41">
        <f t="shared" si="131"/>
        <v>122500</v>
      </c>
      <c r="X293" s="43">
        <f t="shared" si="126"/>
        <v>0.3</v>
      </c>
      <c r="Y293" s="44"/>
      <c r="Z293" s="44"/>
      <c r="AA293" s="44"/>
    </row>
    <row r="294" spans="2:27" ht="14.4" customHeight="1">
      <c r="B294" s="4">
        <v>290</v>
      </c>
      <c r="C294" s="5" t="s">
        <v>92</v>
      </c>
      <c r="D294" s="5" t="str">
        <f t="shared" si="120"/>
        <v xml:space="preserve"> 900</v>
      </c>
      <c r="E294" s="6" t="s">
        <v>92</v>
      </c>
      <c r="F294" s="7">
        <f t="shared" si="121"/>
        <v>0</v>
      </c>
      <c r="G294" s="11" t="s">
        <v>21</v>
      </c>
      <c r="H294" s="11" t="s">
        <v>315</v>
      </c>
      <c r="I294" s="11" t="s">
        <v>359</v>
      </c>
      <c r="J294" s="12">
        <v>70000</v>
      </c>
      <c r="K294" s="13">
        <f t="shared" si="123"/>
        <v>3900</v>
      </c>
      <c r="L294" s="7" t="s">
        <v>24</v>
      </c>
      <c r="M294" s="14">
        <f t="shared" si="117"/>
        <v>66100</v>
      </c>
      <c r="N294" s="15">
        <f>2000+200+350+600+750</f>
        <v>3900</v>
      </c>
      <c r="O294" s="40">
        <f t="shared" si="127"/>
        <v>70000</v>
      </c>
      <c r="P294" s="106"/>
      <c r="Q294" s="3" t="s">
        <v>429</v>
      </c>
      <c r="R294" s="37"/>
      <c r="S294" s="37">
        <f t="shared" si="129"/>
        <v>70000</v>
      </c>
      <c r="T294" s="37">
        <f t="shared" si="124"/>
        <v>100000</v>
      </c>
      <c r="U294" s="41">
        <f t="shared" si="125"/>
        <v>114285.71428571429</v>
      </c>
      <c r="V294" s="42">
        <f t="shared" si="130"/>
        <v>0.12500000000000003</v>
      </c>
      <c r="W294" s="41">
        <f t="shared" si="131"/>
        <v>114300</v>
      </c>
      <c r="X294" s="43">
        <f t="shared" si="126"/>
        <v>0.3</v>
      </c>
      <c r="Y294" s="46">
        <v>105788</v>
      </c>
      <c r="Z294" s="47">
        <f>T294-Y294</f>
        <v>-5788</v>
      </c>
      <c r="AA294" s="48">
        <f>Z294/Y294</f>
        <v>-5.4713199984875414E-2</v>
      </c>
    </row>
    <row r="295" spans="2:27" ht="14.4" customHeight="1">
      <c r="B295" s="4">
        <v>291</v>
      </c>
      <c r="C295" s="5" t="s">
        <v>39</v>
      </c>
      <c r="D295" s="5" t="str">
        <f t="shared" si="120"/>
        <v xml:space="preserve"> 653</v>
      </c>
      <c r="E295" s="6" t="s">
        <v>39</v>
      </c>
      <c r="F295" s="7">
        <f t="shared" si="121"/>
        <v>0</v>
      </c>
      <c r="G295" s="11" t="s">
        <v>21</v>
      </c>
      <c r="H295" s="11" t="s">
        <v>315</v>
      </c>
      <c r="I295" s="11" t="s">
        <v>359</v>
      </c>
      <c r="J295" s="12">
        <v>70000</v>
      </c>
      <c r="K295" s="13">
        <f t="shared" si="123"/>
        <v>3900</v>
      </c>
      <c r="L295" s="7" t="s">
        <v>24</v>
      </c>
      <c r="M295" s="14">
        <f t="shared" si="117"/>
        <v>66100</v>
      </c>
      <c r="N295" s="15">
        <f>2000+200+350+600+750</f>
        <v>3900</v>
      </c>
      <c r="O295" s="40">
        <f t="shared" si="127"/>
        <v>70000</v>
      </c>
      <c r="P295" s="106"/>
      <c r="Q295" s="3" t="s">
        <v>429</v>
      </c>
      <c r="R295" s="37"/>
      <c r="S295" s="37">
        <f t="shared" si="129"/>
        <v>70000</v>
      </c>
      <c r="T295" s="37">
        <f t="shared" si="124"/>
        <v>100000</v>
      </c>
      <c r="U295" s="41">
        <f t="shared" si="125"/>
        <v>114285.71428571429</v>
      </c>
      <c r="V295" s="42">
        <f t="shared" si="130"/>
        <v>0.12500000000000003</v>
      </c>
      <c r="W295" s="41">
        <f t="shared" si="131"/>
        <v>114300</v>
      </c>
      <c r="X295" s="43">
        <f t="shared" si="126"/>
        <v>0.3</v>
      </c>
      <c r="Y295" s="46">
        <v>105788</v>
      </c>
      <c r="Z295" s="47">
        <f>T295-Y295</f>
        <v>-5788</v>
      </c>
      <c r="AA295" s="48">
        <f>Z295/Y295</f>
        <v>-5.4713199984875414E-2</v>
      </c>
    </row>
    <row r="296" spans="2:27" ht="14.4" customHeight="1">
      <c r="B296" s="4">
        <v>292</v>
      </c>
      <c r="C296" s="39" t="s">
        <v>655</v>
      </c>
      <c r="D296" s="5" t="str">
        <f t="shared" si="120"/>
        <v xml:space="preserve"> 503</v>
      </c>
      <c r="E296" s="6" t="s">
        <v>655</v>
      </c>
      <c r="F296" s="7">
        <f t="shared" si="121"/>
        <v>0</v>
      </c>
      <c r="G296" s="8" t="s">
        <v>21</v>
      </c>
      <c r="H296" s="8" t="s">
        <v>315</v>
      </c>
      <c r="I296" s="8" t="s">
        <v>496</v>
      </c>
      <c r="J296" s="12"/>
      <c r="K296" s="13">
        <f t="shared" si="123"/>
        <v>0</v>
      </c>
      <c r="L296" s="7"/>
      <c r="M296" s="14">
        <f t="shared" si="117"/>
        <v>0</v>
      </c>
      <c r="N296" s="15"/>
      <c r="O296" s="40">
        <f t="shared" si="127"/>
        <v>0</v>
      </c>
      <c r="P296" s="106"/>
      <c r="Q296" s="3"/>
      <c r="R296" s="37"/>
      <c r="S296" s="37">
        <f t="shared" si="129"/>
        <v>0</v>
      </c>
      <c r="T296" s="37">
        <f t="shared" si="124"/>
        <v>0</v>
      </c>
      <c r="U296" s="41">
        <f t="shared" si="125"/>
        <v>0</v>
      </c>
      <c r="V296" s="42" t="e">
        <f t="shared" si="130"/>
        <v>#DIV/0!</v>
      </c>
      <c r="W296" s="41">
        <f t="shared" si="131"/>
        <v>0</v>
      </c>
      <c r="X296" s="43" t="e">
        <f t="shared" si="126"/>
        <v>#DIV/0!</v>
      </c>
      <c r="Y296" s="46">
        <v>110075</v>
      </c>
      <c r="Z296" s="47">
        <f>T296-Y296</f>
        <v>-110075</v>
      </c>
      <c r="AA296" s="48">
        <f>Z296/Y296</f>
        <v>-1</v>
      </c>
    </row>
    <row r="297" spans="2:27" ht="14.4" customHeight="1">
      <c r="B297" s="4">
        <v>293</v>
      </c>
      <c r="C297" s="39" t="s">
        <v>656</v>
      </c>
      <c r="D297" s="5" t="str">
        <f t="shared" si="120"/>
        <v xml:space="preserve"> 202</v>
      </c>
      <c r="E297" s="6" t="s">
        <v>656</v>
      </c>
      <c r="F297" s="7">
        <f t="shared" si="121"/>
        <v>0</v>
      </c>
      <c r="G297" s="8" t="s">
        <v>299</v>
      </c>
      <c r="H297" s="8" t="s">
        <v>315</v>
      </c>
      <c r="I297" s="8" t="s">
        <v>657</v>
      </c>
      <c r="J297" s="12"/>
      <c r="K297" s="13">
        <f t="shared" si="123"/>
        <v>0</v>
      </c>
      <c r="L297" s="7"/>
      <c r="M297" s="14">
        <f t="shared" si="117"/>
        <v>0</v>
      </c>
      <c r="N297" s="15"/>
      <c r="O297" s="40">
        <f t="shared" si="127"/>
        <v>0</v>
      </c>
      <c r="P297" s="106"/>
      <c r="Q297" s="3"/>
      <c r="R297" s="37"/>
      <c r="S297" s="37">
        <f t="shared" si="129"/>
        <v>0</v>
      </c>
      <c r="T297" s="37">
        <f t="shared" si="124"/>
        <v>0</v>
      </c>
      <c r="U297" s="41">
        <f t="shared" si="125"/>
        <v>0</v>
      </c>
      <c r="V297" s="42" t="e">
        <f t="shared" si="130"/>
        <v>#DIV/0!</v>
      </c>
      <c r="W297" s="41">
        <f t="shared" si="131"/>
        <v>0</v>
      </c>
      <c r="X297" s="43" t="e">
        <f t="shared" si="126"/>
        <v>#DIV/0!</v>
      </c>
      <c r="Y297" s="46"/>
      <c r="Z297" s="47"/>
      <c r="AA297" s="48"/>
    </row>
    <row r="298" spans="2:27" ht="14.4" customHeight="1">
      <c r="B298" s="4">
        <v>294</v>
      </c>
      <c r="C298" s="5" t="s">
        <v>273</v>
      </c>
      <c r="D298" s="5" t="str">
        <f>REPLACE(C298,1,3, )</f>
        <v xml:space="preserve"> 765</v>
      </c>
      <c r="E298" s="6" t="s">
        <v>273</v>
      </c>
      <c r="F298" s="7">
        <f t="shared" si="121"/>
        <v>0</v>
      </c>
      <c r="G298" s="11" t="s">
        <v>299</v>
      </c>
      <c r="H298" s="11" t="s">
        <v>315</v>
      </c>
      <c r="I298" s="11" t="s">
        <v>366</v>
      </c>
      <c r="J298" s="12">
        <v>72500</v>
      </c>
      <c r="K298" s="13">
        <f t="shared" si="123"/>
        <v>4200</v>
      </c>
      <c r="L298" s="7" t="s">
        <v>24</v>
      </c>
      <c r="M298" s="14">
        <f t="shared" ref="M298:M302" si="136">J298-N298</f>
        <v>68300</v>
      </c>
      <c r="N298" s="15">
        <f>2000+200+350+600+300+750</f>
        <v>4200</v>
      </c>
      <c r="O298" s="40">
        <f t="shared" si="127"/>
        <v>72500</v>
      </c>
      <c r="P298" s="107"/>
      <c r="Q298" s="3" t="s">
        <v>460</v>
      </c>
      <c r="R298" s="37"/>
      <c r="S298" s="37">
        <f t="shared" si="129"/>
        <v>72500</v>
      </c>
      <c r="T298" s="37">
        <f t="shared" si="124"/>
        <v>103571.42857142858</v>
      </c>
      <c r="U298" s="41">
        <f t="shared" si="125"/>
        <v>118367.34693877552</v>
      </c>
      <c r="V298" s="42">
        <f t="shared" si="130"/>
        <v>0.12499999999999999</v>
      </c>
      <c r="W298" s="41">
        <f t="shared" si="131"/>
        <v>118400</v>
      </c>
      <c r="X298" s="43">
        <f t="shared" si="126"/>
        <v>0.30000000000000004</v>
      </c>
      <c r="Y298" s="44"/>
      <c r="Z298" s="44"/>
      <c r="AA298" s="45"/>
    </row>
    <row r="299" spans="2:27" ht="14.4" customHeight="1">
      <c r="B299" s="4">
        <v>295</v>
      </c>
      <c r="C299" s="39" t="s">
        <v>658</v>
      </c>
      <c r="D299" s="5" t="str">
        <f t="shared" ref="D299:D302" si="137">REPLACE(C299,1,3, )</f>
        <v xml:space="preserve"> 717</v>
      </c>
      <c r="E299" s="6" t="s">
        <v>658</v>
      </c>
      <c r="F299" s="7">
        <f t="shared" si="121"/>
        <v>0</v>
      </c>
      <c r="G299" s="8" t="s">
        <v>299</v>
      </c>
      <c r="H299" s="8" t="s">
        <v>324</v>
      </c>
      <c r="I299" s="8" t="s">
        <v>627</v>
      </c>
      <c r="J299" s="12"/>
      <c r="K299" s="13">
        <f t="shared" si="123"/>
        <v>0</v>
      </c>
      <c r="L299" s="7"/>
      <c r="M299" s="14">
        <f t="shared" si="136"/>
        <v>0</v>
      </c>
      <c r="N299" s="15"/>
      <c r="O299" s="40">
        <f t="shared" si="127"/>
        <v>0</v>
      </c>
      <c r="P299" s="107"/>
      <c r="Q299" s="3"/>
      <c r="R299" s="37"/>
      <c r="S299" s="37">
        <f t="shared" si="129"/>
        <v>0</v>
      </c>
      <c r="T299" s="37">
        <f t="shared" si="124"/>
        <v>0</v>
      </c>
      <c r="U299" s="41">
        <f t="shared" si="125"/>
        <v>0</v>
      </c>
      <c r="V299" s="42" t="e">
        <f t="shared" si="130"/>
        <v>#DIV/0!</v>
      </c>
      <c r="W299" s="41">
        <f t="shared" si="131"/>
        <v>0</v>
      </c>
      <c r="X299" s="43" t="e">
        <f t="shared" si="126"/>
        <v>#DIV/0!</v>
      </c>
      <c r="Y299" s="44"/>
      <c r="Z299" s="44"/>
      <c r="AA299" s="45"/>
    </row>
    <row r="300" spans="2:27" ht="14.4" customHeight="1">
      <c r="B300" s="4">
        <v>296</v>
      </c>
      <c r="C300" s="39" t="s">
        <v>626</v>
      </c>
      <c r="D300" s="5" t="str">
        <f t="shared" si="137"/>
        <v xml:space="preserve"> 557</v>
      </c>
      <c r="E300" s="6" t="s">
        <v>626</v>
      </c>
      <c r="F300" s="7">
        <f t="shared" si="121"/>
        <v>0</v>
      </c>
      <c r="G300" s="8" t="s">
        <v>299</v>
      </c>
      <c r="H300" s="8" t="s">
        <v>324</v>
      </c>
      <c r="I300" s="8" t="s">
        <v>627</v>
      </c>
      <c r="J300" s="12"/>
      <c r="K300" s="13">
        <f t="shared" si="123"/>
        <v>0</v>
      </c>
      <c r="L300" s="7"/>
      <c r="M300" s="14">
        <f t="shared" si="136"/>
        <v>0</v>
      </c>
      <c r="N300" s="15"/>
      <c r="O300" s="40">
        <f t="shared" si="127"/>
        <v>0</v>
      </c>
      <c r="P300" s="107"/>
      <c r="Q300" s="3"/>
      <c r="R300" s="37"/>
      <c r="S300" s="37">
        <f t="shared" si="129"/>
        <v>0</v>
      </c>
      <c r="T300" s="37">
        <f t="shared" si="124"/>
        <v>0</v>
      </c>
      <c r="U300" s="41">
        <f t="shared" si="125"/>
        <v>0</v>
      </c>
      <c r="V300" s="42" t="e">
        <f t="shared" si="130"/>
        <v>#DIV/0!</v>
      </c>
      <c r="W300" s="41">
        <f t="shared" si="131"/>
        <v>0</v>
      </c>
      <c r="X300" s="43" t="e">
        <f t="shared" si="126"/>
        <v>#DIV/0!</v>
      </c>
      <c r="Y300" s="44"/>
      <c r="Z300" s="44"/>
      <c r="AA300" s="45"/>
    </row>
    <row r="301" spans="2:27" ht="14.4" customHeight="1">
      <c r="B301" s="4">
        <v>297</v>
      </c>
      <c r="C301" s="39" t="s">
        <v>659</v>
      </c>
      <c r="D301" s="5" t="str">
        <f t="shared" si="137"/>
        <v xml:space="preserve"> 568</v>
      </c>
      <c r="E301" s="6" t="s">
        <v>659</v>
      </c>
      <c r="F301" s="7">
        <f t="shared" si="121"/>
        <v>0</v>
      </c>
      <c r="G301" s="8" t="s">
        <v>21</v>
      </c>
      <c r="H301" s="8" t="s">
        <v>315</v>
      </c>
      <c r="I301" s="8" t="s">
        <v>543</v>
      </c>
      <c r="J301" s="12"/>
      <c r="K301" s="13">
        <f t="shared" si="123"/>
        <v>0</v>
      </c>
      <c r="L301" s="7"/>
      <c r="M301" s="14">
        <f t="shared" si="136"/>
        <v>0</v>
      </c>
      <c r="N301" s="15"/>
      <c r="O301" s="40">
        <f t="shared" si="127"/>
        <v>0</v>
      </c>
      <c r="P301" s="107"/>
      <c r="Q301" s="3"/>
      <c r="R301" s="37"/>
      <c r="S301" s="37">
        <f t="shared" si="129"/>
        <v>0</v>
      </c>
      <c r="T301" s="37">
        <f t="shared" si="124"/>
        <v>0</v>
      </c>
      <c r="U301" s="41">
        <f t="shared" si="125"/>
        <v>0</v>
      </c>
      <c r="V301" s="42" t="e">
        <f t="shared" si="130"/>
        <v>#DIV/0!</v>
      </c>
      <c r="W301" s="41">
        <f t="shared" si="131"/>
        <v>0</v>
      </c>
      <c r="X301" s="43" t="e">
        <f t="shared" si="126"/>
        <v>#DIV/0!</v>
      </c>
      <c r="Y301" s="46">
        <v>105788</v>
      </c>
      <c r="Z301" s="47">
        <f>T301-Y301</f>
        <v>-105788</v>
      </c>
      <c r="AA301" s="48">
        <f>Z301/Y301</f>
        <v>-1</v>
      </c>
    </row>
    <row r="302" spans="2:27" ht="14.4" customHeight="1">
      <c r="B302" s="4">
        <v>298</v>
      </c>
      <c r="C302" s="39" t="s">
        <v>660</v>
      </c>
      <c r="D302" s="5" t="str">
        <f t="shared" si="137"/>
        <v xml:space="preserve"> 377</v>
      </c>
      <c r="E302" s="6" t="s">
        <v>660</v>
      </c>
      <c r="F302" s="7">
        <f t="shared" si="121"/>
        <v>0</v>
      </c>
      <c r="G302" s="8" t="s">
        <v>299</v>
      </c>
      <c r="H302" s="8" t="s">
        <v>315</v>
      </c>
      <c r="I302" s="8" t="s">
        <v>515</v>
      </c>
      <c r="J302" s="12"/>
      <c r="K302" s="13">
        <f t="shared" si="123"/>
        <v>0</v>
      </c>
      <c r="L302" s="7"/>
      <c r="M302" s="14">
        <f t="shared" si="136"/>
        <v>0</v>
      </c>
      <c r="N302" s="15"/>
      <c r="O302" s="40">
        <f t="shared" si="127"/>
        <v>0</v>
      </c>
      <c r="P302" s="107"/>
      <c r="Q302" s="3"/>
      <c r="R302" s="37"/>
      <c r="S302" s="37">
        <f t="shared" si="129"/>
        <v>0</v>
      </c>
      <c r="T302" s="37">
        <f t="shared" si="124"/>
        <v>0</v>
      </c>
      <c r="U302" s="41">
        <f t="shared" si="125"/>
        <v>0</v>
      </c>
      <c r="V302" s="42" t="e">
        <f t="shared" si="130"/>
        <v>#DIV/0!</v>
      </c>
      <c r="W302" s="41">
        <f t="shared" si="131"/>
        <v>0</v>
      </c>
      <c r="X302" s="43" t="e">
        <f t="shared" si="126"/>
        <v>#DIV/0!</v>
      </c>
      <c r="Y302" s="44"/>
      <c r="Z302" s="44"/>
      <c r="AA302" s="45"/>
    </row>
    <row r="303" spans="2:27" ht="14.4" customHeight="1">
      <c r="B303" s="4">
        <v>299</v>
      </c>
      <c r="C303" s="5" t="s">
        <v>38</v>
      </c>
      <c r="D303" s="5" t="str">
        <f t="shared" si="120"/>
        <v xml:space="preserve"> 222</v>
      </c>
      <c r="E303" s="6" t="s">
        <v>38</v>
      </c>
      <c r="F303" s="7">
        <f t="shared" si="121"/>
        <v>0</v>
      </c>
      <c r="G303" s="11" t="s">
        <v>21</v>
      </c>
      <c r="H303" s="11" t="s">
        <v>315</v>
      </c>
      <c r="I303" s="11" t="s">
        <v>361</v>
      </c>
      <c r="J303" s="12">
        <f>M303</f>
        <v>69000</v>
      </c>
      <c r="K303" s="13">
        <f t="shared" si="123"/>
        <v>0</v>
      </c>
      <c r="L303" s="17" t="s">
        <v>23</v>
      </c>
      <c r="M303" s="18">
        <v>69000</v>
      </c>
      <c r="N303" s="15">
        <f>2000+200+300+500+800</f>
        <v>3800</v>
      </c>
      <c r="O303" s="40">
        <f t="shared" si="127"/>
        <v>72800</v>
      </c>
      <c r="P303" s="106"/>
      <c r="Q303" s="3" t="s">
        <v>441</v>
      </c>
      <c r="R303" s="37"/>
      <c r="S303" s="37">
        <f t="shared" si="129"/>
        <v>72800</v>
      </c>
      <c r="T303" s="37">
        <f t="shared" si="124"/>
        <v>104000</v>
      </c>
      <c r="U303" s="41">
        <f t="shared" si="125"/>
        <v>118857.14285714286</v>
      </c>
      <c r="V303" s="42">
        <f t="shared" si="130"/>
        <v>0.12499999999999999</v>
      </c>
      <c r="W303" s="41">
        <f t="shared" si="131"/>
        <v>118900</v>
      </c>
      <c r="X303" s="43">
        <f t="shared" si="126"/>
        <v>0.3</v>
      </c>
      <c r="Y303" s="46">
        <v>106663</v>
      </c>
      <c r="Z303" s="47">
        <f t="shared" ref="Z303:Z308" si="138">T303-Y303</f>
        <v>-2663</v>
      </c>
      <c r="AA303" s="48">
        <f t="shared" ref="AA303:AA308" si="139">Z303/Y303</f>
        <v>-2.4966483222860787E-2</v>
      </c>
    </row>
    <row r="304" spans="2:27" ht="14.4" customHeight="1">
      <c r="B304" s="4">
        <v>300</v>
      </c>
      <c r="C304" s="39" t="s">
        <v>661</v>
      </c>
      <c r="D304" s="5" t="str">
        <f t="shared" si="120"/>
        <v xml:space="preserve"> 732</v>
      </c>
      <c r="E304" s="6" t="s">
        <v>661</v>
      </c>
      <c r="F304" s="7">
        <f t="shared" si="121"/>
        <v>0</v>
      </c>
      <c r="G304" s="8" t="s">
        <v>21</v>
      </c>
      <c r="H304" s="8" t="s">
        <v>315</v>
      </c>
      <c r="I304" s="8" t="s">
        <v>662</v>
      </c>
      <c r="J304" s="101">
        <v>75000</v>
      </c>
      <c r="K304" s="101">
        <f t="shared" si="123"/>
        <v>3650</v>
      </c>
      <c r="L304" s="115" t="s">
        <v>1439</v>
      </c>
      <c r="M304" s="98">
        <f t="shared" ref="M304" si="140">J304-N304</f>
        <v>71350</v>
      </c>
      <c r="N304" s="98">
        <f t="shared" ref="N304" si="141">2000+650+500+200+300</f>
        <v>3650</v>
      </c>
      <c r="O304" s="112">
        <f t="shared" si="127"/>
        <v>75000</v>
      </c>
      <c r="P304" s="106"/>
      <c r="Q304" s="99" t="s">
        <v>1416</v>
      </c>
      <c r="R304" s="37"/>
      <c r="S304" s="37">
        <f t="shared" si="129"/>
        <v>75000</v>
      </c>
      <c r="T304" s="37">
        <f t="shared" si="124"/>
        <v>107142.85714285714</v>
      </c>
      <c r="U304" s="41">
        <f t="shared" si="125"/>
        <v>122448.97959183673</v>
      </c>
      <c r="V304" s="42">
        <f t="shared" si="130"/>
        <v>0.12499999999999996</v>
      </c>
      <c r="W304" s="41">
        <f t="shared" si="131"/>
        <v>122500</v>
      </c>
      <c r="X304" s="43">
        <f t="shared" si="126"/>
        <v>0.3</v>
      </c>
      <c r="Y304" s="46">
        <v>111475</v>
      </c>
      <c r="Z304" s="47">
        <f t="shared" si="138"/>
        <v>-4332.1428571428551</v>
      </c>
      <c r="AA304" s="48">
        <f t="shared" si="139"/>
        <v>-3.8862012622945551E-2</v>
      </c>
    </row>
    <row r="305" spans="2:27" ht="14.4" customHeight="1">
      <c r="B305" s="4">
        <v>301</v>
      </c>
      <c r="C305" s="39" t="s">
        <v>663</v>
      </c>
      <c r="D305" s="5" t="str">
        <f t="shared" si="120"/>
        <v xml:space="preserve"> 391</v>
      </c>
      <c r="E305" s="6" t="s">
        <v>663</v>
      </c>
      <c r="F305" s="7">
        <f t="shared" si="121"/>
        <v>0</v>
      </c>
      <c r="G305" s="8" t="s">
        <v>21</v>
      </c>
      <c r="H305" s="8" t="s">
        <v>315</v>
      </c>
      <c r="I305" s="8" t="s">
        <v>496</v>
      </c>
      <c r="J305" s="12"/>
      <c r="K305" s="13">
        <f t="shared" si="123"/>
        <v>0</v>
      </c>
      <c r="L305" s="7"/>
      <c r="M305" s="14">
        <f t="shared" ref="M304:M308" si="142">J305-N305</f>
        <v>0</v>
      </c>
      <c r="N305" s="15"/>
      <c r="O305" s="40">
        <f t="shared" si="127"/>
        <v>0</v>
      </c>
      <c r="P305" s="106"/>
      <c r="Q305" s="3"/>
      <c r="R305" s="37"/>
      <c r="S305" s="37">
        <f t="shared" si="129"/>
        <v>0</v>
      </c>
      <c r="T305" s="37">
        <f t="shared" si="124"/>
        <v>0</v>
      </c>
      <c r="U305" s="41">
        <f t="shared" si="125"/>
        <v>0</v>
      </c>
      <c r="V305" s="42" t="e">
        <f t="shared" si="130"/>
        <v>#DIV/0!</v>
      </c>
      <c r="W305" s="41">
        <f t="shared" si="131"/>
        <v>0</v>
      </c>
      <c r="X305" s="43" t="e">
        <f t="shared" si="126"/>
        <v>#DIV/0!</v>
      </c>
      <c r="Y305" s="46">
        <v>124338</v>
      </c>
      <c r="Z305" s="47">
        <f t="shared" si="138"/>
        <v>-124338</v>
      </c>
      <c r="AA305" s="48">
        <f t="shared" si="139"/>
        <v>-1</v>
      </c>
    </row>
    <row r="306" spans="2:27" ht="14.4" customHeight="1">
      <c r="B306" s="4">
        <v>302</v>
      </c>
      <c r="C306" s="39" t="s">
        <v>664</v>
      </c>
      <c r="D306" s="5" t="str">
        <f t="shared" si="120"/>
        <v xml:space="preserve"> 776</v>
      </c>
      <c r="E306" s="6" t="s">
        <v>664</v>
      </c>
      <c r="F306" s="7">
        <f t="shared" si="121"/>
        <v>0</v>
      </c>
      <c r="G306" s="8" t="s">
        <v>21</v>
      </c>
      <c r="H306" s="8" t="s">
        <v>315</v>
      </c>
      <c r="I306" s="8" t="s">
        <v>496</v>
      </c>
      <c r="J306" s="12"/>
      <c r="K306" s="13">
        <f t="shared" si="123"/>
        <v>0</v>
      </c>
      <c r="L306" s="7"/>
      <c r="M306" s="14">
        <f t="shared" si="142"/>
        <v>0</v>
      </c>
      <c r="N306" s="15"/>
      <c r="O306" s="40">
        <f t="shared" si="127"/>
        <v>0</v>
      </c>
      <c r="P306" s="106"/>
      <c r="Q306" s="3"/>
      <c r="R306" s="37"/>
      <c r="S306" s="37">
        <f t="shared" si="129"/>
        <v>0</v>
      </c>
      <c r="T306" s="37">
        <f t="shared" si="124"/>
        <v>0</v>
      </c>
      <c r="U306" s="41">
        <f t="shared" si="125"/>
        <v>0</v>
      </c>
      <c r="V306" s="42" t="e">
        <f t="shared" si="130"/>
        <v>#DIV/0!</v>
      </c>
      <c r="W306" s="41">
        <f t="shared" si="131"/>
        <v>0</v>
      </c>
      <c r="X306" s="43" t="e">
        <f t="shared" si="126"/>
        <v>#DIV/0!</v>
      </c>
      <c r="Y306" s="46">
        <v>124338</v>
      </c>
      <c r="Z306" s="47">
        <f t="shared" si="138"/>
        <v>-124338</v>
      </c>
      <c r="AA306" s="48">
        <f t="shared" si="139"/>
        <v>-1</v>
      </c>
    </row>
    <row r="307" spans="2:27" ht="14.4" customHeight="1">
      <c r="B307" s="4">
        <v>303</v>
      </c>
      <c r="C307" s="39" t="s">
        <v>665</v>
      </c>
      <c r="D307" s="5" t="str">
        <f t="shared" si="120"/>
        <v xml:space="preserve"> 626</v>
      </c>
      <c r="E307" s="6" t="s">
        <v>665</v>
      </c>
      <c r="F307" s="7">
        <f t="shared" si="121"/>
        <v>0</v>
      </c>
      <c r="G307" s="8" t="s">
        <v>21</v>
      </c>
      <c r="H307" s="8" t="s">
        <v>623</v>
      </c>
      <c r="I307" s="8" t="s">
        <v>587</v>
      </c>
      <c r="J307" s="12"/>
      <c r="K307" s="13">
        <f t="shared" si="123"/>
        <v>0</v>
      </c>
      <c r="L307" s="7"/>
      <c r="M307" s="14">
        <f t="shared" si="142"/>
        <v>0</v>
      </c>
      <c r="N307" s="15"/>
      <c r="O307" s="40">
        <f t="shared" si="127"/>
        <v>0</v>
      </c>
      <c r="P307" s="106"/>
      <c r="Q307" s="3"/>
      <c r="R307" s="37"/>
      <c r="S307" s="37">
        <f t="shared" si="129"/>
        <v>0</v>
      </c>
      <c r="T307" s="37">
        <f t="shared" si="124"/>
        <v>0</v>
      </c>
      <c r="U307" s="41">
        <f t="shared" si="125"/>
        <v>0</v>
      </c>
      <c r="V307" s="42" t="e">
        <f t="shared" si="130"/>
        <v>#DIV/0!</v>
      </c>
      <c r="W307" s="41">
        <f t="shared" si="131"/>
        <v>0</v>
      </c>
      <c r="X307" s="43" t="e">
        <f t="shared" si="126"/>
        <v>#DIV/0!</v>
      </c>
      <c r="Y307" s="46">
        <v>69300</v>
      </c>
      <c r="Z307" s="47">
        <f t="shared" si="138"/>
        <v>-69300</v>
      </c>
      <c r="AA307" s="48">
        <f t="shared" si="139"/>
        <v>-1</v>
      </c>
    </row>
    <row r="308" spans="2:27" ht="14.4" customHeight="1">
      <c r="B308" s="4">
        <v>304</v>
      </c>
      <c r="C308" s="5" t="s">
        <v>91</v>
      </c>
      <c r="D308" s="5" t="str">
        <f t="shared" si="120"/>
        <v xml:space="preserve"> 822</v>
      </c>
      <c r="E308" s="6" t="s">
        <v>91</v>
      </c>
      <c r="F308" s="7">
        <f t="shared" si="121"/>
        <v>0</v>
      </c>
      <c r="G308" s="11" t="s">
        <v>21</v>
      </c>
      <c r="H308" s="11" t="s">
        <v>324</v>
      </c>
      <c r="I308" s="11" t="s">
        <v>361</v>
      </c>
      <c r="J308" s="12"/>
      <c r="K308" s="13">
        <f t="shared" si="123"/>
        <v>0</v>
      </c>
      <c r="L308" s="7"/>
      <c r="M308" s="14">
        <f t="shared" si="142"/>
        <v>0</v>
      </c>
      <c r="N308" s="15"/>
      <c r="O308" s="40">
        <f t="shared" si="127"/>
        <v>0</v>
      </c>
      <c r="P308" s="106"/>
      <c r="Q308" s="3"/>
      <c r="R308" s="37"/>
      <c r="S308" s="37">
        <f t="shared" si="129"/>
        <v>0</v>
      </c>
      <c r="T308" s="37">
        <f t="shared" si="124"/>
        <v>0</v>
      </c>
      <c r="U308" s="41">
        <f t="shared" si="125"/>
        <v>0</v>
      </c>
      <c r="V308" s="42" t="e">
        <f t="shared" si="130"/>
        <v>#DIV/0!</v>
      </c>
      <c r="W308" s="41">
        <f t="shared" si="131"/>
        <v>0</v>
      </c>
      <c r="X308" s="43" t="e">
        <f t="shared" si="126"/>
        <v>#DIV/0!</v>
      </c>
      <c r="Y308" s="46">
        <v>87150</v>
      </c>
      <c r="Z308" s="47">
        <f t="shared" si="138"/>
        <v>-87150</v>
      </c>
      <c r="AA308" s="48">
        <f t="shared" si="139"/>
        <v>-1</v>
      </c>
    </row>
    <row r="309" spans="2:27" ht="14.4" customHeight="1">
      <c r="B309" s="4">
        <v>305</v>
      </c>
      <c r="C309" s="5" t="s">
        <v>248</v>
      </c>
      <c r="D309" s="5" t="str">
        <f t="shared" si="120"/>
        <v xml:space="preserve"> 726</v>
      </c>
      <c r="E309" s="6" t="s">
        <v>248</v>
      </c>
      <c r="F309" s="7">
        <f t="shared" si="121"/>
        <v>0</v>
      </c>
      <c r="G309" s="11" t="s">
        <v>299</v>
      </c>
      <c r="H309" s="11" t="s">
        <v>40</v>
      </c>
      <c r="I309" s="11" t="s">
        <v>361</v>
      </c>
      <c r="J309" s="12">
        <f>M309</f>
        <v>69000</v>
      </c>
      <c r="K309" s="13">
        <f t="shared" si="123"/>
        <v>0</v>
      </c>
      <c r="L309" s="17" t="s">
        <v>23</v>
      </c>
      <c r="M309" s="18">
        <v>69000</v>
      </c>
      <c r="N309" s="15">
        <f>2000+200+350+600+300+800</f>
        <v>4250</v>
      </c>
      <c r="O309" s="40">
        <f t="shared" si="127"/>
        <v>73250</v>
      </c>
      <c r="P309" s="106"/>
      <c r="Q309" s="3" t="s">
        <v>442</v>
      </c>
      <c r="R309" s="37"/>
      <c r="S309" s="37">
        <f t="shared" si="129"/>
        <v>73250</v>
      </c>
      <c r="T309" s="37">
        <f t="shared" si="124"/>
        <v>104642.85714285714</v>
      </c>
      <c r="U309" s="41">
        <f t="shared" si="125"/>
        <v>119591.83673469388</v>
      </c>
      <c r="V309" s="42">
        <f t="shared" si="130"/>
        <v>0.12499999999999997</v>
      </c>
      <c r="W309" s="41">
        <f t="shared" si="131"/>
        <v>119600</v>
      </c>
      <c r="X309" s="43">
        <f t="shared" si="126"/>
        <v>0.3</v>
      </c>
      <c r="Y309" s="44"/>
      <c r="Z309" s="44"/>
      <c r="AA309" s="45"/>
    </row>
    <row r="310" spans="2:27" ht="14.4" customHeight="1">
      <c r="B310" s="4">
        <v>306</v>
      </c>
      <c r="C310" s="39" t="s">
        <v>666</v>
      </c>
      <c r="D310" s="5" t="str">
        <f t="shared" si="120"/>
        <v xml:space="preserve"> 597</v>
      </c>
      <c r="E310" s="6" t="s">
        <v>666</v>
      </c>
      <c r="F310" s="7">
        <f t="shared" si="121"/>
        <v>0</v>
      </c>
      <c r="G310" s="8" t="s">
        <v>299</v>
      </c>
      <c r="H310" s="8" t="s">
        <v>42</v>
      </c>
      <c r="I310" s="8" t="s">
        <v>577</v>
      </c>
      <c r="J310" s="12">
        <v>107000</v>
      </c>
      <c r="K310" s="13">
        <f>J310-M310</f>
        <v>6650</v>
      </c>
      <c r="L310" s="7"/>
      <c r="M310" s="14">
        <f>J310-N310</f>
        <v>100350</v>
      </c>
      <c r="N310" s="15">
        <f>2000+200+350+600+500+3000</f>
        <v>6650</v>
      </c>
      <c r="O310" s="40">
        <f>M310+N310</f>
        <v>107000</v>
      </c>
      <c r="P310" s="106"/>
      <c r="Q310" s="78" t="s">
        <v>1386</v>
      </c>
      <c r="R310" s="37"/>
      <c r="S310" s="37">
        <f t="shared" si="129"/>
        <v>107000</v>
      </c>
      <c r="T310" s="37">
        <f t="shared" si="124"/>
        <v>152857.14285714287</v>
      </c>
      <c r="U310" s="41">
        <f t="shared" si="125"/>
        <v>174693.87755102041</v>
      </c>
      <c r="V310" s="42">
        <f t="shared" si="130"/>
        <v>0.12499999999999996</v>
      </c>
      <c r="W310" s="41">
        <f t="shared" si="131"/>
        <v>174700</v>
      </c>
      <c r="X310" s="43">
        <f t="shared" si="126"/>
        <v>0.30000000000000004</v>
      </c>
      <c r="Y310" s="44"/>
      <c r="Z310" s="44"/>
      <c r="AA310" s="45"/>
    </row>
    <row r="311" spans="2:27" ht="14.4" customHeight="1">
      <c r="B311" s="4">
        <v>307</v>
      </c>
      <c r="C311" s="5" t="s">
        <v>41</v>
      </c>
      <c r="D311" s="5" t="str">
        <f t="shared" si="120"/>
        <v xml:space="preserve"> 658</v>
      </c>
      <c r="E311" s="6" t="s">
        <v>41</v>
      </c>
      <c r="F311" s="7">
        <f t="shared" si="121"/>
        <v>0</v>
      </c>
      <c r="G311" s="11" t="s">
        <v>21</v>
      </c>
      <c r="H311" s="11" t="s">
        <v>40</v>
      </c>
      <c r="I311" s="11" t="s">
        <v>361</v>
      </c>
      <c r="J311" s="12">
        <f>M311</f>
        <v>69000</v>
      </c>
      <c r="K311" s="13">
        <f t="shared" si="123"/>
        <v>0</v>
      </c>
      <c r="L311" s="17" t="s">
        <v>23</v>
      </c>
      <c r="M311" s="18">
        <v>69000</v>
      </c>
      <c r="N311" s="15">
        <f>2000+200+350+600+550+800</f>
        <v>4500</v>
      </c>
      <c r="O311" s="40">
        <f t="shared" si="127"/>
        <v>73500</v>
      </c>
      <c r="P311" s="106"/>
      <c r="Q311" s="3" t="s">
        <v>439</v>
      </c>
      <c r="R311" s="37"/>
      <c r="S311" s="37">
        <f t="shared" si="129"/>
        <v>73500</v>
      </c>
      <c r="T311" s="37">
        <f t="shared" si="124"/>
        <v>105000</v>
      </c>
      <c r="U311" s="41">
        <f t="shared" si="125"/>
        <v>120000</v>
      </c>
      <c r="V311" s="42">
        <f t="shared" si="130"/>
        <v>0.125</v>
      </c>
      <c r="W311" s="41">
        <f t="shared" si="131"/>
        <v>120000</v>
      </c>
      <c r="X311" s="43">
        <f t="shared" si="126"/>
        <v>0.3</v>
      </c>
      <c r="Y311" s="46">
        <v>99225</v>
      </c>
      <c r="Z311" s="47">
        <f>T311-Y311</f>
        <v>5775</v>
      </c>
      <c r="AA311" s="48">
        <f>Z311/Y311</f>
        <v>5.8201058201058198E-2</v>
      </c>
    </row>
    <row r="312" spans="2:27" ht="14.4" customHeight="1">
      <c r="B312" s="4">
        <v>308</v>
      </c>
      <c r="C312" s="5" t="s">
        <v>221</v>
      </c>
      <c r="D312" s="5" t="str">
        <f t="shared" si="120"/>
        <v xml:space="preserve"> 588</v>
      </c>
      <c r="E312" s="6" t="s">
        <v>221</v>
      </c>
      <c r="F312" s="7">
        <f t="shared" si="121"/>
        <v>0</v>
      </c>
      <c r="G312" s="11" t="s">
        <v>299</v>
      </c>
      <c r="H312" s="11" t="s">
        <v>305</v>
      </c>
      <c r="I312" s="11" t="s">
        <v>355</v>
      </c>
      <c r="J312" s="12">
        <v>100000</v>
      </c>
      <c r="K312" s="13">
        <f t="shared" si="123"/>
        <v>6800</v>
      </c>
      <c r="L312" s="7" t="s">
        <v>24</v>
      </c>
      <c r="M312" s="14">
        <f>J312-N312</f>
        <v>93200</v>
      </c>
      <c r="N312" s="15">
        <f>2000+200+350+600+650+3000</f>
        <v>6800</v>
      </c>
      <c r="O312" s="40">
        <f t="shared" si="127"/>
        <v>100000</v>
      </c>
      <c r="P312" s="107"/>
      <c r="Q312" s="3" t="s">
        <v>424</v>
      </c>
      <c r="R312" s="37"/>
      <c r="S312" s="37">
        <f t="shared" si="129"/>
        <v>100000</v>
      </c>
      <c r="T312" s="37">
        <f t="shared" si="124"/>
        <v>142857.14285714287</v>
      </c>
      <c r="U312" s="41">
        <f t="shared" si="125"/>
        <v>163265.30612244899</v>
      </c>
      <c r="V312" s="42">
        <f t="shared" si="130"/>
        <v>0.125</v>
      </c>
      <c r="W312" s="41">
        <f t="shared" si="131"/>
        <v>163300</v>
      </c>
      <c r="X312" s="43">
        <f t="shared" si="126"/>
        <v>0.30000000000000004</v>
      </c>
      <c r="Y312" s="44"/>
      <c r="Z312" s="44"/>
      <c r="AA312" s="45"/>
    </row>
    <row r="313" spans="2:27" ht="14.4" customHeight="1">
      <c r="B313" s="4">
        <v>309</v>
      </c>
      <c r="C313" s="5" t="s">
        <v>245</v>
      </c>
      <c r="D313" s="5" t="str">
        <f t="shared" si="120"/>
        <v xml:space="preserve"> 364</v>
      </c>
      <c r="E313" s="6" t="s">
        <v>245</v>
      </c>
      <c r="F313" s="7">
        <f t="shared" si="121"/>
        <v>0</v>
      </c>
      <c r="G313" s="11" t="s">
        <v>299</v>
      </c>
      <c r="H313" s="11" t="s">
        <v>305</v>
      </c>
      <c r="I313" s="11" t="s">
        <v>361</v>
      </c>
      <c r="J313" s="12">
        <f>M313</f>
        <v>88500</v>
      </c>
      <c r="K313" s="13">
        <f t="shared" si="123"/>
        <v>0</v>
      </c>
      <c r="L313" s="17" t="s">
        <v>23</v>
      </c>
      <c r="M313" s="18">
        <v>88500</v>
      </c>
      <c r="N313" s="15">
        <f>2000+200+350+600+3000</f>
        <v>6150</v>
      </c>
      <c r="O313" s="40">
        <f t="shared" si="127"/>
        <v>94650</v>
      </c>
      <c r="P313" s="106"/>
      <c r="Q313" s="3" t="s">
        <v>437</v>
      </c>
      <c r="R313" s="37"/>
      <c r="S313" s="37">
        <f t="shared" si="129"/>
        <v>94650</v>
      </c>
      <c r="T313" s="37">
        <f t="shared" si="124"/>
        <v>135214.28571428571</v>
      </c>
      <c r="U313" s="41">
        <f t="shared" si="125"/>
        <v>154530.61224489796</v>
      </c>
      <c r="V313" s="42">
        <f t="shared" si="130"/>
        <v>0.12500000000000003</v>
      </c>
      <c r="W313" s="41">
        <f t="shared" si="131"/>
        <v>154600</v>
      </c>
      <c r="X313" s="43">
        <f t="shared" si="126"/>
        <v>0.3</v>
      </c>
      <c r="Y313" s="44"/>
      <c r="Z313" s="44"/>
      <c r="AA313" s="44"/>
    </row>
    <row r="314" spans="2:27" ht="14.4" customHeight="1">
      <c r="B314" s="4">
        <v>310</v>
      </c>
      <c r="C314" s="5" t="s">
        <v>44</v>
      </c>
      <c r="D314" s="5" t="str">
        <f t="shared" si="120"/>
        <v xml:space="preserve"> 722</v>
      </c>
      <c r="E314" s="6" t="s">
        <v>44</v>
      </c>
      <c r="F314" s="7">
        <f t="shared" si="121"/>
        <v>0</v>
      </c>
      <c r="G314" s="11" t="s">
        <v>21</v>
      </c>
      <c r="H314" s="11" t="s">
        <v>305</v>
      </c>
      <c r="I314" s="11" t="s">
        <v>361</v>
      </c>
      <c r="J314" s="12">
        <f>M314</f>
        <v>88500</v>
      </c>
      <c r="K314" s="13">
        <f t="shared" si="123"/>
        <v>0</v>
      </c>
      <c r="L314" s="17" t="s">
        <v>23</v>
      </c>
      <c r="M314" s="18">
        <v>88500</v>
      </c>
      <c r="N314" s="15">
        <f>2000+200+300+800+800+2850</f>
        <v>6950</v>
      </c>
      <c r="O314" s="40">
        <f t="shared" si="127"/>
        <v>95450</v>
      </c>
      <c r="P314" s="106"/>
      <c r="Q314" s="3" t="s">
        <v>438</v>
      </c>
      <c r="R314" s="37"/>
      <c r="S314" s="37">
        <f t="shared" si="129"/>
        <v>95450</v>
      </c>
      <c r="T314" s="37">
        <f t="shared" si="124"/>
        <v>136357.14285714287</v>
      </c>
      <c r="U314" s="41">
        <f t="shared" si="125"/>
        <v>155836.73469387757</v>
      </c>
      <c r="V314" s="42">
        <f t="shared" si="130"/>
        <v>0.12500000000000006</v>
      </c>
      <c r="W314" s="41">
        <f t="shared" si="131"/>
        <v>155900</v>
      </c>
      <c r="X314" s="43">
        <f t="shared" si="126"/>
        <v>0.30000000000000004</v>
      </c>
      <c r="Y314" s="46">
        <v>131425</v>
      </c>
      <c r="Z314" s="47">
        <f>T314-Y314</f>
        <v>4932.1428571428696</v>
      </c>
      <c r="AA314" s="48">
        <f>Z314/Y314</f>
        <v>3.7528193700915882E-2</v>
      </c>
    </row>
    <row r="315" spans="2:27" ht="14.4" customHeight="1">
      <c r="B315" s="4">
        <v>311</v>
      </c>
      <c r="C315" s="39" t="s">
        <v>667</v>
      </c>
      <c r="D315" s="5" t="str">
        <f t="shared" si="120"/>
        <v xml:space="preserve"> 782</v>
      </c>
      <c r="E315" s="6" t="s">
        <v>667</v>
      </c>
      <c r="F315" s="7">
        <f t="shared" si="121"/>
        <v>0</v>
      </c>
      <c r="G315" s="8" t="s">
        <v>299</v>
      </c>
      <c r="H315" s="8" t="s">
        <v>42</v>
      </c>
      <c r="I315" s="8" t="s">
        <v>587</v>
      </c>
      <c r="J315" s="12"/>
      <c r="K315" s="13">
        <f t="shared" si="123"/>
        <v>0</v>
      </c>
      <c r="L315" s="7"/>
      <c r="M315" s="14">
        <f t="shared" ref="M315:M317" si="143">J315-N315</f>
        <v>0</v>
      </c>
      <c r="N315" s="15"/>
      <c r="O315" s="40">
        <f t="shared" si="127"/>
        <v>0</v>
      </c>
      <c r="P315" s="106"/>
      <c r="Q315" s="3"/>
      <c r="R315" s="37"/>
      <c r="S315" s="37">
        <f t="shared" si="129"/>
        <v>0</v>
      </c>
      <c r="T315" s="37">
        <f t="shared" si="124"/>
        <v>0</v>
      </c>
      <c r="U315" s="41">
        <f t="shared" si="125"/>
        <v>0</v>
      </c>
      <c r="V315" s="42" t="e">
        <f t="shared" si="130"/>
        <v>#DIV/0!</v>
      </c>
      <c r="W315" s="41">
        <f t="shared" si="131"/>
        <v>0</v>
      </c>
      <c r="X315" s="43" t="e">
        <f t="shared" si="126"/>
        <v>#DIV/0!</v>
      </c>
      <c r="Y315" s="46"/>
      <c r="Z315" s="47"/>
      <c r="AA315" s="48"/>
    </row>
    <row r="316" spans="2:27" ht="14.4" customHeight="1">
      <c r="B316" s="4">
        <v>312</v>
      </c>
      <c r="C316" s="39" t="s">
        <v>668</v>
      </c>
      <c r="D316" s="5" t="str">
        <f t="shared" si="120"/>
        <v xml:space="preserve"> 623</v>
      </c>
      <c r="E316" s="6" t="s">
        <v>668</v>
      </c>
      <c r="F316" s="7">
        <f t="shared" si="121"/>
        <v>0</v>
      </c>
      <c r="G316" s="8" t="s">
        <v>299</v>
      </c>
      <c r="H316" s="8" t="s">
        <v>42</v>
      </c>
      <c r="I316" s="8" t="s">
        <v>587</v>
      </c>
      <c r="J316" s="12"/>
      <c r="K316" s="13">
        <f t="shared" si="123"/>
        <v>0</v>
      </c>
      <c r="L316" s="7"/>
      <c r="M316" s="14">
        <f t="shared" si="143"/>
        <v>0</v>
      </c>
      <c r="N316" s="15"/>
      <c r="O316" s="40">
        <f t="shared" si="127"/>
        <v>0</v>
      </c>
      <c r="P316" s="106"/>
      <c r="Q316" s="3"/>
      <c r="R316" s="37"/>
      <c r="S316" s="37">
        <f t="shared" si="129"/>
        <v>0</v>
      </c>
      <c r="T316" s="37">
        <f t="shared" si="124"/>
        <v>0</v>
      </c>
      <c r="U316" s="41">
        <f t="shared" si="125"/>
        <v>0</v>
      </c>
      <c r="V316" s="42" t="e">
        <f t="shared" si="130"/>
        <v>#DIV/0!</v>
      </c>
      <c r="W316" s="41">
        <f t="shared" si="131"/>
        <v>0</v>
      </c>
      <c r="X316" s="43" t="e">
        <f t="shared" si="126"/>
        <v>#DIV/0!</v>
      </c>
      <c r="Y316" s="46"/>
      <c r="Z316" s="47"/>
      <c r="AA316" s="48"/>
    </row>
    <row r="317" spans="2:27" ht="14.4" customHeight="1">
      <c r="B317" s="4">
        <v>313</v>
      </c>
      <c r="C317" s="39" t="s">
        <v>669</v>
      </c>
      <c r="D317" s="5" t="str">
        <f t="shared" si="120"/>
        <v xml:space="preserve"> 374</v>
      </c>
      <c r="E317" s="6" t="s">
        <v>669</v>
      </c>
      <c r="F317" s="7">
        <f t="shared" si="121"/>
        <v>0</v>
      </c>
      <c r="G317" s="8" t="s">
        <v>299</v>
      </c>
      <c r="H317" s="8" t="s">
        <v>42</v>
      </c>
      <c r="I317" s="8" t="s">
        <v>670</v>
      </c>
      <c r="J317" s="12"/>
      <c r="K317" s="13">
        <f t="shared" si="123"/>
        <v>0</v>
      </c>
      <c r="L317" s="7"/>
      <c r="M317" s="14">
        <f t="shared" si="143"/>
        <v>0</v>
      </c>
      <c r="N317" s="15"/>
      <c r="O317" s="40">
        <f t="shared" si="127"/>
        <v>0</v>
      </c>
      <c r="P317" s="106"/>
      <c r="Q317" s="3"/>
      <c r="R317" s="37"/>
      <c r="S317" s="37">
        <f t="shared" si="129"/>
        <v>0</v>
      </c>
      <c r="T317" s="37">
        <f t="shared" si="124"/>
        <v>0</v>
      </c>
      <c r="U317" s="41">
        <f t="shared" si="125"/>
        <v>0</v>
      </c>
      <c r="V317" s="42" t="e">
        <f t="shared" si="130"/>
        <v>#DIV/0!</v>
      </c>
      <c r="W317" s="41">
        <f t="shared" si="131"/>
        <v>0</v>
      </c>
      <c r="X317" s="43" t="e">
        <f t="shared" si="126"/>
        <v>#DIV/0!</v>
      </c>
      <c r="Y317" s="46"/>
      <c r="Z317" s="47"/>
      <c r="AA317" s="48"/>
    </row>
    <row r="318" spans="2:27" ht="14.4" customHeight="1">
      <c r="B318" s="4">
        <v>314</v>
      </c>
      <c r="C318" s="5" t="s">
        <v>170</v>
      </c>
      <c r="D318" s="5" t="str">
        <f>REPLACE(C318,1,3, )</f>
        <v xml:space="preserve"> 838</v>
      </c>
      <c r="E318" s="6" t="s">
        <v>170</v>
      </c>
      <c r="F318" s="7">
        <f>IF(C318=E318,0,1)</f>
        <v>0</v>
      </c>
      <c r="G318" s="11" t="s">
        <v>299</v>
      </c>
      <c r="H318" s="11" t="s">
        <v>305</v>
      </c>
      <c r="I318" s="11" t="s">
        <v>341</v>
      </c>
      <c r="J318" s="12">
        <v>102000</v>
      </c>
      <c r="K318" s="13">
        <f t="shared" si="123"/>
        <v>6800</v>
      </c>
      <c r="L318" s="7" t="s">
        <v>24</v>
      </c>
      <c r="M318" s="14">
        <f>J318-N318</f>
        <v>95200</v>
      </c>
      <c r="N318" s="14">
        <v>6800</v>
      </c>
      <c r="O318" s="40">
        <f t="shared" si="127"/>
        <v>102000</v>
      </c>
      <c r="P318" s="106"/>
      <c r="Q318" s="3" t="s">
        <v>398</v>
      </c>
      <c r="R318" s="37">
        <v>5000</v>
      </c>
      <c r="S318" s="37">
        <f t="shared" si="129"/>
        <v>107000</v>
      </c>
      <c r="T318" s="37">
        <f t="shared" si="124"/>
        <v>152857.14285714287</v>
      </c>
      <c r="U318" s="41">
        <f t="shared" si="125"/>
        <v>174693.87755102041</v>
      </c>
      <c r="V318" s="42">
        <f t="shared" si="130"/>
        <v>0.12499999999999996</v>
      </c>
      <c r="W318" s="41">
        <f t="shared" si="131"/>
        <v>174700</v>
      </c>
      <c r="X318" s="43">
        <f t="shared" si="126"/>
        <v>0.33271028037383182</v>
      </c>
      <c r="Y318" s="46"/>
      <c r="Z318" s="47"/>
      <c r="AA318" s="48"/>
    </row>
    <row r="319" spans="2:27" ht="14.4" customHeight="1">
      <c r="B319" s="4">
        <v>315</v>
      </c>
      <c r="C319" s="5" t="s">
        <v>244</v>
      </c>
      <c r="D319" s="5" t="str">
        <f t="shared" si="120"/>
        <v xml:space="preserve"> 375</v>
      </c>
      <c r="E319" s="6" t="s">
        <v>244</v>
      </c>
      <c r="F319" s="7">
        <f t="shared" si="121"/>
        <v>0</v>
      </c>
      <c r="G319" s="11" t="s">
        <v>299</v>
      </c>
      <c r="H319" s="11" t="s">
        <v>46</v>
      </c>
      <c r="I319" s="11" t="s">
        <v>361</v>
      </c>
      <c r="J319" s="12">
        <f>M319</f>
        <v>101000</v>
      </c>
      <c r="K319" s="13">
        <f t="shared" si="123"/>
        <v>0</v>
      </c>
      <c r="L319" s="17" t="s">
        <v>23</v>
      </c>
      <c r="M319" s="16">
        <v>101000</v>
      </c>
      <c r="N319" s="15">
        <f>2000+200+350+600+300+3000</f>
        <v>6450</v>
      </c>
      <c r="O319" s="40">
        <f t="shared" si="127"/>
        <v>107450</v>
      </c>
      <c r="P319" s="106"/>
      <c r="Q319" s="3" t="s">
        <v>436</v>
      </c>
      <c r="R319" s="37"/>
      <c r="S319" s="37">
        <f t="shared" si="129"/>
        <v>107450</v>
      </c>
      <c r="T319" s="37">
        <f t="shared" si="124"/>
        <v>153500</v>
      </c>
      <c r="U319" s="41">
        <f t="shared" si="125"/>
        <v>175428.57142857142</v>
      </c>
      <c r="V319" s="42">
        <f t="shared" si="130"/>
        <v>0.12499999999999996</v>
      </c>
      <c r="W319" s="41">
        <f t="shared" si="131"/>
        <v>175500</v>
      </c>
      <c r="X319" s="43">
        <f t="shared" si="126"/>
        <v>0.3</v>
      </c>
      <c r="Y319" s="44"/>
      <c r="Z319" s="44"/>
      <c r="AA319" s="44"/>
    </row>
    <row r="320" spans="2:27" ht="14.4" customHeight="1">
      <c r="B320" s="4">
        <v>316</v>
      </c>
      <c r="C320" s="5" t="s">
        <v>128</v>
      </c>
      <c r="D320" s="5" t="str">
        <f t="shared" si="120"/>
        <v xml:space="preserve"> 379</v>
      </c>
      <c r="E320" s="6" t="s">
        <v>128</v>
      </c>
      <c r="F320" s="7">
        <f t="shared" si="121"/>
        <v>0</v>
      </c>
      <c r="G320" s="7" t="s">
        <v>299</v>
      </c>
      <c r="H320" s="11" t="s">
        <v>305</v>
      </c>
      <c r="I320" s="11" t="s">
        <v>331</v>
      </c>
      <c r="J320" s="12">
        <v>103000</v>
      </c>
      <c r="K320" s="13">
        <f t="shared" si="123"/>
        <v>6800</v>
      </c>
      <c r="L320" s="7" t="s">
        <v>24</v>
      </c>
      <c r="M320" s="14">
        <f>J320-N320</f>
        <v>96200</v>
      </c>
      <c r="N320" s="14">
        <f>2000+200+350+600+650+3000</f>
        <v>6800</v>
      </c>
      <c r="O320" s="40">
        <f t="shared" si="127"/>
        <v>103000</v>
      </c>
      <c r="P320" s="106"/>
      <c r="Q320" s="3" t="s">
        <v>374</v>
      </c>
      <c r="R320" s="37">
        <v>5000</v>
      </c>
      <c r="S320" s="37">
        <f t="shared" si="129"/>
        <v>108000</v>
      </c>
      <c r="T320" s="37">
        <f t="shared" si="124"/>
        <v>154285.71428571429</v>
      </c>
      <c r="U320" s="41">
        <f t="shared" si="125"/>
        <v>176326.53061224491</v>
      </c>
      <c r="V320" s="42">
        <f t="shared" si="130"/>
        <v>0.12500000000000003</v>
      </c>
      <c r="W320" s="41">
        <f t="shared" si="131"/>
        <v>176400</v>
      </c>
      <c r="X320" s="43">
        <f t="shared" si="126"/>
        <v>0.33240740740740743</v>
      </c>
      <c r="Y320" s="44"/>
      <c r="Z320" s="44"/>
      <c r="AA320" s="45"/>
    </row>
    <row r="321" spans="2:27" ht="14.4" customHeight="1">
      <c r="B321" s="4">
        <v>317</v>
      </c>
      <c r="C321" s="5" t="s">
        <v>45</v>
      </c>
      <c r="D321" s="5" t="str">
        <f t="shared" si="120"/>
        <v xml:space="preserve"> 809</v>
      </c>
      <c r="E321" s="6" t="s">
        <v>45</v>
      </c>
      <c r="F321" s="7">
        <f t="shared" si="121"/>
        <v>0</v>
      </c>
      <c r="G321" s="11" t="s">
        <v>21</v>
      </c>
      <c r="H321" s="11" t="s">
        <v>305</v>
      </c>
      <c r="I321" s="11" t="s">
        <v>332</v>
      </c>
      <c r="J321" s="12">
        <v>117500</v>
      </c>
      <c r="K321" s="13">
        <f t="shared" si="123"/>
        <v>6900</v>
      </c>
      <c r="L321" s="7" t="s">
        <v>24</v>
      </c>
      <c r="M321" s="14">
        <f>J321-N321</f>
        <v>110600</v>
      </c>
      <c r="N321" s="14">
        <f>2000+200+600+550+3000+550</f>
        <v>6900</v>
      </c>
      <c r="O321" s="40">
        <f t="shared" si="127"/>
        <v>117500</v>
      </c>
      <c r="P321" s="105"/>
      <c r="Q321" s="3" t="s">
        <v>379</v>
      </c>
      <c r="R321" s="37"/>
      <c r="S321" s="37">
        <f t="shared" si="129"/>
        <v>117500</v>
      </c>
      <c r="T321" s="37">
        <f t="shared" si="124"/>
        <v>167857.14285714287</v>
      </c>
      <c r="U321" s="41">
        <f t="shared" si="125"/>
        <v>191836.73469387757</v>
      </c>
      <c r="V321" s="42">
        <f t="shared" si="130"/>
        <v>0.12500000000000003</v>
      </c>
      <c r="W321" s="41">
        <f t="shared" si="131"/>
        <v>191900</v>
      </c>
      <c r="X321" s="43">
        <f t="shared" si="126"/>
        <v>0.30000000000000004</v>
      </c>
      <c r="Y321" s="46">
        <v>167913</v>
      </c>
      <c r="Z321" s="47">
        <f>T321-Y321</f>
        <v>-55.857142857130384</v>
      </c>
      <c r="AA321" s="48">
        <f>Z321/Y321</f>
        <v>-3.3265526110027444E-4</v>
      </c>
    </row>
    <row r="322" spans="2:27" ht="14.4" customHeight="1">
      <c r="B322" s="4">
        <v>318</v>
      </c>
      <c r="C322" s="39" t="s">
        <v>671</v>
      </c>
      <c r="D322" s="5" t="str">
        <f t="shared" si="120"/>
        <v xml:space="preserve"> 283</v>
      </c>
      <c r="E322" s="6" t="s">
        <v>671</v>
      </c>
      <c r="F322" s="7">
        <f t="shared" si="121"/>
        <v>0</v>
      </c>
      <c r="G322" s="8" t="s">
        <v>21</v>
      </c>
      <c r="H322" s="8" t="s">
        <v>42</v>
      </c>
      <c r="I322" s="8" t="s">
        <v>587</v>
      </c>
      <c r="J322" s="12"/>
      <c r="K322" s="13">
        <f t="shared" si="123"/>
        <v>0</v>
      </c>
      <c r="L322" s="7"/>
      <c r="M322" s="14"/>
      <c r="N322" s="14"/>
      <c r="O322" s="40">
        <f t="shared" si="127"/>
        <v>0</v>
      </c>
      <c r="P322" s="105"/>
      <c r="Q322" s="3"/>
      <c r="R322" s="37"/>
      <c r="S322" s="37">
        <f t="shared" si="129"/>
        <v>0</v>
      </c>
      <c r="T322" s="37">
        <f t="shared" si="124"/>
        <v>0</v>
      </c>
      <c r="U322" s="41">
        <f t="shared" si="125"/>
        <v>0</v>
      </c>
      <c r="V322" s="42" t="e">
        <f t="shared" si="130"/>
        <v>#DIV/0!</v>
      </c>
      <c r="W322" s="41">
        <f t="shared" si="131"/>
        <v>0</v>
      </c>
      <c r="X322" s="43" t="e">
        <f t="shared" si="126"/>
        <v>#DIV/0!</v>
      </c>
      <c r="Y322" s="46">
        <v>115763</v>
      </c>
      <c r="Z322" s="47">
        <f>T322-Y322</f>
        <v>-115763</v>
      </c>
      <c r="AA322" s="48">
        <f>Z322/Y322</f>
        <v>-1</v>
      </c>
    </row>
    <row r="323" spans="2:27" ht="14.4" customHeight="1">
      <c r="B323" s="4">
        <v>319</v>
      </c>
      <c r="C323" s="5" t="s">
        <v>47</v>
      </c>
      <c r="D323" s="5" t="str">
        <f t="shared" si="120"/>
        <v xml:space="preserve"> 431</v>
      </c>
      <c r="E323" s="6" t="s">
        <v>47</v>
      </c>
      <c r="F323" s="7">
        <f t="shared" si="121"/>
        <v>0</v>
      </c>
      <c r="G323" s="11" t="s">
        <v>21</v>
      </c>
      <c r="H323" s="11" t="s">
        <v>43</v>
      </c>
      <c r="I323" s="11" t="s">
        <v>361</v>
      </c>
      <c r="J323" s="12">
        <f>M323</f>
        <v>101000</v>
      </c>
      <c r="K323" s="13">
        <f t="shared" si="123"/>
        <v>0</v>
      </c>
      <c r="L323" s="17" t="s">
        <v>23</v>
      </c>
      <c r="M323" s="18">
        <v>101000</v>
      </c>
      <c r="N323" s="15">
        <f>2000+200+300+800+2850</f>
        <v>6150</v>
      </c>
      <c r="O323" s="40">
        <f t="shared" si="127"/>
        <v>107150</v>
      </c>
      <c r="P323" s="106"/>
      <c r="Q323" s="3" t="s">
        <v>437</v>
      </c>
      <c r="R323" s="37"/>
      <c r="S323" s="37">
        <f t="shared" si="129"/>
        <v>107150</v>
      </c>
      <c r="T323" s="37">
        <f t="shared" si="124"/>
        <v>153071.42857142858</v>
      </c>
      <c r="U323" s="41">
        <f t="shared" si="125"/>
        <v>174938.77551020408</v>
      </c>
      <c r="V323" s="42">
        <f t="shared" si="130"/>
        <v>0.12499999999999996</v>
      </c>
      <c r="W323" s="41">
        <f t="shared" si="131"/>
        <v>175000</v>
      </c>
      <c r="X323" s="43">
        <f t="shared" si="126"/>
        <v>0.30000000000000004</v>
      </c>
      <c r="Y323" s="46">
        <v>149538</v>
      </c>
      <c r="Z323" s="47">
        <f>T323-Y323</f>
        <v>3533.4285714285797</v>
      </c>
      <c r="AA323" s="48">
        <f>Z323/Y323</f>
        <v>2.3628967696696358E-2</v>
      </c>
    </row>
    <row r="324" spans="2:27" ht="14.4" customHeight="1">
      <c r="B324" s="4">
        <v>320</v>
      </c>
      <c r="C324" s="39" t="s">
        <v>672</v>
      </c>
      <c r="D324" s="5" t="str">
        <f t="shared" si="120"/>
        <v xml:space="preserve"> 879</v>
      </c>
      <c r="E324" s="6" t="s">
        <v>672</v>
      </c>
      <c r="F324" s="7">
        <f t="shared" si="121"/>
        <v>0</v>
      </c>
      <c r="G324" s="8" t="s">
        <v>299</v>
      </c>
      <c r="H324" s="8" t="s">
        <v>46</v>
      </c>
      <c r="I324" s="8" t="s">
        <v>673</v>
      </c>
      <c r="J324" s="12"/>
      <c r="K324" s="13">
        <f t="shared" si="123"/>
        <v>0</v>
      </c>
      <c r="L324" s="7"/>
      <c r="M324" s="14">
        <f t="shared" ref="M324:M328" si="144">J324-N324</f>
        <v>0</v>
      </c>
      <c r="N324" s="15"/>
      <c r="O324" s="40">
        <f t="shared" si="127"/>
        <v>0</v>
      </c>
      <c r="P324" s="106"/>
      <c r="Q324" s="3"/>
      <c r="R324" s="37"/>
      <c r="S324" s="37">
        <f t="shared" si="129"/>
        <v>0</v>
      </c>
      <c r="T324" s="37">
        <f t="shared" si="124"/>
        <v>0</v>
      </c>
      <c r="U324" s="41">
        <f t="shared" si="125"/>
        <v>0</v>
      </c>
      <c r="V324" s="42" t="e">
        <f t="shared" si="130"/>
        <v>#DIV/0!</v>
      </c>
      <c r="W324" s="41">
        <f t="shared" si="131"/>
        <v>0</v>
      </c>
      <c r="X324" s="43" t="e">
        <f t="shared" si="126"/>
        <v>#DIV/0!</v>
      </c>
      <c r="Y324" s="46"/>
      <c r="Z324" s="47"/>
      <c r="AA324" s="48"/>
    </row>
    <row r="325" spans="2:27" ht="14.4" customHeight="1">
      <c r="B325" s="4">
        <v>321</v>
      </c>
      <c r="C325" s="39" t="s">
        <v>674</v>
      </c>
      <c r="D325" s="5" t="str">
        <f t="shared" si="120"/>
        <v xml:space="preserve"> 824</v>
      </c>
      <c r="E325" s="6" t="s">
        <v>674</v>
      </c>
      <c r="F325" s="7">
        <f t="shared" si="121"/>
        <v>0</v>
      </c>
      <c r="G325" s="8" t="s">
        <v>21</v>
      </c>
      <c r="H325" s="8" t="s">
        <v>42</v>
      </c>
      <c r="I325" s="8" t="s">
        <v>675</v>
      </c>
      <c r="J325" s="101">
        <v>72500</v>
      </c>
      <c r="K325" s="101">
        <f t="shared" ref="K325" si="145">J325-M325</f>
        <v>6150</v>
      </c>
      <c r="L325" s="115" t="s">
        <v>1439</v>
      </c>
      <c r="M325" s="98">
        <f t="shared" si="144"/>
        <v>66350</v>
      </c>
      <c r="N325" s="98">
        <f>2000+2850+800+200+300</f>
        <v>6150</v>
      </c>
      <c r="O325" s="112">
        <f>M325+N325</f>
        <v>72500</v>
      </c>
      <c r="P325" s="106"/>
      <c r="Q325" s="99" t="s">
        <v>1415</v>
      </c>
      <c r="R325" s="37"/>
      <c r="S325" s="37">
        <f t="shared" si="129"/>
        <v>72500</v>
      </c>
      <c r="T325" s="37">
        <f t="shared" ref="T325:T388" si="146">S325/0.7</f>
        <v>103571.42857142858</v>
      </c>
      <c r="U325" s="41">
        <f t="shared" ref="U325:U388" si="147">T325/0.875</f>
        <v>118367.34693877552</v>
      </c>
      <c r="V325" s="42">
        <f t="shared" si="130"/>
        <v>0.12499999999999999</v>
      </c>
      <c r="W325" s="41">
        <f t="shared" si="131"/>
        <v>118400</v>
      </c>
      <c r="X325" s="43">
        <f t="shared" ref="X325:X388" si="148">(T325-O325)/T325</f>
        <v>0.30000000000000004</v>
      </c>
      <c r="Y325" s="46">
        <v>107888</v>
      </c>
      <c r="Z325" s="47">
        <f>T325-Y325</f>
        <v>-4316.5714285714203</v>
      </c>
      <c r="AA325" s="48">
        <f>Z325/Y325</f>
        <v>-4.0009745556238138E-2</v>
      </c>
    </row>
    <row r="326" spans="2:27" ht="14.4" customHeight="1">
      <c r="B326" s="4">
        <v>322</v>
      </c>
      <c r="C326" s="39" t="s">
        <v>676</v>
      </c>
      <c r="D326" s="5" t="str">
        <f t="shared" si="120"/>
        <v xml:space="preserve"> 674</v>
      </c>
      <c r="E326" s="6" t="s">
        <v>676</v>
      </c>
      <c r="F326" s="7">
        <f t="shared" si="121"/>
        <v>0</v>
      </c>
      <c r="G326" s="8" t="s">
        <v>299</v>
      </c>
      <c r="H326" s="8" t="s">
        <v>42</v>
      </c>
      <c r="I326" s="8" t="s">
        <v>515</v>
      </c>
      <c r="J326" s="96"/>
      <c r="K326" s="13">
        <f t="shared" ref="K325:K388" si="149">J326-M326</f>
        <v>0</v>
      </c>
      <c r="L326" s="102"/>
      <c r="M326" s="14">
        <f t="shared" si="144"/>
        <v>0</v>
      </c>
      <c r="N326" s="15"/>
      <c r="O326" s="40">
        <f t="shared" ref="O326" si="150">M326+N326</f>
        <v>0</v>
      </c>
      <c r="P326" s="106"/>
      <c r="Q326" s="3"/>
      <c r="R326" s="37"/>
      <c r="S326" s="37">
        <f t="shared" si="129"/>
        <v>0</v>
      </c>
      <c r="T326" s="37">
        <f t="shared" si="146"/>
        <v>0</v>
      </c>
      <c r="U326" s="41">
        <f t="shared" si="147"/>
        <v>0</v>
      </c>
      <c r="V326" s="42" t="e">
        <f t="shared" si="130"/>
        <v>#DIV/0!</v>
      </c>
      <c r="W326" s="41">
        <f t="shared" si="131"/>
        <v>0</v>
      </c>
      <c r="X326" s="43" t="e">
        <f t="shared" si="148"/>
        <v>#DIV/0!</v>
      </c>
      <c r="Y326" s="46">
        <v>0</v>
      </c>
      <c r="Z326" s="47">
        <f>T326-Y326</f>
        <v>0</v>
      </c>
      <c r="AA326" s="48" t="e">
        <f>Z326/Y326</f>
        <v>#DIV/0!</v>
      </c>
    </row>
    <row r="327" spans="2:27" ht="14.4" customHeight="1">
      <c r="B327" s="4">
        <v>323</v>
      </c>
      <c r="C327" s="5" t="s">
        <v>131</v>
      </c>
      <c r="D327" s="5" t="str">
        <f t="shared" si="120"/>
        <v xml:space="preserve"> 892</v>
      </c>
      <c r="E327" s="6" t="s">
        <v>131</v>
      </c>
      <c r="F327" s="7">
        <f t="shared" si="121"/>
        <v>0</v>
      </c>
      <c r="G327" s="11" t="s">
        <v>299</v>
      </c>
      <c r="H327" s="11" t="s">
        <v>42</v>
      </c>
      <c r="I327" s="11" t="s">
        <v>332</v>
      </c>
      <c r="J327" s="12">
        <v>76500</v>
      </c>
      <c r="K327" s="13">
        <f t="shared" si="149"/>
        <v>6450</v>
      </c>
      <c r="L327" s="7" t="s">
        <v>24</v>
      </c>
      <c r="M327" s="14">
        <f t="shared" si="144"/>
        <v>70050</v>
      </c>
      <c r="N327" s="14">
        <f>2000+200+350+600+300+3000</f>
        <v>6450</v>
      </c>
      <c r="O327" s="40">
        <f t="shared" ref="O326:O388" si="151">M327+N327</f>
        <v>76500</v>
      </c>
      <c r="P327" s="107"/>
      <c r="Q327" s="3" t="s">
        <v>376</v>
      </c>
      <c r="R327" s="37"/>
      <c r="S327" s="37">
        <f t="shared" si="129"/>
        <v>76500</v>
      </c>
      <c r="T327" s="37">
        <f t="shared" si="146"/>
        <v>109285.71428571429</v>
      </c>
      <c r="U327" s="41">
        <f t="shared" si="147"/>
        <v>124897.95918367348</v>
      </c>
      <c r="V327" s="42">
        <f t="shared" si="130"/>
        <v>0.12500000000000003</v>
      </c>
      <c r="W327" s="41">
        <f t="shared" si="131"/>
        <v>124900</v>
      </c>
      <c r="X327" s="43">
        <f t="shared" si="148"/>
        <v>0.30000000000000004</v>
      </c>
      <c r="Y327" s="44"/>
      <c r="Z327" s="44"/>
      <c r="AA327" s="45"/>
    </row>
    <row r="328" spans="2:27" ht="14.4" customHeight="1">
      <c r="B328" s="4">
        <v>324</v>
      </c>
      <c r="C328" s="39" t="s">
        <v>677</v>
      </c>
      <c r="D328" s="5" t="str">
        <f t="shared" si="120"/>
        <v xml:space="preserve"> 538</v>
      </c>
      <c r="E328" s="6" t="s">
        <v>677</v>
      </c>
      <c r="F328" s="7">
        <f t="shared" si="121"/>
        <v>0</v>
      </c>
      <c r="G328" s="8" t="s">
        <v>299</v>
      </c>
      <c r="H328" s="8" t="s">
        <v>42</v>
      </c>
      <c r="I328" s="8" t="s">
        <v>678</v>
      </c>
      <c r="J328" s="12">
        <v>78000</v>
      </c>
      <c r="K328" s="13">
        <f t="shared" si="149"/>
        <v>6450</v>
      </c>
      <c r="L328" s="7"/>
      <c r="M328" s="14">
        <f t="shared" si="144"/>
        <v>71550</v>
      </c>
      <c r="N328" s="14">
        <f>2000+600+200+350+300+3000</f>
        <v>6450</v>
      </c>
      <c r="O328" s="40">
        <f t="shared" si="151"/>
        <v>78000</v>
      </c>
      <c r="P328" s="107"/>
      <c r="Q328" s="78" t="s">
        <v>1375</v>
      </c>
      <c r="R328" s="37"/>
      <c r="S328" s="37">
        <f t="shared" si="129"/>
        <v>78000</v>
      </c>
      <c r="T328" s="37">
        <f t="shared" si="146"/>
        <v>111428.57142857143</v>
      </c>
      <c r="U328" s="41">
        <f t="shared" si="147"/>
        <v>127346.93877551021</v>
      </c>
      <c r="V328" s="42">
        <f t="shared" si="130"/>
        <v>0.12499999999999997</v>
      </c>
      <c r="W328" s="41">
        <f t="shared" si="131"/>
        <v>127400</v>
      </c>
      <c r="X328" s="43">
        <f t="shared" si="148"/>
        <v>0.30000000000000004</v>
      </c>
      <c r="Y328" s="44"/>
      <c r="Z328" s="44"/>
      <c r="AA328" s="45"/>
    </row>
    <row r="329" spans="2:27" ht="14.4" customHeight="1">
      <c r="B329" s="4">
        <v>325</v>
      </c>
      <c r="C329" s="5" t="s">
        <v>132</v>
      </c>
      <c r="D329" s="5" t="str">
        <f t="shared" si="120"/>
        <v xml:space="preserve"> 947</v>
      </c>
      <c r="E329" s="6" t="s">
        <v>132</v>
      </c>
      <c r="F329" s="7">
        <f t="shared" si="121"/>
        <v>0</v>
      </c>
      <c r="G329" s="11" t="s">
        <v>299</v>
      </c>
      <c r="H329" s="11" t="s">
        <v>42</v>
      </c>
      <c r="I329" s="11" t="s">
        <v>332</v>
      </c>
      <c r="J329" s="12">
        <v>77000</v>
      </c>
      <c r="K329" s="13">
        <f t="shared" si="149"/>
        <v>6800</v>
      </c>
      <c r="L329" s="7" t="s">
        <v>24</v>
      </c>
      <c r="M329" s="14">
        <f>J329-N329</f>
        <v>70200</v>
      </c>
      <c r="N329" s="14">
        <f>2000+200+350+600+650+3000</f>
        <v>6800</v>
      </c>
      <c r="O329" s="40">
        <f t="shared" si="151"/>
        <v>77000</v>
      </c>
      <c r="P329" s="106"/>
      <c r="Q329" s="3" t="s">
        <v>374</v>
      </c>
      <c r="R329" s="37"/>
      <c r="S329" s="37">
        <f t="shared" si="129"/>
        <v>77000</v>
      </c>
      <c r="T329" s="37">
        <f t="shared" si="146"/>
        <v>110000</v>
      </c>
      <c r="U329" s="41">
        <f t="shared" si="147"/>
        <v>125714.28571428571</v>
      </c>
      <c r="V329" s="42">
        <f t="shared" si="130"/>
        <v>0.12499999999999997</v>
      </c>
      <c r="W329" s="41">
        <f t="shared" si="131"/>
        <v>125800</v>
      </c>
      <c r="X329" s="43">
        <f t="shared" si="148"/>
        <v>0.3</v>
      </c>
      <c r="Y329" s="44"/>
      <c r="Z329" s="44"/>
      <c r="AA329" s="44"/>
    </row>
    <row r="330" spans="2:27" ht="14.4" customHeight="1">
      <c r="B330" s="4">
        <v>326</v>
      </c>
      <c r="C330" s="5" t="s">
        <v>129</v>
      </c>
      <c r="D330" s="5" t="str">
        <f t="shared" si="120"/>
        <v xml:space="preserve"> 478</v>
      </c>
      <c r="E330" s="6" t="s">
        <v>129</v>
      </c>
      <c r="F330" s="7">
        <f t="shared" si="121"/>
        <v>0</v>
      </c>
      <c r="G330" s="11" t="s">
        <v>299</v>
      </c>
      <c r="H330" s="11" t="s">
        <v>42</v>
      </c>
      <c r="I330" s="11" t="s">
        <v>332</v>
      </c>
      <c r="J330" s="12">
        <v>77000</v>
      </c>
      <c r="K330" s="13">
        <f t="shared" si="149"/>
        <v>6800</v>
      </c>
      <c r="L330" s="7" t="s">
        <v>24</v>
      </c>
      <c r="M330" s="14">
        <f>J330-N330</f>
        <v>70200</v>
      </c>
      <c r="N330" s="14">
        <f>2000+200+350+600+650+3000</f>
        <v>6800</v>
      </c>
      <c r="O330" s="40">
        <f t="shared" si="151"/>
        <v>77000</v>
      </c>
      <c r="P330" s="106"/>
      <c r="Q330" s="3" t="s">
        <v>374</v>
      </c>
      <c r="R330" s="37"/>
      <c r="S330" s="37">
        <f t="shared" si="129"/>
        <v>77000</v>
      </c>
      <c r="T330" s="37">
        <f t="shared" si="146"/>
        <v>110000</v>
      </c>
      <c r="U330" s="41">
        <f t="shared" si="147"/>
        <v>125714.28571428571</v>
      </c>
      <c r="V330" s="42">
        <f t="shared" si="130"/>
        <v>0.12499999999999997</v>
      </c>
      <c r="W330" s="41">
        <f t="shared" si="131"/>
        <v>125800</v>
      </c>
      <c r="X330" s="43">
        <f t="shared" si="148"/>
        <v>0.3</v>
      </c>
      <c r="Y330" s="44"/>
      <c r="Z330" s="44"/>
      <c r="AA330" s="44"/>
    </row>
    <row r="331" spans="2:27" ht="14.4" customHeight="1">
      <c r="B331" s="4">
        <v>327</v>
      </c>
      <c r="C331" s="5" t="s">
        <v>222</v>
      </c>
      <c r="D331" s="5" t="str">
        <f t="shared" si="120"/>
        <v xml:space="preserve"> 405</v>
      </c>
      <c r="E331" s="6" t="s">
        <v>222</v>
      </c>
      <c r="F331" s="7">
        <f t="shared" si="121"/>
        <v>0</v>
      </c>
      <c r="G331" s="11" t="s">
        <v>299</v>
      </c>
      <c r="H331" s="11" t="s">
        <v>46</v>
      </c>
      <c r="I331" s="11" t="s">
        <v>355</v>
      </c>
      <c r="J331" s="12">
        <v>107500</v>
      </c>
      <c r="K331" s="13">
        <f t="shared" si="149"/>
        <v>6450</v>
      </c>
      <c r="L331" s="7" t="s">
        <v>24</v>
      </c>
      <c r="M331" s="14">
        <f>J331-N331</f>
        <v>101050</v>
      </c>
      <c r="N331" s="15">
        <f>2000+200+350+600+300+3000</f>
        <v>6450</v>
      </c>
      <c r="O331" s="40">
        <f t="shared" si="151"/>
        <v>107500</v>
      </c>
      <c r="P331" s="107"/>
      <c r="Q331" s="3" t="s">
        <v>422</v>
      </c>
      <c r="R331" s="37"/>
      <c r="S331" s="37">
        <f t="shared" si="129"/>
        <v>107500</v>
      </c>
      <c r="T331" s="37">
        <f t="shared" si="146"/>
        <v>153571.42857142858</v>
      </c>
      <c r="U331" s="41">
        <f t="shared" si="147"/>
        <v>175510.20408163266</v>
      </c>
      <c r="V331" s="42">
        <f t="shared" si="130"/>
        <v>0.125</v>
      </c>
      <c r="W331" s="41">
        <f t="shared" si="131"/>
        <v>175600</v>
      </c>
      <c r="X331" s="43">
        <f t="shared" si="148"/>
        <v>0.30000000000000004</v>
      </c>
      <c r="Y331" s="44"/>
      <c r="Z331" s="44"/>
      <c r="AA331" s="45"/>
    </row>
    <row r="332" spans="2:27" ht="14.4" customHeight="1">
      <c r="B332" s="4">
        <v>328</v>
      </c>
      <c r="C332" s="39" t="s">
        <v>679</v>
      </c>
      <c r="D332" s="5" t="str">
        <f t="shared" si="120"/>
        <v xml:space="preserve"> 420</v>
      </c>
      <c r="E332" s="6" t="s">
        <v>679</v>
      </c>
      <c r="F332" s="7">
        <f t="shared" si="121"/>
        <v>0</v>
      </c>
      <c r="G332" s="8" t="s">
        <v>21</v>
      </c>
      <c r="H332" s="8" t="s">
        <v>42</v>
      </c>
      <c r="I332" s="8" t="s">
        <v>587</v>
      </c>
      <c r="J332" s="12"/>
      <c r="K332" s="13">
        <f t="shared" si="149"/>
        <v>0</v>
      </c>
      <c r="L332" s="7"/>
      <c r="M332" s="14">
        <f t="shared" ref="M332" si="152">J332-N332</f>
        <v>0</v>
      </c>
      <c r="N332" s="15"/>
      <c r="O332" s="40">
        <f t="shared" si="151"/>
        <v>0</v>
      </c>
      <c r="P332" s="107"/>
      <c r="Q332" s="3"/>
      <c r="R332" s="37"/>
      <c r="S332" s="37">
        <f t="shared" si="129"/>
        <v>0</v>
      </c>
      <c r="T332" s="37">
        <f t="shared" si="146"/>
        <v>0</v>
      </c>
      <c r="U332" s="41">
        <f t="shared" si="147"/>
        <v>0</v>
      </c>
      <c r="V332" s="42" t="e">
        <f t="shared" si="130"/>
        <v>#DIV/0!</v>
      </c>
      <c r="W332" s="41">
        <f t="shared" si="131"/>
        <v>0</v>
      </c>
      <c r="X332" s="43" t="e">
        <f t="shared" si="148"/>
        <v>#DIV/0!</v>
      </c>
      <c r="Y332" s="46">
        <v>121450</v>
      </c>
      <c r="Z332" s="47">
        <f>T332-Y332</f>
        <v>-121450</v>
      </c>
      <c r="AA332" s="48">
        <f>Z332/Y332</f>
        <v>-1</v>
      </c>
    </row>
    <row r="333" spans="2:27" ht="14.4" customHeight="1">
      <c r="B333" s="4">
        <v>329</v>
      </c>
      <c r="C333" s="5" t="s">
        <v>254</v>
      </c>
      <c r="D333" s="5" t="str">
        <f t="shared" si="120"/>
        <v xml:space="preserve"> 711</v>
      </c>
      <c r="E333" s="6" t="s">
        <v>254</v>
      </c>
      <c r="F333" s="7">
        <f t="shared" si="121"/>
        <v>0</v>
      </c>
      <c r="G333" s="11" t="s">
        <v>299</v>
      </c>
      <c r="H333" s="11" t="s">
        <v>46</v>
      </c>
      <c r="I333" s="11" t="s">
        <v>361</v>
      </c>
      <c r="J333" s="12">
        <f>M333</f>
        <v>84000</v>
      </c>
      <c r="K333" s="13">
        <f t="shared" si="149"/>
        <v>0</v>
      </c>
      <c r="L333" s="17" t="s">
        <v>23</v>
      </c>
      <c r="M333" s="18">
        <v>84000</v>
      </c>
      <c r="N333" s="15">
        <f>2000+200+350+600+300+3000</f>
        <v>6450</v>
      </c>
      <c r="O333" s="40">
        <f t="shared" si="151"/>
        <v>90450</v>
      </c>
      <c r="P333" s="106"/>
      <c r="Q333" s="3" t="s">
        <v>422</v>
      </c>
      <c r="R333" s="37"/>
      <c r="S333" s="37">
        <f t="shared" si="129"/>
        <v>90450</v>
      </c>
      <c r="T333" s="37">
        <f t="shared" si="146"/>
        <v>129214.28571428572</v>
      </c>
      <c r="U333" s="41">
        <f t="shared" si="147"/>
        <v>147673.46938775512</v>
      </c>
      <c r="V333" s="42">
        <f t="shared" si="130"/>
        <v>0.12500000000000003</v>
      </c>
      <c r="W333" s="41">
        <f t="shared" si="131"/>
        <v>147700</v>
      </c>
      <c r="X333" s="43">
        <f t="shared" si="148"/>
        <v>0.30000000000000004</v>
      </c>
      <c r="Y333" s="44"/>
      <c r="Z333" s="44"/>
      <c r="AA333" s="45"/>
    </row>
    <row r="334" spans="2:27" ht="14.4" customHeight="1">
      <c r="B334" s="4">
        <v>330</v>
      </c>
      <c r="C334" s="5" t="s">
        <v>261</v>
      </c>
      <c r="D334" s="5" t="str">
        <f t="shared" si="120"/>
        <v xml:space="preserve"> 502</v>
      </c>
      <c r="E334" s="6" t="s">
        <v>261</v>
      </c>
      <c r="F334" s="7">
        <f t="shared" si="121"/>
        <v>0</v>
      </c>
      <c r="G334" s="11" t="s">
        <v>299</v>
      </c>
      <c r="H334" s="11" t="s">
        <v>321</v>
      </c>
      <c r="I334" s="11" t="s">
        <v>364</v>
      </c>
      <c r="J334" s="12">
        <v>82500</v>
      </c>
      <c r="K334" s="13">
        <f t="shared" si="149"/>
        <v>6450</v>
      </c>
      <c r="L334" s="7" t="s">
        <v>24</v>
      </c>
      <c r="M334" s="14">
        <f>J334-N334</f>
        <v>76050</v>
      </c>
      <c r="N334" s="15">
        <f>300+2000+200+350+600+3000</f>
        <v>6450</v>
      </c>
      <c r="O334" s="40">
        <f t="shared" si="151"/>
        <v>82500</v>
      </c>
      <c r="P334" s="106"/>
      <c r="Q334" s="3" t="s">
        <v>452</v>
      </c>
      <c r="R334" s="37"/>
      <c r="S334" s="37">
        <f t="shared" ref="S334:S397" si="153">R334+O334</f>
        <v>82500</v>
      </c>
      <c r="T334" s="37">
        <f t="shared" si="146"/>
        <v>117857.14285714287</v>
      </c>
      <c r="U334" s="41">
        <f t="shared" si="147"/>
        <v>134693.87755102041</v>
      </c>
      <c r="V334" s="42">
        <f t="shared" ref="V334:V397" si="154">(U334-T334)/U334</f>
        <v>0.12499999999999994</v>
      </c>
      <c r="W334" s="41">
        <f t="shared" ref="W334:W397" si="155">(ROUNDUP((U334/100),0))*100</f>
        <v>134700</v>
      </c>
      <c r="X334" s="43">
        <f t="shared" si="148"/>
        <v>0.3000000000000001</v>
      </c>
      <c r="Y334" s="44"/>
      <c r="Z334" s="44"/>
      <c r="AA334" s="44"/>
    </row>
    <row r="335" spans="2:27" ht="14.4" customHeight="1">
      <c r="B335" s="4">
        <v>331</v>
      </c>
      <c r="C335" s="39" t="s">
        <v>680</v>
      </c>
      <c r="D335" s="5" t="str">
        <f t="shared" si="120"/>
        <v xml:space="preserve"> 694</v>
      </c>
      <c r="E335" s="6" t="s">
        <v>680</v>
      </c>
      <c r="F335" s="7">
        <f t="shared" si="121"/>
        <v>0</v>
      </c>
      <c r="G335" s="8" t="s">
        <v>299</v>
      </c>
      <c r="H335" s="8" t="s">
        <v>307</v>
      </c>
      <c r="I335" s="8" t="s">
        <v>681</v>
      </c>
      <c r="J335" s="12"/>
      <c r="K335" s="13">
        <f t="shared" si="149"/>
        <v>0</v>
      </c>
      <c r="L335" s="7"/>
      <c r="M335" s="14">
        <f t="shared" ref="M335" si="156">J335-N335</f>
        <v>0</v>
      </c>
      <c r="N335" s="15"/>
      <c r="O335" s="40">
        <f t="shared" si="151"/>
        <v>0</v>
      </c>
      <c r="P335" s="106"/>
      <c r="Q335" s="3"/>
      <c r="R335" s="37"/>
      <c r="S335" s="37">
        <f t="shared" si="153"/>
        <v>0</v>
      </c>
      <c r="T335" s="37">
        <f t="shared" si="146"/>
        <v>0</v>
      </c>
      <c r="U335" s="41">
        <f t="shared" si="147"/>
        <v>0</v>
      </c>
      <c r="V335" s="42" t="e">
        <f t="shared" si="154"/>
        <v>#DIV/0!</v>
      </c>
      <c r="W335" s="41">
        <f t="shared" si="155"/>
        <v>0</v>
      </c>
      <c r="X335" s="43" t="e">
        <f t="shared" si="148"/>
        <v>#DIV/0!</v>
      </c>
      <c r="Y335" s="44"/>
      <c r="Z335" s="44"/>
      <c r="AA335" s="44"/>
    </row>
    <row r="336" spans="2:27" ht="14.4" customHeight="1">
      <c r="B336" s="4">
        <v>332</v>
      </c>
      <c r="C336" s="5" t="s">
        <v>224</v>
      </c>
      <c r="D336" s="5" t="str">
        <f t="shared" si="120"/>
        <v xml:space="preserve"> 835</v>
      </c>
      <c r="E336" s="6" t="s">
        <v>224</v>
      </c>
      <c r="F336" s="7">
        <f t="shared" si="121"/>
        <v>0</v>
      </c>
      <c r="G336" s="11" t="s">
        <v>299</v>
      </c>
      <c r="H336" s="11" t="s">
        <v>46</v>
      </c>
      <c r="I336" s="11" t="s">
        <v>355</v>
      </c>
      <c r="J336" s="12">
        <v>105000</v>
      </c>
      <c r="K336" s="13">
        <f t="shared" si="149"/>
        <v>6450</v>
      </c>
      <c r="L336" s="7" t="s">
        <v>24</v>
      </c>
      <c r="M336" s="14">
        <f>J336-N336</f>
        <v>98550</v>
      </c>
      <c r="N336" s="15">
        <f>2000+200+350+600+300+3000</f>
        <v>6450</v>
      </c>
      <c r="O336" s="40">
        <f t="shared" si="151"/>
        <v>105000</v>
      </c>
      <c r="P336" s="107"/>
      <c r="Q336" s="3" t="s">
        <v>422</v>
      </c>
      <c r="R336" s="37"/>
      <c r="S336" s="37">
        <f t="shared" si="153"/>
        <v>105000</v>
      </c>
      <c r="T336" s="37">
        <f t="shared" si="146"/>
        <v>150000</v>
      </c>
      <c r="U336" s="41">
        <f t="shared" si="147"/>
        <v>171428.57142857142</v>
      </c>
      <c r="V336" s="42">
        <f t="shared" si="154"/>
        <v>0.12499999999999996</v>
      </c>
      <c r="W336" s="41">
        <f t="shared" si="155"/>
        <v>171500</v>
      </c>
      <c r="X336" s="43">
        <f t="shared" si="148"/>
        <v>0.3</v>
      </c>
      <c r="Y336" s="44"/>
      <c r="Z336" s="44"/>
      <c r="AA336" s="45"/>
    </row>
    <row r="337" spans="2:27" ht="14.4" customHeight="1">
      <c r="B337" s="4">
        <v>333</v>
      </c>
      <c r="C337" s="39" t="s">
        <v>682</v>
      </c>
      <c r="D337" s="5" t="str">
        <f t="shared" si="120"/>
        <v xml:space="preserve"> 884</v>
      </c>
      <c r="E337" s="6" t="s">
        <v>682</v>
      </c>
      <c r="F337" s="7">
        <f t="shared" si="121"/>
        <v>0</v>
      </c>
      <c r="G337" s="8" t="s">
        <v>21</v>
      </c>
      <c r="H337" s="8" t="s">
        <v>42</v>
      </c>
      <c r="I337" s="8" t="s">
        <v>587</v>
      </c>
      <c r="J337" s="12"/>
      <c r="K337" s="13">
        <f t="shared" si="149"/>
        <v>0</v>
      </c>
      <c r="L337" s="7"/>
      <c r="M337" s="14">
        <f t="shared" ref="M337" si="157">J337-N337</f>
        <v>0</v>
      </c>
      <c r="N337" s="15"/>
      <c r="O337" s="40">
        <f t="shared" si="151"/>
        <v>0</v>
      </c>
      <c r="P337" s="107"/>
      <c r="Q337" s="3"/>
      <c r="R337" s="37"/>
      <c r="S337" s="37">
        <f t="shared" si="153"/>
        <v>0</v>
      </c>
      <c r="T337" s="37">
        <f t="shared" si="146"/>
        <v>0</v>
      </c>
      <c r="U337" s="41">
        <f t="shared" si="147"/>
        <v>0</v>
      </c>
      <c r="V337" s="42" t="e">
        <f t="shared" si="154"/>
        <v>#DIV/0!</v>
      </c>
      <c r="W337" s="41">
        <f t="shared" si="155"/>
        <v>0</v>
      </c>
      <c r="X337" s="43" t="e">
        <f t="shared" si="148"/>
        <v>#DIV/0!</v>
      </c>
      <c r="Y337" s="46">
        <v>115763</v>
      </c>
      <c r="Z337" s="47">
        <f>T337-Y337</f>
        <v>-115763</v>
      </c>
      <c r="AA337" s="48">
        <f>Z337/Y337</f>
        <v>-1</v>
      </c>
    </row>
    <row r="338" spans="2:27" ht="14.4" customHeight="1">
      <c r="B338" s="4">
        <v>334</v>
      </c>
      <c r="C338" s="5" t="s">
        <v>220</v>
      </c>
      <c r="D338" s="5" t="str">
        <f t="shared" si="120"/>
        <v xml:space="preserve"> 579</v>
      </c>
      <c r="E338" s="6" t="s">
        <v>220</v>
      </c>
      <c r="F338" s="7">
        <f t="shared" si="121"/>
        <v>0</v>
      </c>
      <c r="G338" s="11" t="s">
        <v>299</v>
      </c>
      <c r="H338" s="11" t="s">
        <v>46</v>
      </c>
      <c r="I338" s="11" t="s">
        <v>355</v>
      </c>
      <c r="J338" s="12">
        <v>105000</v>
      </c>
      <c r="K338" s="13">
        <f t="shared" si="149"/>
        <v>6450</v>
      </c>
      <c r="L338" s="7" t="s">
        <v>24</v>
      </c>
      <c r="M338" s="14">
        <f>J338-N338</f>
        <v>98550</v>
      </c>
      <c r="N338" s="15">
        <f>2000+200+350+600+300+3000</f>
        <v>6450</v>
      </c>
      <c r="O338" s="40">
        <f t="shared" si="151"/>
        <v>105000</v>
      </c>
      <c r="P338" s="106"/>
      <c r="Q338" s="3" t="s">
        <v>422</v>
      </c>
      <c r="R338" s="37"/>
      <c r="S338" s="37">
        <f t="shared" si="153"/>
        <v>105000</v>
      </c>
      <c r="T338" s="37">
        <f t="shared" si="146"/>
        <v>150000</v>
      </c>
      <c r="U338" s="41">
        <f t="shared" si="147"/>
        <v>171428.57142857142</v>
      </c>
      <c r="V338" s="42">
        <f t="shared" si="154"/>
        <v>0.12499999999999996</v>
      </c>
      <c r="W338" s="41">
        <f t="shared" si="155"/>
        <v>171500</v>
      </c>
      <c r="X338" s="43">
        <f t="shared" si="148"/>
        <v>0.3</v>
      </c>
      <c r="Y338" s="44"/>
      <c r="Z338" s="44"/>
      <c r="AA338" s="45"/>
    </row>
    <row r="339" spans="2:27" ht="14.4" customHeight="1">
      <c r="B339" s="4">
        <v>335</v>
      </c>
      <c r="C339" s="5" t="s">
        <v>48</v>
      </c>
      <c r="D339" s="5" t="str">
        <f t="shared" si="120"/>
        <v xml:space="preserve"> 758</v>
      </c>
      <c r="E339" s="6" t="s">
        <v>48</v>
      </c>
      <c r="F339" s="7">
        <f t="shared" si="121"/>
        <v>0</v>
      </c>
      <c r="G339" s="11" t="s">
        <v>21</v>
      </c>
      <c r="H339" s="11" t="s">
        <v>43</v>
      </c>
      <c r="I339" s="11" t="s">
        <v>341</v>
      </c>
      <c r="J339" s="12">
        <v>105000</v>
      </c>
      <c r="K339" s="13">
        <f t="shared" si="149"/>
        <v>6800</v>
      </c>
      <c r="L339" s="7" t="s">
        <v>24</v>
      </c>
      <c r="M339" s="14">
        <f>J339-N339</f>
        <v>98200</v>
      </c>
      <c r="N339" s="14">
        <v>6800</v>
      </c>
      <c r="O339" s="40">
        <f t="shared" si="151"/>
        <v>105000</v>
      </c>
      <c r="P339" s="105"/>
      <c r="Q339" s="3" t="s">
        <v>398</v>
      </c>
      <c r="R339" s="37"/>
      <c r="S339" s="37">
        <f t="shared" si="153"/>
        <v>105000</v>
      </c>
      <c r="T339" s="37">
        <f t="shared" si="146"/>
        <v>150000</v>
      </c>
      <c r="U339" s="41">
        <f t="shared" si="147"/>
        <v>171428.57142857142</v>
      </c>
      <c r="V339" s="42">
        <f t="shared" si="154"/>
        <v>0.12499999999999996</v>
      </c>
      <c r="W339" s="41">
        <f t="shared" si="155"/>
        <v>171500</v>
      </c>
      <c r="X339" s="43">
        <f t="shared" si="148"/>
        <v>0.3</v>
      </c>
      <c r="Y339" s="46">
        <v>132213</v>
      </c>
      <c r="Z339" s="47">
        <f>T339-Y339</f>
        <v>17787</v>
      </c>
      <c r="AA339" s="48">
        <f>Z339/Y339</f>
        <v>0.13453291279980031</v>
      </c>
    </row>
    <row r="340" spans="2:27" ht="14.4" customHeight="1">
      <c r="B340" s="4">
        <v>336</v>
      </c>
      <c r="C340" s="5" t="s">
        <v>223</v>
      </c>
      <c r="D340" s="5" t="str">
        <f t="shared" si="120"/>
        <v xml:space="preserve"> 704</v>
      </c>
      <c r="E340" s="6" t="s">
        <v>223</v>
      </c>
      <c r="F340" s="7">
        <f t="shared" si="121"/>
        <v>0</v>
      </c>
      <c r="G340" s="11" t="s">
        <v>299</v>
      </c>
      <c r="H340" s="11" t="s">
        <v>46</v>
      </c>
      <c r="I340" s="11" t="s">
        <v>355</v>
      </c>
      <c r="J340" s="12">
        <v>101000</v>
      </c>
      <c r="K340" s="13">
        <f t="shared" si="149"/>
        <v>6450</v>
      </c>
      <c r="L340" s="7" t="s">
        <v>24</v>
      </c>
      <c r="M340" s="14">
        <f>J340-N340</f>
        <v>94550</v>
      </c>
      <c r="N340" s="15">
        <f>2000+200+350+600+300+3000</f>
        <v>6450</v>
      </c>
      <c r="O340" s="40">
        <f t="shared" si="151"/>
        <v>101000</v>
      </c>
      <c r="P340" s="107"/>
      <c r="Q340" s="3" t="s">
        <v>422</v>
      </c>
      <c r="R340" s="37"/>
      <c r="S340" s="37">
        <f t="shared" si="153"/>
        <v>101000</v>
      </c>
      <c r="T340" s="37">
        <f t="shared" si="146"/>
        <v>144285.71428571429</v>
      </c>
      <c r="U340" s="41">
        <f t="shared" si="147"/>
        <v>164897.95918367346</v>
      </c>
      <c r="V340" s="42">
        <f t="shared" si="154"/>
        <v>0.12499999999999993</v>
      </c>
      <c r="W340" s="41">
        <f t="shared" si="155"/>
        <v>164900</v>
      </c>
      <c r="X340" s="43">
        <f t="shared" si="148"/>
        <v>0.30000000000000004</v>
      </c>
      <c r="Y340" s="44"/>
      <c r="Z340" s="44"/>
      <c r="AA340" s="45"/>
    </row>
    <row r="341" spans="2:27" ht="14.4" customHeight="1">
      <c r="B341" s="4">
        <v>337</v>
      </c>
      <c r="C341" s="5" t="s">
        <v>243</v>
      </c>
      <c r="D341" s="5" t="str">
        <f t="shared" si="120"/>
        <v xml:space="preserve"> 386</v>
      </c>
      <c r="E341" s="6" t="s">
        <v>243</v>
      </c>
      <c r="F341" s="7">
        <f t="shared" si="121"/>
        <v>0</v>
      </c>
      <c r="G341" s="11" t="s">
        <v>299</v>
      </c>
      <c r="H341" s="11" t="s">
        <v>43</v>
      </c>
      <c r="I341" s="11" t="s">
        <v>361</v>
      </c>
      <c r="J341" s="12">
        <v>107500</v>
      </c>
      <c r="K341" s="13">
        <f t="shared" si="149"/>
        <v>0</v>
      </c>
      <c r="L341" s="17" t="s">
        <v>23</v>
      </c>
      <c r="M341" s="20">
        <v>107500</v>
      </c>
      <c r="N341" s="15">
        <f>2000+200+350+600+300+3000</f>
        <v>6450</v>
      </c>
      <c r="O341" s="40">
        <f t="shared" si="151"/>
        <v>113950</v>
      </c>
      <c r="P341" s="106"/>
      <c r="Q341" s="3" t="s">
        <v>436</v>
      </c>
      <c r="R341" s="37"/>
      <c r="S341" s="37">
        <f t="shared" si="153"/>
        <v>113950</v>
      </c>
      <c r="T341" s="37">
        <f t="shared" si="146"/>
        <v>162785.71428571429</v>
      </c>
      <c r="U341" s="41">
        <f t="shared" si="147"/>
        <v>186040.81632653062</v>
      </c>
      <c r="V341" s="42">
        <f t="shared" si="154"/>
        <v>0.12500000000000003</v>
      </c>
      <c r="W341" s="41">
        <f t="shared" si="155"/>
        <v>186100</v>
      </c>
      <c r="X341" s="43">
        <f t="shared" si="148"/>
        <v>0.30000000000000004</v>
      </c>
      <c r="Y341" s="44"/>
      <c r="Z341" s="44"/>
      <c r="AA341" s="44"/>
    </row>
    <row r="342" spans="2:27" ht="14.4" customHeight="1">
      <c r="B342" s="4">
        <v>338</v>
      </c>
      <c r="C342" s="39" t="s">
        <v>683</v>
      </c>
      <c r="D342" s="5" t="str">
        <f t="shared" si="120"/>
        <v xml:space="preserve"> 937</v>
      </c>
      <c r="E342" s="6" t="s">
        <v>683</v>
      </c>
      <c r="F342" s="7">
        <f t="shared" si="121"/>
        <v>0</v>
      </c>
      <c r="G342" s="8" t="s">
        <v>21</v>
      </c>
      <c r="H342" s="8" t="s">
        <v>49</v>
      </c>
      <c r="I342" s="8" t="s">
        <v>589</v>
      </c>
      <c r="J342" s="101">
        <v>97500</v>
      </c>
      <c r="K342" s="101">
        <f t="shared" si="149"/>
        <v>6950</v>
      </c>
      <c r="L342" s="115" t="s">
        <v>1439</v>
      </c>
      <c r="M342" s="98">
        <f t="shared" ref="M342" si="158">J342-N342</f>
        <v>90550</v>
      </c>
      <c r="N342" s="98">
        <f>2000+2850+800+200+300+800</f>
        <v>6950</v>
      </c>
      <c r="O342" s="112">
        <f t="shared" si="151"/>
        <v>97500</v>
      </c>
      <c r="P342" s="106"/>
      <c r="Q342" s="99" t="s">
        <v>1426</v>
      </c>
      <c r="R342" s="37"/>
      <c r="S342" s="37">
        <f t="shared" si="153"/>
        <v>97500</v>
      </c>
      <c r="T342" s="37">
        <f t="shared" si="146"/>
        <v>139285.71428571429</v>
      </c>
      <c r="U342" s="41">
        <f t="shared" si="147"/>
        <v>159183.67346938775</v>
      </c>
      <c r="V342" s="42">
        <f t="shared" si="154"/>
        <v>0.12499999999999996</v>
      </c>
      <c r="W342" s="41">
        <f t="shared" si="155"/>
        <v>159200</v>
      </c>
      <c r="X342" s="43">
        <f t="shared" si="148"/>
        <v>0.30000000000000004</v>
      </c>
      <c r="Y342" s="46">
        <v>142188</v>
      </c>
      <c r="Z342" s="47">
        <f>T342-Y342</f>
        <v>-2902.2857142857101</v>
      </c>
      <c r="AA342" s="48">
        <f>Z342/Y342</f>
        <v>-2.04116079717396E-2</v>
      </c>
    </row>
    <row r="343" spans="2:27" ht="14.4" customHeight="1">
      <c r="B343" s="4">
        <v>339</v>
      </c>
      <c r="C343" s="39" t="s">
        <v>1381</v>
      </c>
      <c r="D343" s="5" t="str">
        <f t="shared" si="120"/>
        <v xml:space="preserve"> 255</v>
      </c>
      <c r="E343" s="6" t="s">
        <v>1381</v>
      </c>
      <c r="F343" s="7">
        <f t="shared" si="121"/>
        <v>0</v>
      </c>
      <c r="G343" s="8" t="s">
        <v>21</v>
      </c>
      <c r="H343" s="8" t="s">
        <v>49</v>
      </c>
      <c r="I343" s="8" t="s">
        <v>496</v>
      </c>
      <c r="J343" s="12"/>
      <c r="K343" s="13">
        <f t="shared" si="149"/>
        <v>0</v>
      </c>
      <c r="L343" s="7"/>
      <c r="M343" s="14">
        <f t="shared" ref="M342:M347" si="159">J343-N343</f>
        <v>0</v>
      </c>
      <c r="N343" s="15"/>
      <c r="O343" s="40">
        <f t="shared" si="151"/>
        <v>0</v>
      </c>
      <c r="P343" s="106"/>
      <c r="Q343" s="3"/>
      <c r="R343" s="37"/>
      <c r="S343" s="37">
        <f t="shared" si="153"/>
        <v>0</v>
      </c>
      <c r="T343" s="37">
        <f t="shared" si="146"/>
        <v>0</v>
      </c>
      <c r="U343" s="41">
        <f t="shared" si="147"/>
        <v>0</v>
      </c>
      <c r="V343" s="42" t="e">
        <f t="shared" si="154"/>
        <v>#DIV/0!</v>
      </c>
      <c r="W343" s="41">
        <f t="shared" si="155"/>
        <v>0</v>
      </c>
      <c r="X343" s="43" t="e">
        <f t="shared" si="148"/>
        <v>#DIV/0!</v>
      </c>
      <c r="Y343" s="46">
        <v>140000</v>
      </c>
      <c r="Z343" s="47">
        <f>T343-Y343</f>
        <v>-140000</v>
      </c>
      <c r="AA343" s="48">
        <f>Z343/Y343</f>
        <v>-1</v>
      </c>
    </row>
    <row r="344" spans="2:27" ht="14.4" customHeight="1">
      <c r="B344" s="4">
        <v>340</v>
      </c>
      <c r="C344" s="39" t="s">
        <v>685</v>
      </c>
      <c r="D344" s="5" t="str">
        <f t="shared" si="120"/>
        <v xml:space="preserve"> 780</v>
      </c>
      <c r="E344" s="6" t="s">
        <v>685</v>
      </c>
      <c r="F344" s="7">
        <f t="shared" si="121"/>
        <v>0</v>
      </c>
      <c r="G344" s="8" t="s">
        <v>21</v>
      </c>
      <c r="H344" s="8" t="s">
        <v>49</v>
      </c>
      <c r="I344" s="8" t="s">
        <v>686</v>
      </c>
      <c r="J344" s="101">
        <v>99000</v>
      </c>
      <c r="K344" s="101">
        <f t="shared" si="149"/>
        <v>6650</v>
      </c>
      <c r="L344" s="99" t="s">
        <v>24</v>
      </c>
      <c r="M344" s="98">
        <f t="shared" si="159"/>
        <v>92350</v>
      </c>
      <c r="N344" s="98">
        <f>2000+2850+800+200+300+500</f>
        <v>6650</v>
      </c>
      <c r="O344" s="113">
        <f t="shared" si="151"/>
        <v>99000</v>
      </c>
      <c r="P344" s="106"/>
      <c r="Q344" s="99" t="s">
        <v>1435</v>
      </c>
      <c r="R344" s="37"/>
      <c r="S344" s="37">
        <f t="shared" si="153"/>
        <v>99000</v>
      </c>
      <c r="T344" s="37">
        <f t="shared" si="146"/>
        <v>141428.57142857145</v>
      </c>
      <c r="U344" s="41">
        <f t="shared" si="147"/>
        <v>161632.65306122453</v>
      </c>
      <c r="V344" s="42">
        <f t="shared" si="154"/>
        <v>0.12500000000000006</v>
      </c>
      <c r="W344" s="41">
        <f t="shared" si="155"/>
        <v>161700</v>
      </c>
      <c r="X344" s="43">
        <f t="shared" si="148"/>
        <v>0.3000000000000001</v>
      </c>
      <c r="Y344" s="46">
        <v>144288</v>
      </c>
      <c r="Z344" s="47">
        <f>T344-Y344</f>
        <v>-2859.4285714285506</v>
      </c>
      <c r="AA344" s="48">
        <f>Z344/Y344</f>
        <v>-1.9817507841459792E-2</v>
      </c>
    </row>
    <row r="345" spans="2:27" ht="14.4" customHeight="1">
      <c r="B345" s="4">
        <v>341</v>
      </c>
      <c r="C345" s="39" t="s">
        <v>687</v>
      </c>
      <c r="D345" s="5" t="str">
        <f t="shared" si="120"/>
        <v xml:space="preserve"> 370</v>
      </c>
      <c r="E345" s="6" t="s">
        <v>687</v>
      </c>
      <c r="F345" s="7">
        <f t="shared" si="121"/>
        <v>0</v>
      </c>
      <c r="G345" s="8" t="s">
        <v>21</v>
      </c>
      <c r="H345" s="8" t="s">
        <v>49</v>
      </c>
      <c r="I345" s="8" t="s">
        <v>496</v>
      </c>
      <c r="J345" s="12"/>
      <c r="K345" s="13">
        <f t="shared" si="149"/>
        <v>0</v>
      </c>
      <c r="L345" s="7"/>
      <c r="M345" s="14">
        <f t="shared" si="159"/>
        <v>0</v>
      </c>
      <c r="N345" s="15"/>
      <c r="O345" s="40">
        <f t="shared" si="151"/>
        <v>0</v>
      </c>
      <c r="P345" s="106"/>
      <c r="Q345" s="3"/>
      <c r="R345" s="37"/>
      <c r="S345" s="37">
        <f t="shared" si="153"/>
        <v>0</v>
      </c>
      <c r="T345" s="37">
        <f t="shared" si="146"/>
        <v>0</v>
      </c>
      <c r="U345" s="41">
        <f t="shared" si="147"/>
        <v>0</v>
      </c>
      <c r="V345" s="42" t="e">
        <f t="shared" si="154"/>
        <v>#DIV/0!</v>
      </c>
      <c r="W345" s="41">
        <f t="shared" si="155"/>
        <v>0</v>
      </c>
      <c r="X345" s="43" t="e">
        <f t="shared" si="148"/>
        <v>#DIV/0!</v>
      </c>
      <c r="Y345" s="46">
        <v>148575</v>
      </c>
      <c r="Z345" s="47">
        <f>T345-Y345</f>
        <v>-148575</v>
      </c>
      <c r="AA345" s="48">
        <f>Z345/Y345</f>
        <v>-1</v>
      </c>
    </row>
    <row r="346" spans="2:27" ht="14.4" customHeight="1">
      <c r="B346" s="4">
        <v>342</v>
      </c>
      <c r="C346" s="39" t="s">
        <v>688</v>
      </c>
      <c r="D346" s="5" t="str">
        <f t="shared" si="120"/>
        <v xml:space="preserve"> 754</v>
      </c>
      <c r="E346" s="6" t="s">
        <v>688</v>
      </c>
      <c r="F346" s="7">
        <f t="shared" si="121"/>
        <v>0</v>
      </c>
      <c r="G346" s="8" t="s">
        <v>299</v>
      </c>
      <c r="H346" s="8" t="s">
        <v>49</v>
      </c>
      <c r="I346" s="8" t="s">
        <v>689</v>
      </c>
      <c r="J346" s="12"/>
      <c r="K346" s="13">
        <f t="shared" si="149"/>
        <v>0</v>
      </c>
      <c r="L346" s="7"/>
      <c r="M346" s="14">
        <f t="shared" si="159"/>
        <v>0</v>
      </c>
      <c r="N346" s="15"/>
      <c r="O346" s="40">
        <f t="shared" si="151"/>
        <v>0</v>
      </c>
      <c r="P346" s="106"/>
      <c r="Q346" s="3"/>
      <c r="R346" s="37"/>
      <c r="S346" s="37">
        <f t="shared" si="153"/>
        <v>0</v>
      </c>
      <c r="T346" s="37">
        <f t="shared" si="146"/>
        <v>0</v>
      </c>
      <c r="U346" s="41">
        <f t="shared" si="147"/>
        <v>0</v>
      </c>
      <c r="V346" s="42" t="e">
        <f t="shared" si="154"/>
        <v>#DIV/0!</v>
      </c>
      <c r="W346" s="41">
        <f t="shared" si="155"/>
        <v>0</v>
      </c>
      <c r="X346" s="43" t="e">
        <f t="shared" si="148"/>
        <v>#DIV/0!</v>
      </c>
      <c r="Y346" s="44"/>
      <c r="Z346" s="44"/>
      <c r="AA346" s="44"/>
    </row>
    <row r="347" spans="2:27" ht="14.4" customHeight="1">
      <c r="B347" s="4">
        <v>343</v>
      </c>
      <c r="C347" s="39" t="s">
        <v>690</v>
      </c>
      <c r="D347" s="5" t="str">
        <f t="shared" si="120"/>
        <v xml:space="preserve"> 518</v>
      </c>
      <c r="E347" s="6" t="s">
        <v>690</v>
      </c>
      <c r="F347" s="7">
        <f t="shared" si="121"/>
        <v>0</v>
      </c>
      <c r="G347" s="8" t="s">
        <v>21</v>
      </c>
      <c r="H347" s="8" t="s">
        <v>49</v>
      </c>
      <c r="I347" s="8" t="s">
        <v>496</v>
      </c>
      <c r="J347" s="12"/>
      <c r="K347" s="13">
        <f t="shared" si="149"/>
        <v>0</v>
      </c>
      <c r="L347" s="7"/>
      <c r="M347" s="14">
        <f t="shared" si="159"/>
        <v>0</v>
      </c>
      <c r="N347" s="15"/>
      <c r="O347" s="40">
        <f t="shared" si="151"/>
        <v>0</v>
      </c>
      <c r="P347" s="106"/>
      <c r="Q347" s="3"/>
      <c r="R347" s="37"/>
      <c r="S347" s="37">
        <f t="shared" si="153"/>
        <v>0</v>
      </c>
      <c r="T347" s="37">
        <f t="shared" si="146"/>
        <v>0</v>
      </c>
      <c r="U347" s="41">
        <f t="shared" si="147"/>
        <v>0</v>
      </c>
      <c r="V347" s="42" t="e">
        <f t="shared" si="154"/>
        <v>#DIV/0!</v>
      </c>
      <c r="W347" s="41">
        <f t="shared" si="155"/>
        <v>0</v>
      </c>
      <c r="X347" s="43" t="e">
        <f t="shared" si="148"/>
        <v>#DIV/0!</v>
      </c>
      <c r="Y347" s="46">
        <v>145775</v>
      </c>
      <c r="Z347" s="47">
        <f>T347-Y347</f>
        <v>-145775</v>
      </c>
      <c r="AA347" s="48">
        <f>Z347/Y347</f>
        <v>-1</v>
      </c>
    </row>
    <row r="348" spans="2:27" ht="14.4" customHeight="1">
      <c r="B348" s="4">
        <v>344</v>
      </c>
      <c r="C348" s="5" t="s">
        <v>253</v>
      </c>
      <c r="D348" s="5" t="str">
        <f t="shared" si="120"/>
        <v xml:space="preserve"> 927</v>
      </c>
      <c r="E348" s="6" t="s">
        <v>253</v>
      </c>
      <c r="F348" s="7">
        <f t="shared" si="121"/>
        <v>0</v>
      </c>
      <c r="G348" s="11" t="s">
        <v>299</v>
      </c>
      <c r="H348" s="11" t="s">
        <v>40</v>
      </c>
      <c r="I348" s="11" t="s">
        <v>361</v>
      </c>
      <c r="J348" s="12">
        <f>M348</f>
        <v>75000</v>
      </c>
      <c r="K348" s="13">
        <f t="shared" si="149"/>
        <v>0</v>
      </c>
      <c r="L348" s="17" t="s">
        <v>23</v>
      </c>
      <c r="M348" s="18">
        <v>75000</v>
      </c>
      <c r="N348" s="15">
        <f>2000+200+350+600+300+3000</f>
        <v>6450</v>
      </c>
      <c r="O348" s="40">
        <f t="shared" si="151"/>
        <v>81450</v>
      </c>
      <c r="P348" s="106"/>
      <c r="Q348" s="3" t="s">
        <v>422</v>
      </c>
      <c r="R348" s="37"/>
      <c r="S348" s="37">
        <f t="shared" si="153"/>
        <v>81450</v>
      </c>
      <c r="T348" s="37">
        <f t="shared" si="146"/>
        <v>116357.14285714287</v>
      </c>
      <c r="U348" s="41">
        <f t="shared" si="147"/>
        <v>132979.5918367347</v>
      </c>
      <c r="V348" s="42">
        <f t="shared" si="154"/>
        <v>0.12499999999999997</v>
      </c>
      <c r="W348" s="41">
        <f t="shared" si="155"/>
        <v>133000</v>
      </c>
      <c r="X348" s="43">
        <f t="shared" si="148"/>
        <v>0.3000000000000001</v>
      </c>
      <c r="Y348" s="44"/>
      <c r="Z348" s="44"/>
      <c r="AA348" s="44"/>
    </row>
    <row r="349" spans="2:27" ht="14.4" customHeight="1">
      <c r="B349" s="4">
        <v>345</v>
      </c>
      <c r="C349" s="5" t="s">
        <v>278</v>
      </c>
      <c r="D349" s="5" t="str">
        <f t="shared" si="120"/>
        <v xml:space="preserve"> 399</v>
      </c>
      <c r="E349" s="6" t="s">
        <v>278</v>
      </c>
      <c r="F349" s="7">
        <f t="shared" si="121"/>
        <v>0</v>
      </c>
      <c r="G349" s="11" t="s">
        <v>299</v>
      </c>
      <c r="H349" s="11" t="s">
        <v>49</v>
      </c>
      <c r="I349" s="11" t="s">
        <v>368</v>
      </c>
      <c r="J349" s="12">
        <f>M349</f>
        <v>88000</v>
      </c>
      <c r="K349" s="13">
        <f t="shared" si="149"/>
        <v>0</v>
      </c>
      <c r="L349" s="17" t="s">
        <v>23</v>
      </c>
      <c r="M349" s="18">
        <v>88000</v>
      </c>
      <c r="N349" s="15">
        <f>2000+200+350+600+3000</f>
        <v>6150</v>
      </c>
      <c r="O349" s="40">
        <f t="shared" si="151"/>
        <v>94150</v>
      </c>
      <c r="P349" s="107"/>
      <c r="Q349" s="3" t="s">
        <v>461</v>
      </c>
      <c r="R349" s="37"/>
      <c r="S349" s="37">
        <f t="shared" si="153"/>
        <v>94150</v>
      </c>
      <c r="T349" s="37">
        <f t="shared" si="146"/>
        <v>134500</v>
      </c>
      <c r="U349" s="41">
        <f t="shared" si="147"/>
        <v>153714.28571428571</v>
      </c>
      <c r="V349" s="42">
        <f t="shared" si="154"/>
        <v>0.12499999999999997</v>
      </c>
      <c r="W349" s="41">
        <f t="shared" si="155"/>
        <v>153800</v>
      </c>
      <c r="X349" s="43">
        <f t="shared" si="148"/>
        <v>0.3</v>
      </c>
      <c r="Y349" s="44"/>
      <c r="Z349" s="44"/>
      <c r="AA349" s="45"/>
    </row>
    <row r="350" spans="2:27" ht="14.4" customHeight="1">
      <c r="B350" s="4">
        <v>346</v>
      </c>
      <c r="C350" s="5" t="s">
        <v>473</v>
      </c>
      <c r="D350" s="5" t="str">
        <f t="shared" si="120"/>
        <v xml:space="preserve"> 933</v>
      </c>
      <c r="E350" s="6" t="s">
        <v>473</v>
      </c>
      <c r="F350" s="7">
        <f t="shared" si="121"/>
        <v>0</v>
      </c>
      <c r="G350" s="11" t="s">
        <v>484</v>
      </c>
      <c r="H350" s="11" t="s">
        <v>49</v>
      </c>
      <c r="I350" s="11" t="s">
        <v>332</v>
      </c>
      <c r="J350" s="12">
        <v>0</v>
      </c>
      <c r="K350" s="13">
        <f t="shared" si="149"/>
        <v>0</v>
      </c>
      <c r="L350" s="7" t="s">
        <v>472</v>
      </c>
      <c r="M350" s="14">
        <v>0</v>
      </c>
      <c r="N350" s="14">
        <v>0</v>
      </c>
      <c r="O350" s="40">
        <f t="shared" si="151"/>
        <v>0</v>
      </c>
      <c r="P350" s="106"/>
      <c r="Q350" s="3"/>
      <c r="R350" s="37"/>
      <c r="S350" s="37">
        <f t="shared" si="153"/>
        <v>0</v>
      </c>
      <c r="T350" s="37">
        <f t="shared" si="146"/>
        <v>0</v>
      </c>
      <c r="U350" s="41">
        <f t="shared" si="147"/>
        <v>0</v>
      </c>
      <c r="V350" s="42" t="e">
        <f t="shared" si="154"/>
        <v>#DIV/0!</v>
      </c>
      <c r="W350" s="41">
        <f t="shared" si="155"/>
        <v>0</v>
      </c>
      <c r="X350" s="43" t="e">
        <f t="shared" si="148"/>
        <v>#DIV/0!</v>
      </c>
      <c r="Y350" s="46">
        <v>0</v>
      </c>
      <c r="Z350" s="47">
        <f>T350-Y350</f>
        <v>0</v>
      </c>
      <c r="AA350" s="48" t="e">
        <f>Z350/Y350</f>
        <v>#DIV/0!</v>
      </c>
    </row>
    <row r="351" spans="2:27" ht="14.4" customHeight="1">
      <c r="B351" s="4">
        <v>347</v>
      </c>
      <c r="C351" s="5" t="s">
        <v>169</v>
      </c>
      <c r="D351" s="5" t="str">
        <f t="shared" si="120"/>
        <v xml:space="preserve"> 570</v>
      </c>
      <c r="E351" s="6" t="s">
        <v>169</v>
      </c>
      <c r="F351" s="7">
        <f t="shared" si="121"/>
        <v>0</v>
      </c>
      <c r="G351" s="11" t="s">
        <v>299</v>
      </c>
      <c r="H351" s="11" t="s">
        <v>312</v>
      </c>
      <c r="I351" s="11" t="s">
        <v>341</v>
      </c>
      <c r="J351" s="12">
        <v>97500</v>
      </c>
      <c r="K351" s="13">
        <f t="shared" si="149"/>
        <v>6150</v>
      </c>
      <c r="L351" s="7" t="s">
        <v>24</v>
      </c>
      <c r="M351" s="14">
        <f>J351-N351</f>
        <v>91350</v>
      </c>
      <c r="N351" s="14">
        <v>6150</v>
      </c>
      <c r="O351" s="40">
        <f t="shared" si="151"/>
        <v>97500</v>
      </c>
      <c r="P351" s="106"/>
      <c r="Q351" s="3" t="s">
        <v>397</v>
      </c>
      <c r="R351" s="37"/>
      <c r="S351" s="37">
        <f t="shared" si="153"/>
        <v>97500</v>
      </c>
      <c r="T351" s="37">
        <f t="shared" si="146"/>
        <v>139285.71428571429</v>
      </c>
      <c r="U351" s="41">
        <f t="shared" si="147"/>
        <v>159183.67346938775</v>
      </c>
      <c r="V351" s="42">
        <f t="shared" si="154"/>
        <v>0.12499999999999996</v>
      </c>
      <c r="W351" s="41">
        <f t="shared" si="155"/>
        <v>159200</v>
      </c>
      <c r="X351" s="43">
        <f t="shared" si="148"/>
        <v>0.30000000000000004</v>
      </c>
      <c r="Y351" s="44"/>
      <c r="Z351" s="44"/>
      <c r="AA351" s="44"/>
    </row>
    <row r="352" spans="2:27" ht="14.4" customHeight="1">
      <c r="B352" s="4">
        <v>348</v>
      </c>
      <c r="C352" s="5" t="s">
        <v>275</v>
      </c>
      <c r="D352" s="5" t="str">
        <f t="shared" si="120"/>
        <v xml:space="preserve"> 504</v>
      </c>
      <c r="E352" s="6" t="s">
        <v>275</v>
      </c>
      <c r="F352" s="7">
        <f t="shared" si="121"/>
        <v>0</v>
      </c>
      <c r="G352" s="11" t="s">
        <v>299</v>
      </c>
      <c r="H352" s="11" t="s">
        <v>312</v>
      </c>
      <c r="I352" s="11" t="s">
        <v>367</v>
      </c>
      <c r="J352" s="12">
        <f>M352</f>
        <v>110000</v>
      </c>
      <c r="K352" s="13">
        <f t="shared" si="149"/>
        <v>0</v>
      </c>
      <c r="L352" s="17" t="s">
        <v>23</v>
      </c>
      <c r="M352" s="18">
        <v>110000</v>
      </c>
      <c r="N352" s="15">
        <f>2000+200+350+600+3600</f>
        <v>6750</v>
      </c>
      <c r="O352" s="40">
        <f t="shared" si="151"/>
        <v>116750</v>
      </c>
      <c r="P352" s="107"/>
      <c r="Q352" s="3" t="s">
        <v>462</v>
      </c>
      <c r="R352" s="37"/>
      <c r="S352" s="37">
        <f t="shared" si="153"/>
        <v>116750</v>
      </c>
      <c r="T352" s="37">
        <f t="shared" si="146"/>
        <v>166785.71428571429</v>
      </c>
      <c r="U352" s="41">
        <f t="shared" si="147"/>
        <v>190612.2448979592</v>
      </c>
      <c r="V352" s="42">
        <f t="shared" si="154"/>
        <v>0.12500000000000006</v>
      </c>
      <c r="W352" s="41">
        <f t="shared" si="155"/>
        <v>190700</v>
      </c>
      <c r="X352" s="43">
        <f t="shared" si="148"/>
        <v>0.30000000000000004</v>
      </c>
      <c r="Y352" s="44"/>
      <c r="Z352" s="44"/>
      <c r="AA352" s="45"/>
    </row>
    <row r="353" spans="2:27" ht="14.4" customHeight="1">
      <c r="B353" s="4">
        <v>349</v>
      </c>
      <c r="C353" s="5" t="s">
        <v>93</v>
      </c>
      <c r="D353" s="5" t="str">
        <f t="shared" si="120"/>
        <v xml:space="preserve"> 205</v>
      </c>
      <c r="E353" s="6" t="s">
        <v>93</v>
      </c>
      <c r="F353" s="7">
        <f t="shared" si="121"/>
        <v>0</v>
      </c>
      <c r="G353" s="11" t="s">
        <v>21</v>
      </c>
      <c r="H353" s="11" t="s">
        <v>49</v>
      </c>
      <c r="I353" s="11" t="s">
        <v>367</v>
      </c>
      <c r="J353" s="12">
        <f>M353</f>
        <v>90000</v>
      </c>
      <c r="K353" s="13">
        <f t="shared" si="149"/>
        <v>0</v>
      </c>
      <c r="L353" s="17" t="s">
        <v>23</v>
      </c>
      <c r="M353" s="18">
        <v>90000</v>
      </c>
      <c r="N353" s="15">
        <f>2000+200+350+600+3600</f>
        <v>6750</v>
      </c>
      <c r="O353" s="40">
        <f t="shared" si="151"/>
        <v>96750</v>
      </c>
      <c r="P353" s="106"/>
      <c r="Q353" s="3" t="s">
        <v>462</v>
      </c>
      <c r="R353" s="37"/>
      <c r="S353" s="37">
        <f t="shared" si="153"/>
        <v>96750</v>
      </c>
      <c r="T353" s="37">
        <f t="shared" si="146"/>
        <v>138214.28571428571</v>
      </c>
      <c r="U353" s="41">
        <f t="shared" si="147"/>
        <v>157959.18367346938</v>
      </c>
      <c r="V353" s="42">
        <f t="shared" si="154"/>
        <v>0.12499999999999997</v>
      </c>
      <c r="W353" s="41">
        <f t="shared" si="155"/>
        <v>158000</v>
      </c>
      <c r="X353" s="43">
        <f t="shared" si="148"/>
        <v>0.3</v>
      </c>
      <c r="Y353" s="46">
        <v>133263</v>
      </c>
      <c r="Z353" s="47">
        <f>T353-Y353</f>
        <v>4951.2857142857101</v>
      </c>
      <c r="AA353" s="48">
        <f>Z353/Y353</f>
        <v>3.7154241719649941E-2</v>
      </c>
    </row>
    <row r="354" spans="2:27" ht="14.4" customHeight="1">
      <c r="B354" s="4">
        <v>350</v>
      </c>
      <c r="C354" s="39" t="s">
        <v>691</v>
      </c>
      <c r="D354" s="5" t="str">
        <f t="shared" si="120"/>
        <v xml:space="preserve"> 246</v>
      </c>
      <c r="E354" s="6" t="s">
        <v>691</v>
      </c>
      <c r="F354" s="7">
        <f t="shared" si="121"/>
        <v>0</v>
      </c>
      <c r="G354" s="8" t="s">
        <v>21</v>
      </c>
      <c r="H354" s="8" t="s">
        <v>300</v>
      </c>
      <c r="I354" s="8" t="s">
        <v>496</v>
      </c>
      <c r="J354" s="12"/>
      <c r="K354" s="13">
        <f t="shared" si="149"/>
        <v>0</v>
      </c>
      <c r="L354" s="7"/>
      <c r="M354" s="14">
        <f t="shared" ref="M354:M368" si="160">J354-N354</f>
        <v>0</v>
      </c>
      <c r="N354" s="15"/>
      <c r="O354" s="40">
        <f t="shared" si="151"/>
        <v>0</v>
      </c>
      <c r="P354" s="106"/>
      <c r="Q354" s="3"/>
      <c r="R354" s="37"/>
      <c r="S354" s="37">
        <f t="shared" si="153"/>
        <v>0</v>
      </c>
      <c r="T354" s="37">
        <f t="shared" si="146"/>
        <v>0</v>
      </c>
      <c r="U354" s="41">
        <f t="shared" si="147"/>
        <v>0</v>
      </c>
      <c r="V354" s="42" t="e">
        <f t="shared" si="154"/>
        <v>#DIV/0!</v>
      </c>
      <c r="W354" s="41">
        <f t="shared" si="155"/>
        <v>0</v>
      </c>
      <c r="X354" s="43" t="e">
        <f t="shared" si="148"/>
        <v>#DIV/0!</v>
      </c>
      <c r="Y354" s="46">
        <v>145775</v>
      </c>
      <c r="Z354" s="47">
        <f>T354-Y354</f>
        <v>-145775</v>
      </c>
      <c r="AA354" s="48">
        <f>Z354/Y354</f>
        <v>-1</v>
      </c>
    </row>
    <row r="355" spans="2:27" ht="14.4" customHeight="1">
      <c r="B355" s="4">
        <v>351</v>
      </c>
      <c r="C355" s="5" t="s">
        <v>262</v>
      </c>
      <c r="D355" s="5" t="str">
        <f t="shared" si="120"/>
        <v xml:space="preserve"> 227</v>
      </c>
      <c r="E355" s="6" t="s">
        <v>262</v>
      </c>
      <c r="F355" s="7">
        <f t="shared" si="121"/>
        <v>0</v>
      </c>
      <c r="G355" s="11" t="s">
        <v>299</v>
      </c>
      <c r="H355" s="11" t="s">
        <v>46</v>
      </c>
      <c r="I355" s="11" t="s">
        <v>364</v>
      </c>
      <c r="J355" s="12">
        <v>125000</v>
      </c>
      <c r="K355" s="13">
        <f t="shared" si="149"/>
        <v>6450</v>
      </c>
      <c r="L355" s="7" t="s">
        <v>24</v>
      </c>
      <c r="M355" s="14">
        <f t="shared" si="160"/>
        <v>118550</v>
      </c>
      <c r="N355" s="15">
        <f>300+2000+200+350+600+3000</f>
        <v>6450</v>
      </c>
      <c r="O355" s="40">
        <f t="shared" si="151"/>
        <v>125000</v>
      </c>
      <c r="P355" s="106"/>
      <c r="Q355" s="3" t="s">
        <v>452</v>
      </c>
      <c r="R355" s="37"/>
      <c r="S355" s="37">
        <f t="shared" si="153"/>
        <v>125000</v>
      </c>
      <c r="T355" s="37">
        <f t="shared" si="146"/>
        <v>178571.42857142858</v>
      </c>
      <c r="U355" s="41">
        <f t="shared" si="147"/>
        <v>204081.63265306124</v>
      </c>
      <c r="V355" s="42">
        <f t="shared" si="154"/>
        <v>0.12500000000000003</v>
      </c>
      <c r="W355" s="41">
        <f t="shared" si="155"/>
        <v>204100</v>
      </c>
      <c r="X355" s="43">
        <f t="shared" si="148"/>
        <v>0.30000000000000004</v>
      </c>
      <c r="Y355" s="44"/>
      <c r="Z355" s="44"/>
      <c r="AA355" s="45"/>
    </row>
    <row r="356" spans="2:27" ht="14.4" customHeight="1">
      <c r="B356" s="4">
        <v>352</v>
      </c>
      <c r="C356" s="5" t="s">
        <v>50</v>
      </c>
      <c r="D356" s="5" t="str">
        <f t="shared" si="120"/>
        <v xml:space="preserve"> 679</v>
      </c>
      <c r="E356" s="6" t="s">
        <v>50</v>
      </c>
      <c r="F356" s="7">
        <f t="shared" si="121"/>
        <v>0</v>
      </c>
      <c r="G356" s="11" t="s">
        <v>21</v>
      </c>
      <c r="H356" s="11" t="s">
        <v>479</v>
      </c>
      <c r="I356" s="11" t="s">
        <v>367</v>
      </c>
      <c r="J356" s="12"/>
      <c r="K356" s="13">
        <f t="shared" si="149"/>
        <v>0</v>
      </c>
      <c r="L356" s="7"/>
      <c r="M356" s="14">
        <f t="shared" si="160"/>
        <v>0</v>
      </c>
      <c r="N356" s="15"/>
      <c r="O356" s="40">
        <f t="shared" si="151"/>
        <v>0</v>
      </c>
      <c r="P356" s="106"/>
      <c r="Q356" s="3"/>
      <c r="R356" s="37"/>
      <c r="S356" s="37">
        <f t="shared" si="153"/>
        <v>0</v>
      </c>
      <c r="T356" s="37">
        <f t="shared" si="146"/>
        <v>0</v>
      </c>
      <c r="U356" s="41">
        <f t="shared" si="147"/>
        <v>0</v>
      </c>
      <c r="V356" s="42" t="e">
        <f t="shared" si="154"/>
        <v>#DIV/0!</v>
      </c>
      <c r="W356" s="41">
        <f t="shared" si="155"/>
        <v>0</v>
      </c>
      <c r="X356" s="43" t="e">
        <f t="shared" si="148"/>
        <v>#DIV/0!</v>
      </c>
      <c r="Y356" s="46">
        <v>169663</v>
      </c>
      <c r="Z356" s="47">
        <f>T356-Y356</f>
        <v>-169663</v>
      </c>
      <c r="AA356" s="48">
        <f>Z356/Y356</f>
        <v>-1</v>
      </c>
    </row>
    <row r="357" spans="2:27" ht="14.4" customHeight="1">
      <c r="B357" s="4">
        <v>353</v>
      </c>
      <c r="C357" s="39" t="s">
        <v>692</v>
      </c>
      <c r="D357" s="5" t="str">
        <f t="shared" si="120"/>
        <v xml:space="preserve"> 944</v>
      </c>
      <c r="E357" s="6" t="s">
        <v>692</v>
      </c>
      <c r="F357" s="7">
        <f t="shared" si="121"/>
        <v>0</v>
      </c>
      <c r="G357" s="8" t="s">
        <v>299</v>
      </c>
      <c r="H357" s="8" t="s">
        <v>46</v>
      </c>
      <c r="I357" s="8" t="s">
        <v>693</v>
      </c>
      <c r="J357" s="12">
        <v>103000</v>
      </c>
      <c r="K357" s="13">
        <f t="shared" si="149"/>
        <v>6450</v>
      </c>
      <c r="L357" s="7"/>
      <c r="M357" s="14">
        <f t="shared" si="160"/>
        <v>96550</v>
      </c>
      <c r="N357" s="15">
        <f>2000+200+350+600+300+3000</f>
        <v>6450</v>
      </c>
      <c r="O357" s="40">
        <f t="shared" si="151"/>
        <v>103000</v>
      </c>
      <c r="P357" s="106"/>
      <c r="Q357" s="78" t="s">
        <v>1378</v>
      </c>
      <c r="R357" s="37"/>
      <c r="S357" s="37">
        <f t="shared" si="153"/>
        <v>103000</v>
      </c>
      <c r="T357" s="37">
        <f t="shared" si="146"/>
        <v>147142.85714285716</v>
      </c>
      <c r="U357" s="41">
        <f t="shared" si="147"/>
        <v>168163.26530612246</v>
      </c>
      <c r="V357" s="42">
        <f t="shared" si="154"/>
        <v>0.12499999999999993</v>
      </c>
      <c r="W357" s="41">
        <f t="shared" si="155"/>
        <v>168200</v>
      </c>
      <c r="X357" s="43">
        <f t="shared" si="148"/>
        <v>0.3000000000000001</v>
      </c>
      <c r="Y357" s="46"/>
      <c r="Z357" s="47"/>
      <c r="AA357" s="48"/>
    </row>
    <row r="358" spans="2:27" ht="14.4" customHeight="1">
      <c r="B358" s="4">
        <v>354</v>
      </c>
      <c r="C358" s="39" t="s">
        <v>694</v>
      </c>
      <c r="D358" s="5" t="str">
        <f t="shared" si="120"/>
        <v xml:space="preserve"> 946</v>
      </c>
      <c r="E358" s="6" t="s">
        <v>694</v>
      </c>
      <c r="F358" s="7">
        <f t="shared" si="121"/>
        <v>0</v>
      </c>
      <c r="G358" s="8" t="s">
        <v>21</v>
      </c>
      <c r="H358" s="8" t="s">
        <v>43</v>
      </c>
      <c r="I358" s="8" t="s">
        <v>695</v>
      </c>
      <c r="J358" s="96">
        <v>97500</v>
      </c>
      <c r="K358" s="13">
        <f t="shared" si="149"/>
        <v>6950</v>
      </c>
      <c r="L358" s="115" t="s">
        <v>1439</v>
      </c>
      <c r="M358" s="14">
        <f t="shared" si="160"/>
        <v>90550</v>
      </c>
      <c r="N358" s="15">
        <v>6950</v>
      </c>
      <c r="O358" s="40">
        <f t="shared" si="151"/>
        <v>97500</v>
      </c>
      <c r="P358" s="106"/>
      <c r="Q358" s="78" t="s">
        <v>1411</v>
      </c>
      <c r="R358" s="37"/>
      <c r="S358" s="37">
        <f t="shared" si="153"/>
        <v>97500</v>
      </c>
      <c r="T358" s="37">
        <f t="shared" si="146"/>
        <v>139285.71428571429</v>
      </c>
      <c r="U358" s="41">
        <f t="shared" si="147"/>
        <v>159183.67346938775</v>
      </c>
      <c r="V358" s="42">
        <f t="shared" si="154"/>
        <v>0.12499999999999996</v>
      </c>
      <c r="W358" s="41">
        <f t="shared" si="155"/>
        <v>159200</v>
      </c>
      <c r="X358" s="43">
        <f t="shared" si="148"/>
        <v>0.30000000000000004</v>
      </c>
      <c r="Y358" s="46">
        <v>139300</v>
      </c>
      <c r="Z358" s="47">
        <f>T358-Y358</f>
        <v>-14.285714285710128</v>
      </c>
      <c r="AA358" s="48">
        <f>Z358/Y358</f>
        <v>-1.0255358424773962E-4</v>
      </c>
    </row>
    <row r="359" spans="2:27" ht="14.4" customHeight="1">
      <c r="B359" s="4">
        <v>355</v>
      </c>
      <c r="C359" s="5" t="s">
        <v>94</v>
      </c>
      <c r="D359" s="5" t="str">
        <f t="shared" si="120"/>
        <v xml:space="preserve"> 401</v>
      </c>
      <c r="E359" s="6" t="s">
        <v>94</v>
      </c>
      <c r="F359" s="7">
        <f t="shared" si="121"/>
        <v>0</v>
      </c>
      <c r="G359" s="11" t="s">
        <v>21</v>
      </c>
      <c r="H359" s="11" t="s">
        <v>321</v>
      </c>
      <c r="I359" s="11" t="s">
        <v>355</v>
      </c>
      <c r="J359" s="12">
        <v>126750</v>
      </c>
      <c r="K359" s="13">
        <f t="shared" si="149"/>
        <v>6750</v>
      </c>
      <c r="L359" s="7" t="s">
        <v>24</v>
      </c>
      <c r="M359" s="14">
        <f t="shared" si="160"/>
        <v>120000</v>
      </c>
      <c r="N359" s="15">
        <f>2000+200+350+600+3600</f>
        <v>6750</v>
      </c>
      <c r="O359" s="40">
        <f t="shared" si="151"/>
        <v>126750</v>
      </c>
      <c r="P359" s="106"/>
      <c r="Q359" s="3" t="s">
        <v>423</v>
      </c>
      <c r="R359" s="37"/>
      <c r="S359" s="37">
        <f t="shared" si="153"/>
        <v>126750</v>
      </c>
      <c r="T359" s="37">
        <f t="shared" si="146"/>
        <v>181071.42857142858</v>
      </c>
      <c r="U359" s="41">
        <f t="shared" si="147"/>
        <v>206938.77551020408</v>
      </c>
      <c r="V359" s="42">
        <f t="shared" si="154"/>
        <v>0.12499999999999996</v>
      </c>
      <c r="W359" s="41">
        <f t="shared" si="155"/>
        <v>207000</v>
      </c>
      <c r="X359" s="43">
        <f t="shared" si="148"/>
        <v>0.30000000000000004</v>
      </c>
      <c r="Y359" s="46">
        <v>178938</v>
      </c>
      <c r="Z359" s="47">
        <f>T359-Y359</f>
        <v>2133.4285714285797</v>
      </c>
      <c r="AA359" s="48">
        <f>Z359/Y359</f>
        <v>1.1922725030058343E-2</v>
      </c>
    </row>
    <row r="360" spans="2:27" ht="14.4" customHeight="1">
      <c r="B360" s="4">
        <v>356</v>
      </c>
      <c r="C360" s="39" t="s">
        <v>696</v>
      </c>
      <c r="D360" s="5" t="str">
        <f t="shared" si="120"/>
        <v xml:space="preserve"> 372</v>
      </c>
      <c r="E360" s="6" t="s">
        <v>696</v>
      </c>
      <c r="F360" s="7">
        <f t="shared" si="121"/>
        <v>0</v>
      </c>
      <c r="G360" s="8" t="s">
        <v>21</v>
      </c>
      <c r="H360" s="8" t="s">
        <v>697</v>
      </c>
      <c r="I360" s="8" t="s">
        <v>698</v>
      </c>
      <c r="J360" s="12">
        <f t="shared" ref="J360:J364" si="161">M360</f>
        <v>57000</v>
      </c>
      <c r="K360" s="13">
        <f t="shared" si="149"/>
        <v>0</v>
      </c>
      <c r="L360" s="17" t="s">
        <v>23</v>
      </c>
      <c r="M360" s="18">
        <v>57000</v>
      </c>
      <c r="N360" s="15">
        <f>2000+600+200+200+2000</f>
        <v>5000</v>
      </c>
      <c r="O360" s="40">
        <f t="shared" si="151"/>
        <v>62000</v>
      </c>
      <c r="P360" s="106"/>
      <c r="Q360" s="78" t="s">
        <v>1368</v>
      </c>
      <c r="R360" s="37"/>
      <c r="S360" s="37">
        <f t="shared" si="153"/>
        <v>62000</v>
      </c>
      <c r="T360" s="37">
        <f t="shared" si="146"/>
        <v>88571.42857142858</v>
      </c>
      <c r="U360" s="41">
        <f t="shared" si="147"/>
        <v>101224.48979591837</v>
      </c>
      <c r="V360" s="42">
        <f t="shared" si="154"/>
        <v>0.12499999999999996</v>
      </c>
      <c r="W360" s="41">
        <f t="shared" si="155"/>
        <v>101300</v>
      </c>
      <c r="X360" s="43">
        <f t="shared" si="148"/>
        <v>0.30000000000000004</v>
      </c>
      <c r="Y360" s="46">
        <v>88550</v>
      </c>
      <c r="Z360" s="47">
        <f>T360-Y360</f>
        <v>21.428571428579744</v>
      </c>
      <c r="AA360" s="48">
        <f>Z360/Y360</f>
        <v>2.4199403081400051E-4</v>
      </c>
    </row>
    <row r="361" spans="2:27" ht="14.4" customHeight="1">
      <c r="B361" s="4">
        <v>357</v>
      </c>
      <c r="C361" s="39" t="s">
        <v>699</v>
      </c>
      <c r="D361" s="5" t="str">
        <f t="shared" si="120"/>
        <v xml:space="preserve"> 596</v>
      </c>
      <c r="E361" s="6" t="s">
        <v>699</v>
      </c>
      <c r="F361" s="7">
        <f t="shared" si="121"/>
        <v>0</v>
      </c>
      <c r="G361" s="8" t="s">
        <v>21</v>
      </c>
      <c r="H361" s="8" t="s">
        <v>697</v>
      </c>
      <c r="I361" s="8" t="s">
        <v>698</v>
      </c>
      <c r="J361" s="12">
        <f>M361</f>
        <v>90000</v>
      </c>
      <c r="K361" s="13">
        <f t="shared" si="149"/>
        <v>0</v>
      </c>
      <c r="L361" s="17" t="s">
        <v>23</v>
      </c>
      <c r="M361" s="18">
        <v>90000</v>
      </c>
      <c r="N361" s="15">
        <f>2000+600+400+2000</f>
        <v>5000</v>
      </c>
      <c r="O361" s="40">
        <f t="shared" si="151"/>
        <v>95000</v>
      </c>
      <c r="P361" s="106"/>
      <c r="Q361" s="78" t="s">
        <v>1368</v>
      </c>
      <c r="R361" s="37"/>
      <c r="S361" s="37">
        <f t="shared" si="153"/>
        <v>95000</v>
      </c>
      <c r="T361" s="37">
        <f t="shared" si="146"/>
        <v>135714.28571428571</v>
      </c>
      <c r="U361" s="41">
        <f t="shared" si="147"/>
        <v>155102.04081632654</v>
      </c>
      <c r="V361" s="42">
        <f t="shared" si="154"/>
        <v>0.12500000000000008</v>
      </c>
      <c r="W361" s="41">
        <f t="shared" si="155"/>
        <v>155200</v>
      </c>
      <c r="X361" s="43">
        <f t="shared" si="148"/>
        <v>0.3</v>
      </c>
      <c r="Y361" s="46">
        <v>138513</v>
      </c>
      <c r="Z361" s="47">
        <f>T361-Y361</f>
        <v>-2798.7142857142899</v>
      </c>
      <c r="AA361" s="48">
        <f>Z361/Y361</f>
        <v>-2.0205426824300172E-2</v>
      </c>
    </row>
    <row r="362" spans="2:27" ht="14.4" customHeight="1">
      <c r="B362" s="4">
        <v>358</v>
      </c>
      <c r="C362" s="39" t="s">
        <v>700</v>
      </c>
      <c r="D362" s="5" t="str">
        <f t="shared" si="120"/>
        <v xml:space="preserve"> 219</v>
      </c>
      <c r="E362" s="6" t="s">
        <v>700</v>
      </c>
      <c r="F362" s="7">
        <f t="shared" si="121"/>
        <v>0</v>
      </c>
      <c r="G362" s="8" t="s">
        <v>21</v>
      </c>
      <c r="H362" s="8" t="s">
        <v>697</v>
      </c>
      <c r="I362" s="8" t="s">
        <v>698</v>
      </c>
      <c r="J362" s="12">
        <f t="shared" si="161"/>
        <v>30000</v>
      </c>
      <c r="K362" s="13">
        <f>J362-M362</f>
        <v>0</v>
      </c>
      <c r="L362" s="17" t="s">
        <v>23</v>
      </c>
      <c r="M362" s="18">
        <v>30000</v>
      </c>
      <c r="N362" s="15">
        <f>2000+600+400+2000</f>
        <v>5000</v>
      </c>
      <c r="O362" s="40">
        <f t="shared" si="151"/>
        <v>35000</v>
      </c>
      <c r="P362" s="106"/>
      <c r="Q362" s="78" t="s">
        <v>1368</v>
      </c>
      <c r="R362" s="37"/>
      <c r="S362" s="37">
        <f t="shared" si="153"/>
        <v>35000</v>
      </c>
      <c r="T362" s="37">
        <f t="shared" si="146"/>
        <v>50000</v>
      </c>
      <c r="U362" s="41">
        <f t="shared" si="147"/>
        <v>57142.857142857145</v>
      </c>
      <c r="V362" s="42">
        <f t="shared" si="154"/>
        <v>0.12500000000000003</v>
      </c>
      <c r="W362" s="41">
        <f t="shared" si="155"/>
        <v>57200</v>
      </c>
      <c r="X362" s="43">
        <f t="shared" si="148"/>
        <v>0.3</v>
      </c>
      <c r="Y362" s="46">
        <v>51363</v>
      </c>
      <c r="Z362" s="47">
        <f>T362-Y362</f>
        <v>-1363</v>
      </c>
      <c r="AA362" s="48">
        <f>Z362/Y362</f>
        <v>-2.6536611958024259E-2</v>
      </c>
    </row>
    <row r="363" spans="2:27" ht="14.4" customHeight="1">
      <c r="B363" s="4">
        <v>359</v>
      </c>
      <c r="C363" s="39" t="s">
        <v>701</v>
      </c>
      <c r="D363" s="5" t="str">
        <f t="shared" si="120"/>
        <v xml:space="preserve"> 867</v>
      </c>
      <c r="E363" s="6" t="s">
        <v>701</v>
      </c>
      <c r="F363" s="7">
        <f t="shared" si="121"/>
        <v>0</v>
      </c>
      <c r="G363" s="8" t="s">
        <v>299</v>
      </c>
      <c r="H363" s="8" t="s">
        <v>702</v>
      </c>
      <c r="I363" s="8" t="s">
        <v>698</v>
      </c>
      <c r="J363" s="12">
        <f t="shared" si="161"/>
        <v>74000</v>
      </c>
      <c r="K363" s="13">
        <f t="shared" si="149"/>
        <v>0</v>
      </c>
      <c r="L363" s="17" t="s">
        <v>23</v>
      </c>
      <c r="M363" s="18">
        <v>74000</v>
      </c>
      <c r="N363" s="15">
        <f>2000+600+2000</f>
        <v>4600</v>
      </c>
      <c r="O363" s="40">
        <f t="shared" si="151"/>
        <v>78600</v>
      </c>
      <c r="P363" s="106"/>
      <c r="Q363" s="78" t="s">
        <v>1369</v>
      </c>
      <c r="R363" s="37"/>
      <c r="S363" s="37">
        <f t="shared" si="153"/>
        <v>78600</v>
      </c>
      <c r="T363" s="37">
        <f t="shared" si="146"/>
        <v>112285.71428571429</v>
      </c>
      <c r="U363" s="41">
        <f t="shared" si="147"/>
        <v>128326.5306122449</v>
      </c>
      <c r="V363" s="42">
        <f t="shared" si="154"/>
        <v>0.12499999999999996</v>
      </c>
      <c r="W363" s="41">
        <f t="shared" si="155"/>
        <v>128400</v>
      </c>
      <c r="X363" s="43">
        <f t="shared" si="148"/>
        <v>0.30000000000000004</v>
      </c>
      <c r="Y363" s="46"/>
      <c r="Z363" s="47"/>
      <c r="AA363" s="48"/>
    </row>
    <row r="364" spans="2:27" ht="14.4" customHeight="1">
      <c r="B364" s="4">
        <v>360</v>
      </c>
      <c r="C364" s="39" t="s">
        <v>704</v>
      </c>
      <c r="D364" s="5" t="str">
        <f t="shared" si="120"/>
        <v xml:space="preserve"> 925</v>
      </c>
      <c r="E364" s="6" t="s">
        <v>704</v>
      </c>
      <c r="F364" s="7">
        <f t="shared" si="121"/>
        <v>0</v>
      </c>
      <c r="G364" s="8" t="s">
        <v>299</v>
      </c>
      <c r="H364" s="8" t="s">
        <v>702</v>
      </c>
      <c r="I364" s="8" t="s">
        <v>698</v>
      </c>
      <c r="J364" s="12">
        <f t="shared" si="161"/>
        <v>37500</v>
      </c>
      <c r="K364" s="13">
        <f t="shared" si="149"/>
        <v>0</v>
      </c>
      <c r="L364" s="17" t="s">
        <v>23</v>
      </c>
      <c r="M364" s="18">
        <v>37500</v>
      </c>
      <c r="N364" s="15">
        <f>2000+600+2000</f>
        <v>4600</v>
      </c>
      <c r="O364" s="40">
        <f t="shared" si="151"/>
        <v>42100</v>
      </c>
      <c r="P364" s="106"/>
      <c r="Q364" s="78" t="s">
        <v>1369</v>
      </c>
      <c r="R364" s="37"/>
      <c r="S364" s="37">
        <f t="shared" si="153"/>
        <v>42100</v>
      </c>
      <c r="T364" s="37">
        <f t="shared" si="146"/>
        <v>60142.857142857145</v>
      </c>
      <c r="U364" s="41">
        <f t="shared" si="147"/>
        <v>68734.693877551021</v>
      </c>
      <c r="V364" s="42">
        <f t="shared" si="154"/>
        <v>0.12499999999999997</v>
      </c>
      <c r="W364" s="41">
        <f t="shared" si="155"/>
        <v>68800</v>
      </c>
      <c r="X364" s="43">
        <f t="shared" si="148"/>
        <v>0.30000000000000004</v>
      </c>
      <c r="Y364" s="46"/>
      <c r="Z364" s="47"/>
      <c r="AA364" s="48"/>
    </row>
    <row r="365" spans="2:27" ht="14.4" customHeight="1">
      <c r="B365" s="4">
        <v>361</v>
      </c>
      <c r="C365" s="39" t="s">
        <v>703</v>
      </c>
      <c r="D365" s="5" t="str">
        <f t="shared" si="120"/>
        <v xml:space="preserve"> 639</v>
      </c>
      <c r="E365" s="6" t="s">
        <v>703</v>
      </c>
      <c r="F365" s="7">
        <f t="shared" si="121"/>
        <v>0</v>
      </c>
      <c r="G365" s="8" t="s">
        <v>21</v>
      </c>
      <c r="H365" s="8" t="s">
        <v>702</v>
      </c>
      <c r="I365" s="8" t="s">
        <v>698</v>
      </c>
      <c r="J365" s="12">
        <f>M365</f>
        <v>36000</v>
      </c>
      <c r="K365" s="13">
        <f t="shared" si="149"/>
        <v>0</v>
      </c>
      <c r="L365" s="17" t="s">
        <v>23</v>
      </c>
      <c r="M365" s="18">
        <v>36000</v>
      </c>
      <c r="N365" s="15">
        <f>2000+600+2000</f>
        <v>4600</v>
      </c>
      <c r="O365" s="40">
        <f t="shared" si="151"/>
        <v>40600</v>
      </c>
      <c r="P365" s="106"/>
      <c r="Q365" s="78" t="s">
        <v>1369</v>
      </c>
      <c r="R365" s="37"/>
      <c r="S365" s="37">
        <f t="shared" si="153"/>
        <v>40600</v>
      </c>
      <c r="T365" s="37">
        <f t="shared" si="146"/>
        <v>58000.000000000007</v>
      </c>
      <c r="U365" s="41">
        <f t="shared" si="147"/>
        <v>66285.71428571429</v>
      </c>
      <c r="V365" s="42">
        <f t="shared" si="154"/>
        <v>0.12499999999999994</v>
      </c>
      <c r="W365" s="41">
        <f t="shared" si="155"/>
        <v>66300</v>
      </c>
      <c r="X365" s="43">
        <f t="shared" si="148"/>
        <v>0.3000000000000001</v>
      </c>
      <c r="Y365" s="46">
        <v>55125</v>
      </c>
      <c r="Z365" s="47">
        <f>T365-Y365</f>
        <v>2875.0000000000073</v>
      </c>
      <c r="AA365" s="48">
        <f>Z365/Y365</f>
        <v>5.2154195011338E-2</v>
      </c>
    </row>
    <row r="366" spans="2:27" ht="14.4" customHeight="1">
      <c r="B366" s="4">
        <v>362</v>
      </c>
      <c r="C366" s="39" t="s">
        <v>705</v>
      </c>
      <c r="D366" s="5" t="str">
        <f t="shared" si="120"/>
        <v xml:space="preserve"> 883</v>
      </c>
      <c r="E366" s="6" t="s">
        <v>705</v>
      </c>
      <c r="F366" s="7">
        <f t="shared" si="121"/>
        <v>0</v>
      </c>
      <c r="G366" s="8" t="s">
        <v>299</v>
      </c>
      <c r="H366" s="8" t="s">
        <v>317</v>
      </c>
      <c r="I366" s="8" t="s">
        <v>706</v>
      </c>
      <c r="J366" s="12"/>
      <c r="K366" s="13">
        <f t="shared" si="149"/>
        <v>0</v>
      </c>
      <c r="L366" s="7"/>
      <c r="M366" s="14">
        <f t="shared" si="160"/>
        <v>0</v>
      </c>
      <c r="N366" s="15"/>
      <c r="O366" s="40">
        <f t="shared" si="151"/>
        <v>0</v>
      </c>
      <c r="P366" s="106"/>
      <c r="Q366" s="3"/>
      <c r="R366" s="37"/>
      <c r="S366" s="37">
        <f t="shared" si="153"/>
        <v>0</v>
      </c>
      <c r="T366" s="37">
        <f t="shared" si="146"/>
        <v>0</v>
      </c>
      <c r="U366" s="41">
        <f t="shared" si="147"/>
        <v>0</v>
      </c>
      <c r="V366" s="42" t="e">
        <f t="shared" si="154"/>
        <v>#DIV/0!</v>
      </c>
      <c r="W366" s="41">
        <f t="shared" si="155"/>
        <v>0</v>
      </c>
      <c r="X366" s="43" t="e">
        <f t="shared" si="148"/>
        <v>#DIV/0!</v>
      </c>
      <c r="Y366" s="46"/>
      <c r="Z366" s="47"/>
      <c r="AA366" s="48"/>
    </row>
    <row r="367" spans="2:27" ht="14.4" customHeight="1">
      <c r="B367" s="4">
        <v>363</v>
      </c>
      <c r="C367" s="39" t="s">
        <v>710</v>
      </c>
      <c r="D367" s="5" t="str">
        <f t="shared" si="120"/>
        <v xml:space="preserve"> 860</v>
      </c>
      <c r="E367" s="6" t="s">
        <v>710</v>
      </c>
      <c r="F367" s="7">
        <f t="shared" si="121"/>
        <v>0</v>
      </c>
      <c r="G367" s="8" t="s">
        <v>299</v>
      </c>
      <c r="H367" s="8" t="s">
        <v>708</v>
      </c>
      <c r="I367" s="8" t="s">
        <v>711</v>
      </c>
      <c r="J367" s="12"/>
      <c r="K367" s="13">
        <f t="shared" si="149"/>
        <v>0</v>
      </c>
      <c r="L367" s="7"/>
      <c r="M367" s="14">
        <f t="shared" si="160"/>
        <v>0</v>
      </c>
      <c r="N367" s="15"/>
      <c r="O367" s="40">
        <f t="shared" si="151"/>
        <v>0</v>
      </c>
      <c r="P367" s="106"/>
      <c r="Q367" s="3"/>
      <c r="R367" s="37"/>
      <c r="S367" s="37">
        <f t="shared" si="153"/>
        <v>0</v>
      </c>
      <c r="T367" s="37">
        <f t="shared" si="146"/>
        <v>0</v>
      </c>
      <c r="U367" s="41">
        <f t="shared" si="147"/>
        <v>0</v>
      </c>
      <c r="V367" s="42" t="e">
        <f t="shared" si="154"/>
        <v>#DIV/0!</v>
      </c>
      <c r="W367" s="41">
        <f t="shared" si="155"/>
        <v>0</v>
      </c>
      <c r="X367" s="43" t="e">
        <f t="shared" si="148"/>
        <v>#DIV/0!</v>
      </c>
      <c r="Y367" s="46"/>
      <c r="Z367" s="47"/>
      <c r="AA367" s="48"/>
    </row>
    <row r="368" spans="2:27" ht="14.4" customHeight="1">
      <c r="B368" s="4">
        <v>364</v>
      </c>
      <c r="C368" s="39" t="s">
        <v>707</v>
      </c>
      <c r="D368" s="5" t="str">
        <f t="shared" si="120"/>
        <v xml:space="preserve"> 232</v>
      </c>
      <c r="E368" s="6" t="s">
        <v>707</v>
      </c>
      <c r="F368" s="7">
        <f t="shared" si="121"/>
        <v>0</v>
      </c>
      <c r="G368" s="8" t="s">
        <v>299</v>
      </c>
      <c r="H368" s="8" t="s">
        <v>708</v>
      </c>
      <c r="I368" s="8" t="s">
        <v>709</v>
      </c>
      <c r="J368" s="12"/>
      <c r="K368" s="13">
        <f t="shared" si="149"/>
        <v>0</v>
      </c>
      <c r="L368" s="7"/>
      <c r="M368" s="14">
        <f t="shared" si="160"/>
        <v>0</v>
      </c>
      <c r="N368" s="15"/>
      <c r="O368" s="40">
        <f t="shared" si="151"/>
        <v>0</v>
      </c>
      <c r="P368" s="106"/>
      <c r="Q368" s="3"/>
      <c r="R368" s="37"/>
      <c r="S368" s="37">
        <f t="shared" si="153"/>
        <v>0</v>
      </c>
      <c r="T368" s="37">
        <f t="shared" si="146"/>
        <v>0</v>
      </c>
      <c r="U368" s="41">
        <f t="shared" si="147"/>
        <v>0</v>
      </c>
      <c r="V368" s="42" t="e">
        <f t="shared" si="154"/>
        <v>#DIV/0!</v>
      </c>
      <c r="W368" s="41">
        <f t="shared" si="155"/>
        <v>0</v>
      </c>
      <c r="X368" s="43" t="e">
        <f t="shared" si="148"/>
        <v>#DIV/0!</v>
      </c>
      <c r="Y368" s="46"/>
      <c r="Z368" s="47"/>
      <c r="AA368" s="48"/>
    </row>
    <row r="369" spans="2:27" ht="14.4" customHeight="1">
      <c r="B369" s="4">
        <v>365</v>
      </c>
      <c r="C369" s="5" t="s">
        <v>95</v>
      </c>
      <c r="D369" s="5" t="str">
        <f t="shared" si="120"/>
        <v xml:space="preserve"> 878</v>
      </c>
      <c r="E369" s="6" t="s">
        <v>95</v>
      </c>
      <c r="F369" s="7">
        <f t="shared" si="121"/>
        <v>0</v>
      </c>
      <c r="G369" s="11" t="s">
        <v>21</v>
      </c>
      <c r="H369" s="11" t="s">
        <v>300</v>
      </c>
      <c r="I369" s="11" t="s">
        <v>368</v>
      </c>
      <c r="J369" s="12">
        <f>M369</f>
        <v>80000</v>
      </c>
      <c r="K369" s="13">
        <f t="shared" si="149"/>
        <v>0</v>
      </c>
      <c r="L369" s="17" t="s">
        <v>23</v>
      </c>
      <c r="M369" s="18">
        <v>80000</v>
      </c>
      <c r="N369" s="15">
        <f>2000+200+600+750+3000</f>
        <v>6550</v>
      </c>
      <c r="O369" s="40">
        <f t="shared" si="151"/>
        <v>86550</v>
      </c>
      <c r="P369" s="106"/>
      <c r="Q369" s="3" t="s">
        <v>463</v>
      </c>
      <c r="R369" s="37"/>
      <c r="S369" s="37">
        <f t="shared" si="153"/>
        <v>86550</v>
      </c>
      <c r="T369" s="37">
        <f t="shared" si="146"/>
        <v>123642.85714285714</v>
      </c>
      <c r="U369" s="41">
        <f t="shared" si="147"/>
        <v>141306.12244897959</v>
      </c>
      <c r="V369" s="42">
        <f t="shared" si="154"/>
        <v>0.12499999999999994</v>
      </c>
      <c r="W369" s="41">
        <f t="shared" si="155"/>
        <v>141400</v>
      </c>
      <c r="X369" s="43">
        <f t="shared" si="148"/>
        <v>0.3</v>
      </c>
      <c r="Y369" s="46">
        <v>124513</v>
      </c>
      <c r="Z369" s="47">
        <f>T369-Y369</f>
        <v>-870.14285714285506</v>
      </c>
      <c r="AA369" s="48">
        <f>Z369/Y369</f>
        <v>-6.9883695448897309E-3</v>
      </c>
    </row>
    <row r="370" spans="2:27" ht="14.4" customHeight="1">
      <c r="B370" s="4">
        <v>366</v>
      </c>
      <c r="C370" s="5" t="s">
        <v>1200</v>
      </c>
      <c r="D370" s="5" t="str">
        <f t="shared" si="120"/>
        <v xml:space="preserve"> 848</v>
      </c>
      <c r="E370" s="6" t="s">
        <v>1200</v>
      </c>
      <c r="F370" s="7">
        <f t="shared" si="121"/>
        <v>0</v>
      </c>
      <c r="G370" s="11" t="s">
        <v>21</v>
      </c>
      <c r="H370" s="8" t="s">
        <v>708</v>
      </c>
      <c r="I370" s="11" t="s">
        <v>706</v>
      </c>
      <c r="J370" s="12"/>
      <c r="K370" s="13">
        <f t="shared" si="149"/>
        <v>0</v>
      </c>
      <c r="L370" s="7"/>
      <c r="M370" s="14">
        <f t="shared" ref="M370:M373" si="162">J370-N370</f>
        <v>0</v>
      </c>
      <c r="N370" s="15"/>
      <c r="O370" s="40">
        <f t="shared" si="151"/>
        <v>0</v>
      </c>
      <c r="P370" s="106"/>
      <c r="Q370" s="3"/>
      <c r="R370" s="37"/>
      <c r="S370" s="37">
        <f t="shared" si="153"/>
        <v>0</v>
      </c>
      <c r="T370" s="37">
        <f t="shared" si="146"/>
        <v>0</v>
      </c>
      <c r="U370" s="41">
        <f t="shared" si="147"/>
        <v>0</v>
      </c>
      <c r="V370" s="42" t="e">
        <f t="shared" si="154"/>
        <v>#DIV/0!</v>
      </c>
      <c r="W370" s="41">
        <f t="shared" si="155"/>
        <v>0</v>
      </c>
      <c r="X370" s="43" t="e">
        <f t="shared" si="148"/>
        <v>#DIV/0!</v>
      </c>
      <c r="Y370" s="46">
        <v>152338</v>
      </c>
      <c r="Z370" s="47">
        <f>T370-Y370</f>
        <v>-152338</v>
      </c>
      <c r="AA370" s="48">
        <f>Z370/Y370</f>
        <v>-1</v>
      </c>
    </row>
    <row r="371" spans="2:27" ht="14.4" customHeight="1">
      <c r="B371" s="4">
        <v>367</v>
      </c>
      <c r="C371" s="5" t="s">
        <v>96</v>
      </c>
      <c r="D371" s="5" t="str">
        <f t="shared" si="120"/>
        <v xml:space="preserve"> 853</v>
      </c>
      <c r="E371" s="6" t="s">
        <v>96</v>
      </c>
      <c r="F371" s="7">
        <f t="shared" si="121"/>
        <v>0</v>
      </c>
      <c r="G371" s="7" t="s">
        <v>21</v>
      </c>
      <c r="H371" s="11" t="s">
        <v>300</v>
      </c>
      <c r="I371" s="11" t="s">
        <v>330</v>
      </c>
      <c r="J371" s="12">
        <v>93000</v>
      </c>
      <c r="K371" s="13">
        <f t="shared" si="149"/>
        <v>6950</v>
      </c>
      <c r="L371" s="7" t="s">
        <v>24</v>
      </c>
      <c r="M371" s="14">
        <f t="shared" si="162"/>
        <v>86050</v>
      </c>
      <c r="N371" s="14">
        <f>2000+200+600+750+3000+400</f>
        <v>6950</v>
      </c>
      <c r="O371" s="40">
        <f t="shared" si="151"/>
        <v>93000</v>
      </c>
      <c r="P371" s="106"/>
      <c r="Q371" s="3" t="s">
        <v>470</v>
      </c>
      <c r="R371" s="37"/>
      <c r="S371" s="37">
        <f t="shared" si="153"/>
        <v>93000</v>
      </c>
      <c r="T371" s="37">
        <f t="shared" si="146"/>
        <v>132857.14285714287</v>
      </c>
      <c r="U371" s="41">
        <f t="shared" si="147"/>
        <v>151836.73469387757</v>
      </c>
      <c r="V371" s="42">
        <f t="shared" si="154"/>
        <v>0.12500000000000006</v>
      </c>
      <c r="W371" s="41">
        <f t="shared" si="155"/>
        <v>151900</v>
      </c>
      <c r="X371" s="43">
        <f t="shared" si="148"/>
        <v>0.30000000000000004</v>
      </c>
      <c r="Y371" s="46">
        <v>131513</v>
      </c>
      <c r="Z371" s="47">
        <f>T371-Y371</f>
        <v>1344.1428571428696</v>
      </c>
      <c r="AA371" s="48">
        <f>Z371/Y371</f>
        <v>1.0220608283157328E-2</v>
      </c>
    </row>
    <row r="372" spans="2:27" ht="14.4" customHeight="1">
      <c r="B372" s="4">
        <v>369</v>
      </c>
      <c r="C372" s="50" t="s">
        <v>122</v>
      </c>
      <c r="D372" s="5" t="str">
        <f t="shared" si="120"/>
        <v xml:space="preserve"> 249</v>
      </c>
      <c r="E372" s="50" t="s">
        <v>122</v>
      </c>
      <c r="F372" s="7">
        <f t="shared" si="121"/>
        <v>0</v>
      </c>
      <c r="G372" s="11" t="s">
        <v>299</v>
      </c>
      <c r="H372" s="11" t="s">
        <v>300</v>
      </c>
      <c r="I372" s="11" t="s">
        <v>330</v>
      </c>
      <c r="J372" s="12">
        <v>93000</v>
      </c>
      <c r="K372" s="13">
        <f t="shared" si="149"/>
        <v>6950</v>
      </c>
      <c r="L372" s="7" t="s">
        <v>24</v>
      </c>
      <c r="M372" s="14">
        <f t="shared" si="162"/>
        <v>86050</v>
      </c>
      <c r="N372" s="14">
        <f>2000+200+600+750+3000+400</f>
        <v>6950</v>
      </c>
      <c r="O372" s="40">
        <f t="shared" si="151"/>
        <v>93000</v>
      </c>
      <c r="P372" s="105"/>
      <c r="Q372" s="3" t="s">
        <v>470</v>
      </c>
      <c r="R372" s="37"/>
      <c r="S372" s="37">
        <f t="shared" si="153"/>
        <v>93000</v>
      </c>
      <c r="T372" s="37">
        <f t="shared" si="146"/>
        <v>132857.14285714287</v>
      </c>
      <c r="U372" s="41">
        <f t="shared" si="147"/>
        <v>151836.73469387757</v>
      </c>
      <c r="V372" s="42">
        <f t="shared" si="154"/>
        <v>0.12500000000000006</v>
      </c>
      <c r="W372" s="41">
        <f t="shared" si="155"/>
        <v>151900</v>
      </c>
      <c r="X372" s="43">
        <f t="shared" si="148"/>
        <v>0.30000000000000004</v>
      </c>
      <c r="Y372" s="44"/>
      <c r="Z372" s="44"/>
      <c r="AA372" s="44"/>
    </row>
    <row r="373" spans="2:27" ht="14.4" customHeight="1">
      <c r="B373" s="4">
        <v>368</v>
      </c>
      <c r="C373" s="39" t="s">
        <v>1203</v>
      </c>
      <c r="D373" s="5" t="str">
        <f>REPLACE(C373,1,3, )</f>
        <v xml:space="preserve"> 198</v>
      </c>
      <c r="E373" s="6" t="s">
        <v>1203</v>
      </c>
      <c r="F373" s="7">
        <f t="shared" si="121"/>
        <v>0</v>
      </c>
      <c r="G373" s="8" t="s">
        <v>299</v>
      </c>
      <c r="H373" s="8" t="s">
        <v>300</v>
      </c>
      <c r="I373" s="8" t="s">
        <v>368</v>
      </c>
      <c r="J373" s="12"/>
      <c r="K373" s="13">
        <f t="shared" si="149"/>
        <v>0</v>
      </c>
      <c r="L373" s="7"/>
      <c r="M373" s="14">
        <f t="shared" si="162"/>
        <v>0</v>
      </c>
      <c r="N373" s="14"/>
      <c r="O373" s="40">
        <f t="shared" si="151"/>
        <v>0</v>
      </c>
      <c r="P373" s="105"/>
      <c r="Q373" s="3"/>
      <c r="R373" s="37"/>
      <c r="S373" s="37">
        <f t="shared" si="153"/>
        <v>0</v>
      </c>
      <c r="T373" s="37">
        <f t="shared" si="146"/>
        <v>0</v>
      </c>
      <c r="U373" s="41">
        <f t="shared" si="147"/>
        <v>0</v>
      </c>
      <c r="V373" s="42" t="e">
        <f t="shared" si="154"/>
        <v>#DIV/0!</v>
      </c>
      <c r="W373" s="41">
        <f t="shared" si="155"/>
        <v>0</v>
      </c>
      <c r="X373" s="43" t="e">
        <f t="shared" si="148"/>
        <v>#DIV/0!</v>
      </c>
      <c r="Y373" s="44"/>
      <c r="Z373" s="44"/>
      <c r="AA373" s="44"/>
    </row>
    <row r="374" spans="2:27" ht="14.4" customHeight="1">
      <c r="B374" s="4">
        <v>370</v>
      </c>
      <c r="C374" s="5" t="s">
        <v>1351</v>
      </c>
      <c r="D374" s="5" t="str">
        <f t="shared" si="120"/>
        <v xml:space="preserve"> 547</v>
      </c>
      <c r="E374" s="6" t="s">
        <v>1351</v>
      </c>
      <c r="F374" s="7">
        <f t="shared" si="121"/>
        <v>0</v>
      </c>
      <c r="G374" s="11" t="s">
        <v>299</v>
      </c>
      <c r="H374" s="11" t="s">
        <v>300</v>
      </c>
      <c r="I374" s="11" t="s">
        <v>368</v>
      </c>
      <c r="J374" s="12">
        <f>M374</f>
        <v>80000</v>
      </c>
      <c r="K374" s="13">
        <f t="shared" si="149"/>
        <v>0</v>
      </c>
      <c r="L374" s="17" t="s">
        <v>23</v>
      </c>
      <c r="M374" s="18">
        <v>80000</v>
      </c>
      <c r="N374" s="15">
        <f>2000+200+600+750+3000</f>
        <v>6550</v>
      </c>
      <c r="O374" s="40">
        <f t="shared" si="151"/>
        <v>86550</v>
      </c>
      <c r="P374" s="107"/>
      <c r="Q374" s="3" t="s">
        <v>463</v>
      </c>
      <c r="R374" s="37"/>
      <c r="S374" s="37">
        <f t="shared" si="153"/>
        <v>86550</v>
      </c>
      <c r="T374" s="37">
        <f t="shared" si="146"/>
        <v>123642.85714285714</v>
      </c>
      <c r="U374" s="41">
        <f t="shared" si="147"/>
        <v>141306.12244897959</v>
      </c>
      <c r="V374" s="42">
        <f t="shared" si="154"/>
        <v>0.12499999999999994</v>
      </c>
      <c r="W374" s="41">
        <f t="shared" si="155"/>
        <v>141400</v>
      </c>
      <c r="X374" s="43">
        <f t="shared" si="148"/>
        <v>0.3</v>
      </c>
      <c r="Y374" s="44"/>
      <c r="Z374" s="44"/>
      <c r="AA374" s="45"/>
    </row>
    <row r="375" spans="2:27" ht="14.4" customHeight="1">
      <c r="B375" s="4">
        <v>371</v>
      </c>
      <c r="C375" s="5" t="s">
        <v>197</v>
      </c>
      <c r="D375" s="5" t="str">
        <f t="shared" si="120"/>
        <v xml:space="preserve"> 224</v>
      </c>
      <c r="E375" s="6" t="s">
        <v>197</v>
      </c>
      <c r="F375" s="7">
        <f t="shared" si="121"/>
        <v>0</v>
      </c>
      <c r="G375" s="11" t="s">
        <v>299</v>
      </c>
      <c r="H375" s="11" t="s">
        <v>300</v>
      </c>
      <c r="I375" s="11" t="s">
        <v>349</v>
      </c>
      <c r="J375" s="12">
        <v>100000</v>
      </c>
      <c r="K375" s="13">
        <f t="shared" si="149"/>
        <v>6950</v>
      </c>
      <c r="L375" s="7" t="s">
        <v>24</v>
      </c>
      <c r="M375" s="14">
        <f t="shared" ref="M375:M413" si="163">J375-N375</f>
        <v>93050</v>
      </c>
      <c r="N375" s="15">
        <f>2000+200+600+750+3000+400</f>
        <v>6950</v>
      </c>
      <c r="O375" s="40">
        <f t="shared" si="151"/>
        <v>100000</v>
      </c>
      <c r="P375" s="106"/>
      <c r="Q375" s="3" t="s">
        <v>411</v>
      </c>
      <c r="R375" s="37"/>
      <c r="S375" s="37">
        <f t="shared" si="153"/>
        <v>100000</v>
      </c>
      <c r="T375" s="37">
        <f t="shared" si="146"/>
        <v>142857.14285714287</v>
      </c>
      <c r="U375" s="41">
        <f t="shared" si="147"/>
        <v>163265.30612244899</v>
      </c>
      <c r="V375" s="42">
        <f t="shared" si="154"/>
        <v>0.125</v>
      </c>
      <c r="W375" s="41">
        <f t="shared" si="155"/>
        <v>163300</v>
      </c>
      <c r="X375" s="43">
        <f t="shared" si="148"/>
        <v>0.30000000000000004</v>
      </c>
      <c r="Y375" s="44"/>
      <c r="Z375" s="44"/>
      <c r="AA375" s="45"/>
    </row>
    <row r="376" spans="2:27" ht="14.4" customHeight="1">
      <c r="B376" s="4">
        <v>372</v>
      </c>
      <c r="C376" s="39" t="s">
        <v>712</v>
      </c>
      <c r="D376" s="5" t="str">
        <f t="shared" si="120"/>
        <v xml:space="preserve"> 972</v>
      </c>
      <c r="E376" s="6" t="s">
        <v>712</v>
      </c>
      <c r="F376" s="7">
        <f t="shared" si="121"/>
        <v>0</v>
      </c>
      <c r="G376" s="8" t="s">
        <v>21</v>
      </c>
      <c r="H376" s="8" t="s">
        <v>300</v>
      </c>
      <c r="I376" s="8" t="s">
        <v>706</v>
      </c>
      <c r="J376" s="12"/>
      <c r="K376" s="13">
        <f t="shared" si="149"/>
        <v>0</v>
      </c>
      <c r="L376" s="7"/>
      <c r="M376" s="14">
        <f t="shared" si="163"/>
        <v>0</v>
      </c>
      <c r="N376" s="15"/>
      <c r="O376" s="40">
        <f t="shared" si="151"/>
        <v>0</v>
      </c>
      <c r="P376" s="106"/>
      <c r="Q376" s="3"/>
      <c r="R376" s="37"/>
      <c r="S376" s="37">
        <f t="shared" si="153"/>
        <v>0</v>
      </c>
      <c r="T376" s="37">
        <f t="shared" si="146"/>
        <v>0</v>
      </c>
      <c r="U376" s="41">
        <f t="shared" si="147"/>
        <v>0</v>
      </c>
      <c r="V376" s="42" t="e">
        <f t="shared" si="154"/>
        <v>#DIV/0!</v>
      </c>
      <c r="W376" s="41">
        <f t="shared" si="155"/>
        <v>0</v>
      </c>
      <c r="X376" s="43" t="e">
        <f t="shared" si="148"/>
        <v>#DIV/0!</v>
      </c>
      <c r="Y376" s="46">
        <v>132300</v>
      </c>
      <c r="Z376" s="47">
        <f>T376-Y376</f>
        <v>-132300</v>
      </c>
      <c r="AA376" s="48">
        <f>Z376/Y376</f>
        <v>-1</v>
      </c>
    </row>
    <row r="377" spans="2:27" ht="14.4" customHeight="1">
      <c r="B377" s="4">
        <v>373</v>
      </c>
      <c r="C377" s="5" t="s">
        <v>123</v>
      </c>
      <c r="D377" s="5" t="str">
        <f t="shared" si="120"/>
        <v xml:space="preserve"> 967</v>
      </c>
      <c r="E377" s="6" t="s">
        <v>123</v>
      </c>
      <c r="F377" s="7">
        <f t="shared" si="121"/>
        <v>0</v>
      </c>
      <c r="G377" s="7" t="s">
        <v>299</v>
      </c>
      <c r="H377" s="11" t="s">
        <v>301</v>
      </c>
      <c r="I377" s="11" t="s">
        <v>330</v>
      </c>
      <c r="J377" s="19">
        <v>93000</v>
      </c>
      <c r="K377" s="13">
        <f t="shared" si="149"/>
        <v>6950</v>
      </c>
      <c r="L377" s="7" t="s">
        <v>24</v>
      </c>
      <c r="M377" s="14">
        <f t="shared" si="163"/>
        <v>86050</v>
      </c>
      <c r="N377" s="14">
        <f>2000+200+600+750+3000+400</f>
        <v>6950</v>
      </c>
      <c r="O377" s="40">
        <f t="shared" si="151"/>
        <v>93000</v>
      </c>
      <c r="P377" s="105"/>
      <c r="Q377" s="3" t="s">
        <v>470</v>
      </c>
      <c r="R377" s="37"/>
      <c r="S377" s="37">
        <f t="shared" si="153"/>
        <v>93000</v>
      </c>
      <c r="T377" s="37">
        <f t="shared" si="146"/>
        <v>132857.14285714287</v>
      </c>
      <c r="U377" s="41">
        <f t="shared" si="147"/>
        <v>151836.73469387757</v>
      </c>
      <c r="V377" s="42">
        <f t="shared" si="154"/>
        <v>0.12500000000000006</v>
      </c>
      <c r="W377" s="41">
        <f t="shared" si="155"/>
        <v>151900</v>
      </c>
      <c r="X377" s="43">
        <f t="shared" si="148"/>
        <v>0.30000000000000004</v>
      </c>
      <c r="Y377" s="44"/>
      <c r="Z377" s="44"/>
      <c r="AA377" s="44"/>
    </row>
    <row r="378" spans="2:27" ht="14.4" customHeight="1">
      <c r="B378" s="4">
        <v>374</v>
      </c>
      <c r="C378" s="39" t="s">
        <v>713</v>
      </c>
      <c r="D378" s="5" t="str">
        <f t="shared" si="120"/>
        <v xml:space="preserve"> 443</v>
      </c>
      <c r="E378" s="6" t="s">
        <v>713</v>
      </c>
      <c r="F378" s="7">
        <f t="shared" si="121"/>
        <v>0</v>
      </c>
      <c r="G378" s="8" t="s">
        <v>299</v>
      </c>
      <c r="H378" s="8" t="s">
        <v>325</v>
      </c>
      <c r="I378" s="8" t="s">
        <v>714</v>
      </c>
      <c r="J378" s="19"/>
      <c r="K378" s="13">
        <f t="shared" si="149"/>
        <v>0</v>
      </c>
      <c r="L378" s="7"/>
      <c r="M378" s="14">
        <f t="shared" si="163"/>
        <v>0</v>
      </c>
      <c r="N378" s="14"/>
      <c r="O378" s="40">
        <f t="shared" si="151"/>
        <v>0</v>
      </c>
      <c r="P378" s="105"/>
      <c r="Q378" s="3"/>
      <c r="R378" s="37"/>
      <c r="S378" s="37">
        <f t="shared" si="153"/>
        <v>0</v>
      </c>
      <c r="T378" s="37">
        <f t="shared" si="146"/>
        <v>0</v>
      </c>
      <c r="U378" s="41">
        <f t="shared" si="147"/>
        <v>0</v>
      </c>
      <c r="V378" s="42" t="e">
        <f t="shared" si="154"/>
        <v>#DIV/0!</v>
      </c>
      <c r="W378" s="41">
        <f t="shared" si="155"/>
        <v>0</v>
      </c>
      <c r="X378" s="43" t="e">
        <f t="shared" si="148"/>
        <v>#DIV/0!</v>
      </c>
      <c r="Y378" s="44"/>
      <c r="Z378" s="44"/>
      <c r="AA378" s="44"/>
    </row>
    <row r="379" spans="2:27" ht="14.4" customHeight="1">
      <c r="B379" s="4">
        <v>375</v>
      </c>
      <c r="C379" s="39" t="s">
        <v>715</v>
      </c>
      <c r="D379" s="5" t="str">
        <f t="shared" si="120"/>
        <v xml:space="preserve"> 561</v>
      </c>
      <c r="E379" s="6" t="s">
        <v>715</v>
      </c>
      <c r="F379" s="7">
        <f t="shared" si="121"/>
        <v>0</v>
      </c>
      <c r="G379" s="8" t="s">
        <v>21</v>
      </c>
      <c r="H379" s="8" t="s">
        <v>325</v>
      </c>
      <c r="I379" s="8" t="s">
        <v>714</v>
      </c>
      <c r="J379" s="19"/>
      <c r="K379" s="13">
        <f t="shared" si="149"/>
        <v>0</v>
      </c>
      <c r="L379" s="7"/>
      <c r="M379" s="14">
        <f t="shared" si="163"/>
        <v>0</v>
      </c>
      <c r="N379" s="14"/>
      <c r="O379" s="40">
        <f t="shared" si="151"/>
        <v>0</v>
      </c>
      <c r="P379" s="105"/>
      <c r="Q379" s="3"/>
      <c r="R379" s="37"/>
      <c r="S379" s="37">
        <f t="shared" si="153"/>
        <v>0</v>
      </c>
      <c r="T379" s="37">
        <f t="shared" si="146"/>
        <v>0</v>
      </c>
      <c r="U379" s="41">
        <f t="shared" si="147"/>
        <v>0</v>
      </c>
      <c r="V379" s="42" t="e">
        <f t="shared" si="154"/>
        <v>#DIV/0!</v>
      </c>
      <c r="W379" s="41">
        <f t="shared" si="155"/>
        <v>0</v>
      </c>
      <c r="X379" s="43" t="e">
        <f t="shared" si="148"/>
        <v>#DIV/0!</v>
      </c>
      <c r="Y379" s="46">
        <v>126000</v>
      </c>
      <c r="Z379" s="47">
        <f>T379-Y379</f>
        <v>-126000</v>
      </c>
      <c r="AA379" s="48">
        <f>Z379/Y379</f>
        <v>-1</v>
      </c>
    </row>
    <row r="380" spans="2:27" ht="14.4" customHeight="1">
      <c r="B380" s="4">
        <v>376</v>
      </c>
      <c r="C380" s="39" t="s">
        <v>716</v>
      </c>
      <c r="D380" s="5" t="str">
        <f t="shared" si="120"/>
        <v xml:space="preserve"> 957</v>
      </c>
      <c r="E380" s="6" t="s">
        <v>716</v>
      </c>
      <c r="F380" s="7">
        <f t="shared" si="121"/>
        <v>0</v>
      </c>
      <c r="G380" s="8" t="s">
        <v>299</v>
      </c>
      <c r="H380" s="8" t="s">
        <v>325</v>
      </c>
      <c r="I380" s="8" t="s">
        <v>714</v>
      </c>
      <c r="J380" s="19"/>
      <c r="K380" s="13">
        <f t="shared" si="149"/>
        <v>0</v>
      </c>
      <c r="L380" s="7"/>
      <c r="M380" s="14">
        <f t="shared" si="163"/>
        <v>0</v>
      </c>
      <c r="N380" s="14"/>
      <c r="O380" s="40">
        <f t="shared" si="151"/>
        <v>0</v>
      </c>
      <c r="P380" s="105"/>
      <c r="Q380" s="3"/>
      <c r="R380" s="37"/>
      <c r="S380" s="37">
        <f t="shared" si="153"/>
        <v>0</v>
      </c>
      <c r="T380" s="37">
        <f t="shared" si="146"/>
        <v>0</v>
      </c>
      <c r="U380" s="41">
        <f t="shared" si="147"/>
        <v>0</v>
      </c>
      <c r="V380" s="42" t="e">
        <f t="shared" si="154"/>
        <v>#DIV/0!</v>
      </c>
      <c r="W380" s="41">
        <f t="shared" si="155"/>
        <v>0</v>
      </c>
      <c r="X380" s="43" t="e">
        <f t="shared" si="148"/>
        <v>#DIV/0!</v>
      </c>
      <c r="Y380" s="44"/>
      <c r="Z380" s="44"/>
      <c r="AA380" s="44"/>
    </row>
    <row r="381" spans="2:27" ht="14.4" customHeight="1">
      <c r="B381" s="4">
        <v>377</v>
      </c>
      <c r="C381" s="39" t="s">
        <v>717</v>
      </c>
      <c r="D381" s="5" t="str">
        <f t="shared" si="120"/>
        <v xml:space="preserve"> 912</v>
      </c>
      <c r="E381" s="6" t="s">
        <v>717</v>
      </c>
      <c r="F381" s="7">
        <f t="shared" si="121"/>
        <v>0</v>
      </c>
      <c r="G381" s="8" t="s">
        <v>21</v>
      </c>
      <c r="H381" s="8" t="s">
        <v>325</v>
      </c>
      <c r="I381" s="8" t="s">
        <v>718</v>
      </c>
      <c r="J381" s="12">
        <f>M381</f>
        <v>77750</v>
      </c>
      <c r="K381" s="13">
        <f t="shared" si="149"/>
        <v>0</v>
      </c>
      <c r="L381" s="17" t="s">
        <v>23</v>
      </c>
      <c r="M381" s="18">
        <v>77750</v>
      </c>
      <c r="N381" s="15">
        <f>2000+600+200+250+650+3600</f>
        <v>7300</v>
      </c>
      <c r="O381" s="40">
        <f t="shared" si="151"/>
        <v>85050</v>
      </c>
      <c r="P381" s="105"/>
      <c r="Q381" s="78" t="s">
        <v>1390</v>
      </c>
      <c r="R381" s="37"/>
      <c r="S381" s="37">
        <f t="shared" si="153"/>
        <v>85050</v>
      </c>
      <c r="T381" s="37">
        <f t="shared" si="146"/>
        <v>121500.00000000001</v>
      </c>
      <c r="U381" s="41">
        <f t="shared" si="147"/>
        <v>138857.14285714287</v>
      </c>
      <c r="V381" s="42">
        <f t="shared" si="154"/>
        <v>0.12499999999999997</v>
      </c>
      <c r="W381" s="41">
        <f t="shared" si="155"/>
        <v>138900</v>
      </c>
      <c r="X381" s="43">
        <f t="shared" si="148"/>
        <v>0.3000000000000001</v>
      </c>
      <c r="Y381" s="46">
        <v>114800</v>
      </c>
      <c r="Z381" s="47">
        <f>T381-Y381</f>
        <v>6700.0000000000146</v>
      </c>
      <c r="AA381" s="48">
        <f>Z381/Y381</f>
        <v>5.8362369337979218E-2</v>
      </c>
    </row>
    <row r="382" spans="2:27" ht="14.4" customHeight="1">
      <c r="B382" s="4">
        <v>378</v>
      </c>
      <c r="C382" s="5" t="s">
        <v>288</v>
      </c>
      <c r="D382" s="5" t="str">
        <f t="shared" si="120"/>
        <v xml:space="preserve"> 543</v>
      </c>
      <c r="E382" s="6" t="s">
        <v>288</v>
      </c>
      <c r="F382" s="7">
        <f t="shared" si="121"/>
        <v>0</v>
      </c>
      <c r="G382" s="11" t="s">
        <v>299</v>
      </c>
      <c r="H382" s="11" t="s">
        <v>325</v>
      </c>
      <c r="I382" s="11" t="s">
        <v>371</v>
      </c>
      <c r="J382" s="12">
        <f t="shared" ref="J382:J422" si="164">M382</f>
        <v>75000</v>
      </c>
      <c r="K382" s="13">
        <f t="shared" si="149"/>
        <v>0</v>
      </c>
      <c r="L382" s="17" t="s">
        <v>23</v>
      </c>
      <c r="M382" s="18">
        <v>75000</v>
      </c>
      <c r="N382" s="15">
        <f t="shared" ref="N382:N401" si="165">2000+200+600+250+1000+3600+450</f>
        <v>8100</v>
      </c>
      <c r="O382" s="40">
        <f t="shared" si="151"/>
        <v>83100</v>
      </c>
      <c r="P382" s="107"/>
      <c r="Q382" s="3" t="s">
        <v>467</v>
      </c>
      <c r="R382" s="37">
        <v>2500</v>
      </c>
      <c r="S382" s="37">
        <f t="shared" si="153"/>
        <v>85600</v>
      </c>
      <c r="T382" s="37">
        <f t="shared" si="146"/>
        <v>122285.71428571429</v>
      </c>
      <c r="U382" s="41">
        <f t="shared" si="147"/>
        <v>139755.10204081633</v>
      </c>
      <c r="V382" s="42">
        <f t="shared" si="154"/>
        <v>0.125</v>
      </c>
      <c r="W382" s="41">
        <f t="shared" si="155"/>
        <v>139800</v>
      </c>
      <c r="X382" s="43">
        <f t="shared" si="148"/>
        <v>0.3204439252336449</v>
      </c>
      <c r="Y382" s="44"/>
      <c r="Z382" s="44"/>
      <c r="AA382" s="44"/>
    </row>
    <row r="383" spans="2:27" ht="14.4" customHeight="1">
      <c r="B383" s="4">
        <v>379</v>
      </c>
      <c r="C383" s="39" t="s">
        <v>719</v>
      </c>
      <c r="D383" s="5" t="str">
        <f t="shared" si="120"/>
        <v xml:space="preserve"> 844</v>
      </c>
      <c r="E383" s="6" t="s">
        <v>719</v>
      </c>
      <c r="F383" s="7">
        <f t="shared" si="121"/>
        <v>0</v>
      </c>
      <c r="G383" s="8" t="s">
        <v>299</v>
      </c>
      <c r="H383" s="8" t="s">
        <v>325</v>
      </c>
      <c r="I383" s="8" t="s">
        <v>720</v>
      </c>
      <c r="J383" s="12"/>
      <c r="K383" s="13">
        <f t="shared" si="149"/>
        <v>0</v>
      </c>
      <c r="L383" s="7"/>
      <c r="M383" s="14">
        <f t="shared" si="163"/>
        <v>0</v>
      </c>
      <c r="N383" s="15"/>
      <c r="O383" s="40">
        <f t="shared" si="151"/>
        <v>0</v>
      </c>
      <c r="P383" s="107"/>
      <c r="Q383" s="3"/>
      <c r="R383" s="37"/>
      <c r="S383" s="37">
        <f t="shared" si="153"/>
        <v>0</v>
      </c>
      <c r="T383" s="37">
        <f t="shared" si="146"/>
        <v>0</v>
      </c>
      <c r="U383" s="41">
        <f t="shared" si="147"/>
        <v>0</v>
      </c>
      <c r="V383" s="42" t="e">
        <f t="shared" si="154"/>
        <v>#DIV/0!</v>
      </c>
      <c r="W383" s="41">
        <f t="shared" si="155"/>
        <v>0</v>
      </c>
      <c r="X383" s="43" t="e">
        <f t="shared" si="148"/>
        <v>#DIV/0!</v>
      </c>
      <c r="Y383" s="44"/>
      <c r="Z383" s="44"/>
      <c r="AA383" s="44"/>
    </row>
    <row r="384" spans="2:27" ht="14.4" customHeight="1">
      <c r="B384" s="4">
        <v>380</v>
      </c>
      <c r="C384" s="5" t="s">
        <v>287</v>
      </c>
      <c r="D384" s="5" t="str">
        <f t="shared" si="120"/>
        <v xml:space="preserve"> 583</v>
      </c>
      <c r="E384" s="6" t="s">
        <v>287</v>
      </c>
      <c r="F384" s="7">
        <f t="shared" si="121"/>
        <v>0</v>
      </c>
      <c r="G384" s="11" t="s">
        <v>299</v>
      </c>
      <c r="H384" s="11" t="s">
        <v>325</v>
      </c>
      <c r="I384" s="11" t="s">
        <v>371</v>
      </c>
      <c r="J384" s="12">
        <f t="shared" si="164"/>
        <v>75000</v>
      </c>
      <c r="K384" s="13">
        <f t="shared" si="149"/>
        <v>0</v>
      </c>
      <c r="L384" s="17" t="s">
        <v>23</v>
      </c>
      <c r="M384" s="18">
        <v>75000</v>
      </c>
      <c r="N384" s="15">
        <f t="shared" si="165"/>
        <v>8100</v>
      </c>
      <c r="O384" s="40">
        <f t="shared" si="151"/>
        <v>83100</v>
      </c>
      <c r="P384" s="106"/>
      <c r="Q384" s="3" t="s">
        <v>467</v>
      </c>
      <c r="R384" s="37">
        <v>2500</v>
      </c>
      <c r="S384" s="37">
        <f t="shared" si="153"/>
        <v>85600</v>
      </c>
      <c r="T384" s="37">
        <f t="shared" si="146"/>
        <v>122285.71428571429</v>
      </c>
      <c r="U384" s="41">
        <f t="shared" si="147"/>
        <v>139755.10204081633</v>
      </c>
      <c r="V384" s="42">
        <f t="shared" si="154"/>
        <v>0.125</v>
      </c>
      <c r="W384" s="41">
        <f t="shared" si="155"/>
        <v>139800</v>
      </c>
      <c r="X384" s="43">
        <f t="shared" si="148"/>
        <v>0.3204439252336449</v>
      </c>
      <c r="Y384" s="44"/>
      <c r="Z384" s="44"/>
      <c r="AA384" s="45"/>
    </row>
    <row r="385" spans="2:27" ht="14.4" customHeight="1">
      <c r="B385" s="4">
        <v>381</v>
      </c>
      <c r="C385" s="39" t="s">
        <v>291</v>
      </c>
      <c r="D385" s="5" t="str">
        <f t="shared" si="120"/>
        <v xml:space="preserve"> 430</v>
      </c>
      <c r="E385" s="6" t="s">
        <v>291</v>
      </c>
      <c r="F385" s="7">
        <f t="shared" si="121"/>
        <v>0</v>
      </c>
      <c r="G385" s="8" t="s">
        <v>299</v>
      </c>
      <c r="H385" s="8" t="s">
        <v>325</v>
      </c>
      <c r="I385" s="8" t="s">
        <v>371</v>
      </c>
      <c r="J385" s="12"/>
      <c r="K385" s="13">
        <f t="shared" si="149"/>
        <v>0</v>
      </c>
      <c r="L385" s="7"/>
      <c r="M385" s="14">
        <f t="shared" si="163"/>
        <v>0</v>
      </c>
      <c r="N385" s="15"/>
      <c r="O385" s="40">
        <f t="shared" si="151"/>
        <v>0</v>
      </c>
      <c r="P385" s="106"/>
      <c r="Q385" s="3"/>
      <c r="R385" s="37">
        <v>2500</v>
      </c>
      <c r="S385" s="37">
        <f t="shared" si="153"/>
        <v>2500</v>
      </c>
      <c r="T385" s="37">
        <f t="shared" si="146"/>
        <v>3571.4285714285716</v>
      </c>
      <c r="U385" s="41">
        <f t="shared" si="147"/>
        <v>4081.6326530612246</v>
      </c>
      <c r="V385" s="42">
        <f t="shared" si="154"/>
        <v>0.12499999999999999</v>
      </c>
      <c r="W385" s="41">
        <f t="shared" si="155"/>
        <v>4100</v>
      </c>
      <c r="X385" s="43">
        <f t="shared" si="148"/>
        <v>1</v>
      </c>
      <c r="Y385" s="44"/>
      <c r="Z385" s="44"/>
      <c r="AA385" s="45"/>
    </row>
    <row r="386" spans="2:27" ht="14.4" customHeight="1">
      <c r="B386" s="4">
        <v>382</v>
      </c>
      <c r="C386" s="5" t="s">
        <v>286</v>
      </c>
      <c r="D386" s="5" t="str">
        <f t="shared" si="120"/>
        <v xml:space="preserve"> 800</v>
      </c>
      <c r="E386" s="6" t="s">
        <v>286</v>
      </c>
      <c r="F386" s="7">
        <f t="shared" si="121"/>
        <v>0</v>
      </c>
      <c r="G386" s="11" t="s">
        <v>299</v>
      </c>
      <c r="H386" s="11" t="s">
        <v>325</v>
      </c>
      <c r="I386" s="11" t="s">
        <v>371</v>
      </c>
      <c r="J386" s="12">
        <f t="shared" si="164"/>
        <v>75000</v>
      </c>
      <c r="K386" s="13">
        <f t="shared" si="149"/>
        <v>0</v>
      </c>
      <c r="L386" s="17" t="s">
        <v>23</v>
      </c>
      <c r="M386" s="18">
        <v>75000</v>
      </c>
      <c r="N386" s="15">
        <f t="shared" si="165"/>
        <v>8100</v>
      </c>
      <c r="O386" s="40">
        <f t="shared" si="151"/>
        <v>83100</v>
      </c>
      <c r="P386" s="106"/>
      <c r="Q386" s="3" t="s">
        <v>467</v>
      </c>
      <c r="R386" s="37">
        <v>2500</v>
      </c>
      <c r="S386" s="37">
        <f t="shared" si="153"/>
        <v>85600</v>
      </c>
      <c r="T386" s="37">
        <f t="shared" si="146"/>
        <v>122285.71428571429</v>
      </c>
      <c r="U386" s="41">
        <f t="shared" si="147"/>
        <v>139755.10204081633</v>
      </c>
      <c r="V386" s="42">
        <f t="shared" si="154"/>
        <v>0.125</v>
      </c>
      <c r="W386" s="41">
        <f t="shared" si="155"/>
        <v>139800</v>
      </c>
      <c r="X386" s="43">
        <f t="shared" si="148"/>
        <v>0.3204439252336449</v>
      </c>
      <c r="Y386" s="44"/>
      <c r="Z386" s="44"/>
      <c r="AA386" s="45"/>
    </row>
    <row r="387" spans="2:27" ht="14.4" customHeight="1">
      <c r="B387" s="4">
        <v>383</v>
      </c>
      <c r="C387" s="39" t="s">
        <v>721</v>
      </c>
      <c r="D387" s="5" t="str">
        <f t="shared" si="120"/>
        <v xml:space="preserve"> 470</v>
      </c>
      <c r="E387" s="6" t="s">
        <v>721</v>
      </c>
      <c r="F387" s="7">
        <f t="shared" si="121"/>
        <v>0</v>
      </c>
      <c r="G387" s="8" t="s">
        <v>299</v>
      </c>
      <c r="H387" s="8" t="s">
        <v>325</v>
      </c>
      <c r="I387" s="8" t="s">
        <v>718</v>
      </c>
      <c r="J387" s="12">
        <f>M387</f>
        <v>73750</v>
      </c>
      <c r="K387" s="13">
        <f t="shared" ref="K387" si="166">J387-M387</f>
        <v>0</v>
      </c>
      <c r="L387" s="17" t="s">
        <v>23</v>
      </c>
      <c r="M387" s="18">
        <v>73750</v>
      </c>
      <c r="N387" s="15">
        <f>2000+600+200+250+1000+3600</f>
        <v>7650</v>
      </c>
      <c r="O387" s="40">
        <f t="shared" ref="O387" si="167">M387+N387</f>
        <v>81400</v>
      </c>
      <c r="P387" s="106"/>
      <c r="Q387" s="78" t="s">
        <v>1400</v>
      </c>
      <c r="R387" s="37"/>
      <c r="S387" s="37">
        <f t="shared" si="153"/>
        <v>81400</v>
      </c>
      <c r="T387" s="37">
        <f t="shared" si="146"/>
        <v>116285.71428571429</v>
      </c>
      <c r="U387" s="41">
        <f t="shared" si="147"/>
        <v>132897.95918367346</v>
      </c>
      <c r="V387" s="42">
        <f t="shared" si="154"/>
        <v>0.12499999999999992</v>
      </c>
      <c r="W387" s="41">
        <f t="shared" si="155"/>
        <v>132900</v>
      </c>
      <c r="X387" s="43">
        <f t="shared" si="148"/>
        <v>0.30000000000000004</v>
      </c>
      <c r="Y387" s="44"/>
      <c r="Z387" s="44"/>
      <c r="AA387" s="45"/>
    </row>
    <row r="388" spans="2:27" ht="14.4" customHeight="1">
      <c r="B388" s="4">
        <v>384</v>
      </c>
      <c r="C388" s="5" t="s">
        <v>293</v>
      </c>
      <c r="D388" s="5" t="str">
        <f t="shared" ref="D388:D510" si="168">REPLACE(C388,1,3, )</f>
        <v xml:space="preserve"> 890</v>
      </c>
      <c r="E388" s="6" t="s">
        <v>293</v>
      </c>
      <c r="F388" s="7">
        <f t="shared" ref="F388:F510" si="169">IF(C388=E388,0,1)</f>
        <v>0</v>
      </c>
      <c r="G388" s="11" t="s">
        <v>299</v>
      </c>
      <c r="H388" s="11" t="s">
        <v>325</v>
      </c>
      <c r="I388" s="11" t="s">
        <v>371</v>
      </c>
      <c r="J388" s="12">
        <f t="shared" si="164"/>
        <v>65000</v>
      </c>
      <c r="K388" s="13">
        <f t="shared" si="149"/>
        <v>0</v>
      </c>
      <c r="L388" s="17" t="s">
        <v>23</v>
      </c>
      <c r="M388" s="18">
        <v>65000</v>
      </c>
      <c r="N388" s="15">
        <f t="shared" si="165"/>
        <v>8100</v>
      </c>
      <c r="O388" s="40">
        <f t="shared" si="151"/>
        <v>73100</v>
      </c>
      <c r="P388" s="106"/>
      <c r="Q388" s="3" t="s">
        <v>467</v>
      </c>
      <c r="R388" s="37">
        <v>2500</v>
      </c>
      <c r="S388" s="37">
        <f t="shared" si="153"/>
        <v>75600</v>
      </c>
      <c r="T388" s="37">
        <f t="shared" si="146"/>
        <v>108000</v>
      </c>
      <c r="U388" s="41">
        <f t="shared" si="147"/>
        <v>123428.57142857143</v>
      </c>
      <c r="V388" s="42">
        <f t="shared" si="154"/>
        <v>0.12500000000000006</v>
      </c>
      <c r="W388" s="41">
        <f t="shared" si="155"/>
        <v>123500</v>
      </c>
      <c r="X388" s="43">
        <f t="shared" si="148"/>
        <v>0.32314814814814813</v>
      </c>
      <c r="Y388" s="44"/>
      <c r="Z388" s="44"/>
      <c r="AA388" s="45"/>
    </row>
    <row r="389" spans="2:27" ht="14.4" customHeight="1">
      <c r="B389" s="4">
        <v>385</v>
      </c>
      <c r="C389" s="39" t="s">
        <v>722</v>
      </c>
      <c r="D389" s="5" t="str">
        <f t="shared" si="168"/>
        <v xml:space="preserve"> 193</v>
      </c>
      <c r="E389" s="6" t="s">
        <v>722</v>
      </c>
      <c r="F389" s="7">
        <f t="shared" si="169"/>
        <v>0</v>
      </c>
      <c r="G389" s="8" t="s">
        <v>21</v>
      </c>
      <c r="H389" s="8" t="s">
        <v>325</v>
      </c>
      <c r="I389" s="8" t="s">
        <v>718</v>
      </c>
      <c r="J389" s="12">
        <f>M389</f>
        <v>74250</v>
      </c>
      <c r="K389" s="13">
        <f t="shared" ref="K389:K390" si="170">J389-M389</f>
        <v>0</v>
      </c>
      <c r="L389" s="17" t="s">
        <v>23</v>
      </c>
      <c r="M389" s="18">
        <v>74250</v>
      </c>
      <c r="N389" s="15">
        <f>2000+600+200+250+3600</f>
        <v>6650</v>
      </c>
      <c r="O389" s="40">
        <f t="shared" ref="O389:O390" si="171">M389+N389</f>
        <v>80900</v>
      </c>
      <c r="P389" s="106"/>
      <c r="Q389" s="78" t="s">
        <v>1392</v>
      </c>
      <c r="R389" s="37"/>
      <c r="S389" s="37">
        <f t="shared" si="153"/>
        <v>80900</v>
      </c>
      <c r="T389" s="37">
        <f t="shared" ref="T389:T452" si="172">S389/0.7</f>
        <v>115571.42857142858</v>
      </c>
      <c r="U389" s="41">
        <f t="shared" ref="U389:U452" si="173">T389/0.875</f>
        <v>132081.63265306124</v>
      </c>
      <c r="V389" s="42">
        <f t="shared" si="154"/>
        <v>0.12500000000000006</v>
      </c>
      <c r="W389" s="41">
        <f t="shared" si="155"/>
        <v>132100</v>
      </c>
      <c r="X389" s="43">
        <f t="shared" ref="X389:X452" si="174">(T389-O389)/T389</f>
        <v>0.30000000000000004</v>
      </c>
      <c r="Y389" s="46">
        <v>111650</v>
      </c>
      <c r="Z389" s="47">
        <f>T389-Y389</f>
        <v>3921.4285714285797</v>
      </c>
      <c r="AA389" s="48">
        <f>Z389/Y389</f>
        <v>3.5122512955025345E-2</v>
      </c>
    </row>
    <row r="390" spans="2:27" ht="14.4" customHeight="1">
      <c r="B390" s="4">
        <v>386</v>
      </c>
      <c r="C390" s="39" t="s">
        <v>723</v>
      </c>
      <c r="D390" s="5" t="str">
        <f t="shared" si="168"/>
        <v xml:space="preserve"> 767</v>
      </c>
      <c r="E390" s="6" t="s">
        <v>723</v>
      </c>
      <c r="F390" s="7">
        <f t="shared" si="169"/>
        <v>0</v>
      </c>
      <c r="G390" s="8" t="s">
        <v>299</v>
      </c>
      <c r="H390" s="8" t="s">
        <v>325</v>
      </c>
      <c r="I390" s="8" t="s">
        <v>718</v>
      </c>
      <c r="J390" s="12">
        <f>M390</f>
        <v>62700</v>
      </c>
      <c r="K390" s="13">
        <f t="shared" si="170"/>
        <v>0</v>
      </c>
      <c r="L390" s="17" t="s">
        <v>23</v>
      </c>
      <c r="M390" s="18">
        <v>62700</v>
      </c>
      <c r="N390" s="15">
        <f>2000+600+200+250+1000+3600</f>
        <v>7650</v>
      </c>
      <c r="O390" s="40">
        <f t="shared" si="171"/>
        <v>70350</v>
      </c>
      <c r="P390" s="106"/>
      <c r="Q390" s="78" t="s">
        <v>1400</v>
      </c>
      <c r="R390" s="37"/>
      <c r="S390" s="37">
        <f t="shared" si="153"/>
        <v>70350</v>
      </c>
      <c r="T390" s="37">
        <f t="shared" si="172"/>
        <v>100500</v>
      </c>
      <c r="U390" s="41">
        <f t="shared" si="173"/>
        <v>114857.14285714286</v>
      </c>
      <c r="V390" s="42">
        <f t="shared" si="154"/>
        <v>0.12499999999999999</v>
      </c>
      <c r="W390" s="41">
        <f t="shared" si="155"/>
        <v>114900</v>
      </c>
      <c r="X390" s="43">
        <f t="shared" si="174"/>
        <v>0.3</v>
      </c>
      <c r="Y390" s="44"/>
      <c r="Z390" s="44"/>
      <c r="AA390" s="45"/>
    </row>
    <row r="391" spans="2:27" ht="14.4" customHeight="1">
      <c r="B391" s="4">
        <v>387</v>
      </c>
      <c r="C391" s="5" t="s">
        <v>290</v>
      </c>
      <c r="D391" s="5" t="str">
        <f t="shared" si="168"/>
        <v xml:space="preserve"> 331</v>
      </c>
      <c r="E391" s="6" t="s">
        <v>290</v>
      </c>
      <c r="F391" s="7">
        <f t="shared" si="169"/>
        <v>0</v>
      </c>
      <c r="G391" s="11" t="s">
        <v>299</v>
      </c>
      <c r="H391" s="11" t="s">
        <v>325</v>
      </c>
      <c r="I391" s="11" t="s">
        <v>371</v>
      </c>
      <c r="J391" s="12">
        <f t="shared" si="164"/>
        <v>69000</v>
      </c>
      <c r="K391" s="13">
        <f t="shared" ref="K391:K452" si="175">J391-M391</f>
        <v>0</v>
      </c>
      <c r="L391" s="17" t="s">
        <v>23</v>
      </c>
      <c r="M391" s="18">
        <v>69000</v>
      </c>
      <c r="N391" s="15">
        <f t="shared" si="165"/>
        <v>8100</v>
      </c>
      <c r="O391" s="40">
        <f t="shared" ref="O391:O453" si="176">M391+N391</f>
        <v>77100</v>
      </c>
      <c r="P391" s="107"/>
      <c r="Q391" s="3" t="s">
        <v>467</v>
      </c>
      <c r="R391" s="37">
        <v>2500</v>
      </c>
      <c r="S391" s="37">
        <f t="shared" si="153"/>
        <v>79600</v>
      </c>
      <c r="T391" s="37">
        <f t="shared" si="172"/>
        <v>113714.28571428572</v>
      </c>
      <c r="U391" s="41">
        <f t="shared" si="173"/>
        <v>129959.18367346939</v>
      </c>
      <c r="V391" s="42">
        <f t="shared" si="154"/>
        <v>0.12499999999999996</v>
      </c>
      <c r="W391" s="41">
        <f t="shared" si="155"/>
        <v>130000</v>
      </c>
      <c r="X391" s="43">
        <f t="shared" si="174"/>
        <v>0.32198492462311562</v>
      </c>
      <c r="Y391" s="44"/>
      <c r="Z391" s="44"/>
      <c r="AA391" s="45"/>
    </row>
    <row r="392" spans="2:27" ht="14.4" customHeight="1">
      <c r="B392" s="4">
        <v>388</v>
      </c>
      <c r="C392" s="39" t="s">
        <v>724</v>
      </c>
      <c r="D392" s="5" t="str">
        <f t="shared" si="168"/>
        <v xml:space="preserve"> 880</v>
      </c>
      <c r="E392" s="6" t="s">
        <v>724</v>
      </c>
      <c r="F392" s="7">
        <f t="shared" si="169"/>
        <v>0</v>
      </c>
      <c r="G392" s="8" t="s">
        <v>299</v>
      </c>
      <c r="H392" s="8" t="s">
        <v>325</v>
      </c>
      <c r="I392" s="8" t="s">
        <v>718</v>
      </c>
      <c r="J392" s="12">
        <f t="shared" ref="J392:J398" si="177">M392</f>
        <v>68750</v>
      </c>
      <c r="K392" s="13">
        <f t="shared" si="175"/>
        <v>0</v>
      </c>
      <c r="L392" s="17" t="s">
        <v>23</v>
      </c>
      <c r="M392" s="18">
        <f>68750</f>
        <v>68750</v>
      </c>
      <c r="N392" s="15">
        <f>2000+600+200+250+1000+3600</f>
        <v>7650</v>
      </c>
      <c r="O392" s="40">
        <f t="shared" si="176"/>
        <v>76400</v>
      </c>
      <c r="P392" s="107"/>
      <c r="Q392" s="78" t="s">
        <v>1400</v>
      </c>
      <c r="R392" s="37"/>
      <c r="S392" s="37">
        <f t="shared" si="153"/>
        <v>76400</v>
      </c>
      <c r="T392" s="37">
        <f t="shared" si="172"/>
        <v>109142.85714285714</v>
      </c>
      <c r="U392" s="41">
        <f t="shared" si="173"/>
        <v>124734.69387755102</v>
      </c>
      <c r="V392" s="42">
        <f t="shared" si="154"/>
        <v>0.12499999999999999</v>
      </c>
      <c r="W392" s="41">
        <f t="shared" si="155"/>
        <v>124800</v>
      </c>
      <c r="X392" s="43">
        <f t="shared" si="174"/>
        <v>0.3</v>
      </c>
      <c r="Y392" s="44"/>
      <c r="Z392" s="44"/>
      <c r="AA392" s="45"/>
    </row>
    <row r="393" spans="2:27" ht="14.4" customHeight="1">
      <c r="B393" s="4">
        <v>389</v>
      </c>
      <c r="C393" s="39" t="s">
        <v>725</v>
      </c>
      <c r="D393" s="5" t="str">
        <f t="shared" si="168"/>
        <v xml:space="preserve"> 344</v>
      </c>
      <c r="E393" s="6" t="s">
        <v>725</v>
      </c>
      <c r="F393" s="7">
        <f t="shared" si="169"/>
        <v>0</v>
      </c>
      <c r="G393" s="8" t="s">
        <v>21</v>
      </c>
      <c r="H393" s="8" t="s">
        <v>325</v>
      </c>
      <c r="I393" s="8" t="s">
        <v>718</v>
      </c>
      <c r="J393" s="12">
        <f t="shared" si="177"/>
        <v>60000</v>
      </c>
      <c r="K393" s="13">
        <f t="shared" si="175"/>
        <v>0</v>
      </c>
      <c r="L393" s="17" t="s">
        <v>23</v>
      </c>
      <c r="M393" s="18">
        <v>60000</v>
      </c>
      <c r="N393" s="15">
        <f>2000+600+200+250+800+2400+3600</f>
        <v>9850</v>
      </c>
      <c r="O393" s="40">
        <f t="shared" si="176"/>
        <v>69850</v>
      </c>
      <c r="P393" s="107"/>
      <c r="Q393" s="78" t="s">
        <v>1391</v>
      </c>
      <c r="R393" s="37"/>
      <c r="S393" s="37">
        <f t="shared" si="153"/>
        <v>69850</v>
      </c>
      <c r="T393" s="37">
        <f t="shared" si="172"/>
        <v>99785.71428571429</v>
      </c>
      <c r="U393" s="41">
        <f t="shared" si="173"/>
        <v>114040.81632653062</v>
      </c>
      <c r="V393" s="42">
        <f t="shared" si="154"/>
        <v>0.12500000000000003</v>
      </c>
      <c r="W393" s="41">
        <f t="shared" si="155"/>
        <v>114100</v>
      </c>
      <c r="X393" s="43">
        <f t="shared" si="174"/>
        <v>0.30000000000000004</v>
      </c>
      <c r="Y393" s="46">
        <v>92313</v>
      </c>
      <c r="Z393" s="47">
        <f>T393-Y393</f>
        <v>7472.7142857142899</v>
      </c>
      <c r="AA393" s="48">
        <f>Z393/Y393</f>
        <v>8.0949750151271108E-2</v>
      </c>
    </row>
    <row r="394" spans="2:27" ht="14.4" customHeight="1">
      <c r="B394" s="4">
        <v>390</v>
      </c>
      <c r="C394" s="39" t="s">
        <v>726</v>
      </c>
      <c r="D394" s="5" t="str">
        <f t="shared" si="168"/>
        <v xml:space="preserve"> 481</v>
      </c>
      <c r="E394" s="6" t="s">
        <v>726</v>
      </c>
      <c r="F394" s="7">
        <f t="shared" si="169"/>
        <v>0</v>
      </c>
      <c r="G394" s="8" t="s">
        <v>21</v>
      </c>
      <c r="H394" s="8" t="s">
        <v>325</v>
      </c>
      <c r="I394" s="8" t="s">
        <v>718</v>
      </c>
      <c r="J394" s="12">
        <f t="shared" si="177"/>
        <v>63750</v>
      </c>
      <c r="K394" s="13">
        <f t="shared" si="175"/>
        <v>0</v>
      </c>
      <c r="L394" s="17" t="s">
        <v>23</v>
      </c>
      <c r="M394" s="18">
        <v>63750</v>
      </c>
      <c r="N394" s="15">
        <f>2000+600+200+250+400+800+3600</f>
        <v>7850</v>
      </c>
      <c r="O394" s="40">
        <f t="shared" si="176"/>
        <v>71600</v>
      </c>
      <c r="P394" s="107"/>
      <c r="Q394" s="78" t="s">
        <v>1395</v>
      </c>
      <c r="R394" s="37"/>
      <c r="S394" s="37">
        <f t="shared" si="153"/>
        <v>71600</v>
      </c>
      <c r="T394" s="37">
        <f t="shared" si="172"/>
        <v>102285.71428571429</v>
      </c>
      <c r="U394" s="41">
        <f t="shared" si="173"/>
        <v>116897.95918367348</v>
      </c>
      <c r="V394" s="42">
        <f t="shared" si="154"/>
        <v>0.12500000000000003</v>
      </c>
      <c r="W394" s="41">
        <f t="shared" si="155"/>
        <v>116900</v>
      </c>
      <c r="X394" s="43">
        <f t="shared" si="174"/>
        <v>0.30000000000000004</v>
      </c>
      <c r="Y394" s="46">
        <v>100625</v>
      </c>
      <c r="Z394" s="47">
        <f>T394-Y394</f>
        <v>1660.7142857142899</v>
      </c>
      <c r="AA394" s="48">
        <f>Z394/Y394</f>
        <v>1.6503992901508471E-2</v>
      </c>
    </row>
    <row r="395" spans="2:27" ht="14.4" customHeight="1">
      <c r="B395" s="4">
        <v>391</v>
      </c>
      <c r="C395" s="39" t="s">
        <v>727</v>
      </c>
      <c r="D395" s="5" t="str">
        <f t="shared" si="168"/>
        <v xml:space="preserve"> 345</v>
      </c>
      <c r="E395" s="6" t="s">
        <v>727</v>
      </c>
      <c r="F395" s="7">
        <f t="shared" si="169"/>
        <v>0</v>
      </c>
      <c r="G395" s="8" t="s">
        <v>299</v>
      </c>
      <c r="H395" s="8" t="s">
        <v>325</v>
      </c>
      <c r="I395" s="8" t="s">
        <v>718</v>
      </c>
      <c r="J395" s="12">
        <f t="shared" si="177"/>
        <v>64200</v>
      </c>
      <c r="K395" s="13">
        <f t="shared" si="175"/>
        <v>0</v>
      </c>
      <c r="L395" s="17" t="s">
        <v>23</v>
      </c>
      <c r="M395" s="18">
        <v>64200</v>
      </c>
      <c r="N395" s="15">
        <f>2000+600+200+250+1000+3600</f>
        <v>7650</v>
      </c>
      <c r="O395" s="40">
        <f t="shared" si="176"/>
        <v>71850</v>
      </c>
      <c r="P395" s="107"/>
      <c r="Q395" s="78" t="s">
        <v>1400</v>
      </c>
      <c r="R395" s="37"/>
      <c r="S395" s="37">
        <f t="shared" si="153"/>
        <v>71850</v>
      </c>
      <c r="T395" s="37">
        <f t="shared" si="172"/>
        <v>102642.85714285714</v>
      </c>
      <c r="U395" s="41">
        <f t="shared" si="173"/>
        <v>117306.1224489796</v>
      </c>
      <c r="V395" s="42">
        <f t="shared" si="154"/>
        <v>0.12500000000000006</v>
      </c>
      <c r="W395" s="41">
        <f t="shared" si="155"/>
        <v>117400</v>
      </c>
      <c r="X395" s="43">
        <f t="shared" si="174"/>
        <v>0.3</v>
      </c>
      <c r="Y395" s="44"/>
      <c r="Z395" s="44"/>
      <c r="AA395" s="45"/>
    </row>
    <row r="396" spans="2:27" ht="14.4" customHeight="1">
      <c r="B396" s="4">
        <v>392</v>
      </c>
      <c r="C396" s="39" t="s">
        <v>728</v>
      </c>
      <c r="D396" s="5" t="str">
        <f t="shared" si="168"/>
        <v xml:space="preserve"> 826</v>
      </c>
      <c r="E396" s="6" t="s">
        <v>728</v>
      </c>
      <c r="F396" s="7">
        <f t="shared" si="169"/>
        <v>0</v>
      </c>
      <c r="G396" s="8" t="s">
        <v>21</v>
      </c>
      <c r="H396" s="8" t="s">
        <v>325</v>
      </c>
      <c r="I396" s="8" t="s">
        <v>718</v>
      </c>
      <c r="J396" s="12">
        <f t="shared" si="177"/>
        <v>63750</v>
      </c>
      <c r="K396" s="13">
        <f t="shared" si="175"/>
        <v>0</v>
      </c>
      <c r="L396" s="17" t="s">
        <v>23</v>
      </c>
      <c r="M396" s="18">
        <v>63750</v>
      </c>
      <c r="N396" s="15">
        <f>2000+600+200+250+800+2400+3600+400</f>
        <v>10250</v>
      </c>
      <c r="O396" s="40">
        <f t="shared" si="176"/>
        <v>74000</v>
      </c>
      <c r="P396" s="107"/>
      <c r="Q396" s="78" t="s">
        <v>1394</v>
      </c>
      <c r="R396" s="37"/>
      <c r="S396" s="37">
        <f t="shared" si="153"/>
        <v>74000</v>
      </c>
      <c r="T396" s="37">
        <f t="shared" si="172"/>
        <v>105714.28571428572</v>
      </c>
      <c r="U396" s="41">
        <f t="shared" si="173"/>
        <v>120816.32653061226</v>
      </c>
      <c r="V396" s="42">
        <f t="shared" si="154"/>
        <v>0.12500000000000006</v>
      </c>
      <c r="W396" s="41">
        <f t="shared" si="155"/>
        <v>120900</v>
      </c>
      <c r="X396" s="43">
        <f t="shared" si="174"/>
        <v>0.30000000000000004</v>
      </c>
      <c r="Y396" s="46">
        <v>100625</v>
      </c>
      <c r="Z396" s="47">
        <f>T396-Y396</f>
        <v>5089.2857142857247</v>
      </c>
      <c r="AA396" s="48">
        <f>Z396/Y396</f>
        <v>5.0576752440106579E-2</v>
      </c>
    </row>
    <row r="397" spans="2:27" ht="14.4" customHeight="1">
      <c r="B397" s="4">
        <v>393</v>
      </c>
      <c r="C397" s="39" t="s">
        <v>729</v>
      </c>
      <c r="D397" s="5" t="str">
        <f t="shared" si="168"/>
        <v xml:space="preserve"> 550</v>
      </c>
      <c r="E397" s="6" t="s">
        <v>729</v>
      </c>
      <c r="F397" s="7">
        <f t="shared" si="169"/>
        <v>0</v>
      </c>
      <c r="G397" s="8" t="s">
        <v>21</v>
      </c>
      <c r="H397" s="8" t="s">
        <v>325</v>
      </c>
      <c r="I397" s="8" t="s">
        <v>718</v>
      </c>
      <c r="J397" s="12">
        <f t="shared" si="177"/>
        <v>72250</v>
      </c>
      <c r="K397" s="13">
        <f t="shared" si="175"/>
        <v>0</v>
      </c>
      <c r="L397" s="17" t="s">
        <v>23</v>
      </c>
      <c r="M397" s="18">
        <v>72250</v>
      </c>
      <c r="N397" s="15">
        <f>2000+600+200+250+800+2400+3600</f>
        <v>9850</v>
      </c>
      <c r="O397" s="40">
        <f t="shared" si="176"/>
        <v>82100</v>
      </c>
      <c r="P397" s="107"/>
      <c r="Q397" s="78" t="s">
        <v>1391</v>
      </c>
      <c r="R397" s="37"/>
      <c r="S397" s="37">
        <f t="shared" si="153"/>
        <v>82100</v>
      </c>
      <c r="T397" s="37">
        <f t="shared" si="172"/>
        <v>117285.71428571429</v>
      </c>
      <c r="U397" s="41">
        <f t="shared" si="173"/>
        <v>134040.81632653062</v>
      </c>
      <c r="V397" s="42">
        <f t="shared" si="154"/>
        <v>0.12500000000000003</v>
      </c>
      <c r="W397" s="41">
        <f t="shared" si="155"/>
        <v>134100</v>
      </c>
      <c r="X397" s="43">
        <f t="shared" si="174"/>
        <v>0.30000000000000004</v>
      </c>
      <c r="Y397" s="46">
        <v>112175</v>
      </c>
      <c r="Z397" s="47">
        <f>T397-Y397</f>
        <v>5110.7142857142899</v>
      </c>
      <c r="AA397" s="48">
        <f>Z397/Y397</f>
        <v>4.5560189754528996E-2</v>
      </c>
    </row>
    <row r="398" spans="2:27" ht="14.4" customHeight="1">
      <c r="B398" s="4">
        <v>394</v>
      </c>
      <c r="C398" s="39" t="s">
        <v>730</v>
      </c>
      <c r="D398" s="5" t="str">
        <f t="shared" si="168"/>
        <v xml:space="preserve"> 196</v>
      </c>
      <c r="E398" s="6" t="s">
        <v>730</v>
      </c>
      <c r="F398" s="7">
        <f t="shared" si="169"/>
        <v>0</v>
      </c>
      <c r="G398" s="8" t="s">
        <v>299</v>
      </c>
      <c r="H398" s="8" t="s">
        <v>325</v>
      </c>
      <c r="I398" s="8" t="s">
        <v>718</v>
      </c>
      <c r="J398" s="12">
        <f t="shared" si="177"/>
        <v>64200</v>
      </c>
      <c r="K398" s="13">
        <f t="shared" si="175"/>
        <v>0</v>
      </c>
      <c r="L398" s="17" t="s">
        <v>23</v>
      </c>
      <c r="M398" s="18">
        <v>64200</v>
      </c>
      <c r="N398" s="15">
        <f>2000+600+200+250+1000+3600</f>
        <v>7650</v>
      </c>
      <c r="O398" s="40">
        <f t="shared" si="176"/>
        <v>71850</v>
      </c>
      <c r="P398" s="107"/>
      <c r="Q398" s="78" t="s">
        <v>1400</v>
      </c>
      <c r="R398" s="37"/>
      <c r="S398" s="37">
        <f t="shared" ref="S398:S461" si="178">R398+O398</f>
        <v>71850</v>
      </c>
      <c r="T398" s="37">
        <f t="shared" si="172"/>
        <v>102642.85714285714</v>
      </c>
      <c r="U398" s="41">
        <f t="shared" si="173"/>
        <v>117306.1224489796</v>
      </c>
      <c r="V398" s="42">
        <f t="shared" ref="V398:V461" si="179">(U398-T398)/U398</f>
        <v>0.12500000000000006</v>
      </c>
      <c r="W398" s="41">
        <f t="shared" ref="W398:W461" si="180">(ROUNDUP((U398/100),0))*100</f>
        <v>117400</v>
      </c>
      <c r="X398" s="43">
        <f t="shared" si="174"/>
        <v>0.3</v>
      </c>
      <c r="Y398" s="44"/>
      <c r="Z398" s="44"/>
      <c r="AA398" s="45"/>
    </row>
    <row r="399" spans="2:27" ht="14.4" customHeight="1">
      <c r="B399" s="4">
        <v>395</v>
      </c>
      <c r="C399" s="39" t="s">
        <v>731</v>
      </c>
      <c r="D399" s="5" t="str">
        <f t="shared" si="168"/>
        <v xml:space="preserve"> 289</v>
      </c>
      <c r="E399" s="6" t="s">
        <v>731</v>
      </c>
      <c r="F399" s="7">
        <f t="shared" si="169"/>
        <v>0</v>
      </c>
      <c r="G399" s="8" t="s">
        <v>21</v>
      </c>
      <c r="H399" s="8" t="s">
        <v>325</v>
      </c>
      <c r="I399" s="8" t="s">
        <v>732</v>
      </c>
      <c r="J399" s="98">
        <v>57500</v>
      </c>
      <c r="K399" s="98">
        <f t="shared" si="175"/>
        <v>0</v>
      </c>
      <c r="L399" s="115" t="s">
        <v>1438</v>
      </c>
      <c r="M399" s="97">
        <f t="shared" ref="M399" si="181">J399</f>
        <v>57500</v>
      </c>
      <c r="N399" s="98">
        <f>2000+3450+800+200+250</f>
        <v>6700</v>
      </c>
      <c r="O399" s="112">
        <f>N399+M399</f>
        <v>64200</v>
      </c>
      <c r="P399" s="106"/>
      <c r="Q399" s="99" t="s">
        <v>1412</v>
      </c>
      <c r="R399" s="37"/>
      <c r="S399" s="37">
        <f t="shared" si="178"/>
        <v>64200</v>
      </c>
      <c r="T399" s="37">
        <f t="shared" si="172"/>
        <v>91714.285714285725</v>
      </c>
      <c r="U399" s="41">
        <f t="shared" si="173"/>
        <v>104816.32653061226</v>
      </c>
      <c r="V399" s="42">
        <f t="shared" si="179"/>
        <v>0.12500000000000006</v>
      </c>
      <c r="W399" s="41">
        <f t="shared" si="180"/>
        <v>104900</v>
      </c>
      <c r="X399" s="43">
        <f t="shared" si="174"/>
        <v>0.3000000000000001</v>
      </c>
      <c r="Y399" s="46">
        <v>96075</v>
      </c>
      <c r="Z399" s="47">
        <f>T399-Y399</f>
        <v>-4360.7142857142753</v>
      </c>
      <c r="AA399" s="48">
        <f>Z399/Y399</f>
        <v>-4.5388647262183453E-2</v>
      </c>
    </row>
    <row r="400" spans="2:27" ht="14.4" customHeight="1">
      <c r="B400" s="4">
        <v>396</v>
      </c>
      <c r="C400" s="39" t="s">
        <v>733</v>
      </c>
      <c r="D400" s="5" t="str">
        <f t="shared" si="168"/>
        <v xml:space="preserve"> 676</v>
      </c>
      <c r="E400" s="6" t="s">
        <v>733</v>
      </c>
      <c r="F400" s="7">
        <f t="shared" si="169"/>
        <v>0</v>
      </c>
      <c r="G400" s="8" t="s">
        <v>21</v>
      </c>
      <c r="H400" s="8" t="s">
        <v>309</v>
      </c>
      <c r="I400" s="8" t="s">
        <v>718</v>
      </c>
      <c r="J400" s="12">
        <f>M400</f>
        <v>63750</v>
      </c>
      <c r="K400" s="13">
        <f t="shared" si="175"/>
        <v>0</v>
      </c>
      <c r="L400" s="17" t="s">
        <v>23</v>
      </c>
      <c r="M400" s="18">
        <v>63750</v>
      </c>
      <c r="N400" s="15">
        <f>2000+600+200+250+2400+3600</f>
        <v>9050</v>
      </c>
      <c r="O400" s="40">
        <f t="shared" si="176"/>
        <v>72800</v>
      </c>
      <c r="P400" s="107"/>
      <c r="Q400" s="78" t="s">
        <v>1393</v>
      </c>
      <c r="R400" s="37"/>
      <c r="S400" s="37">
        <f t="shared" si="178"/>
        <v>72800</v>
      </c>
      <c r="T400" s="37">
        <f t="shared" si="172"/>
        <v>104000</v>
      </c>
      <c r="U400" s="41">
        <f t="shared" si="173"/>
        <v>118857.14285714286</v>
      </c>
      <c r="V400" s="42">
        <f t="shared" si="179"/>
        <v>0.12499999999999999</v>
      </c>
      <c r="W400" s="41">
        <f t="shared" si="180"/>
        <v>118900</v>
      </c>
      <c r="X400" s="43">
        <f t="shared" si="174"/>
        <v>0.3</v>
      </c>
      <c r="Y400" s="46">
        <v>99488</v>
      </c>
      <c r="Z400" s="47">
        <f>T400-Y400</f>
        <v>4512</v>
      </c>
      <c r="AA400" s="48">
        <f>Z400/Y400</f>
        <v>4.5352203280797684E-2</v>
      </c>
    </row>
    <row r="401" spans="2:27" ht="14.4" customHeight="1">
      <c r="B401" s="4">
        <v>397</v>
      </c>
      <c r="C401" s="5" t="s">
        <v>289</v>
      </c>
      <c r="D401" s="5" t="str">
        <f t="shared" si="168"/>
        <v xml:space="preserve"> 803</v>
      </c>
      <c r="E401" s="6" t="s">
        <v>289</v>
      </c>
      <c r="F401" s="7">
        <f t="shared" si="169"/>
        <v>0</v>
      </c>
      <c r="G401" s="11" t="s">
        <v>299</v>
      </c>
      <c r="H401" s="11" t="s">
        <v>325</v>
      </c>
      <c r="I401" s="11" t="s">
        <v>371</v>
      </c>
      <c r="J401" s="12">
        <f t="shared" si="164"/>
        <v>75000</v>
      </c>
      <c r="K401" s="13">
        <f t="shared" si="175"/>
        <v>0</v>
      </c>
      <c r="L401" s="17" t="s">
        <v>23</v>
      </c>
      <c r="M401" s="18">
        <v>75000</v>
      </c>
      <c r="N401" s="15">
        <f t="shared" si="165"/>
        <v>8100</v>
      </c>
      <c r="O401" s="40">
        <f t="shared" si="176"/>
        <v>83100</v>
      </c>
      <c r="P401" s="106"/>
      <c r="Q401" s="3" t="s">
        <v>467</v>
      </c>
      <c r="R401" s="37">
        <v>2500</v>
      </c>
      <c r="S401" s="37">
        <f t="shared" si="178"/>
        <v>85600</v>
      </c>
      <c r="T401" s="37">
        <f t="shared" si="172"/>
        <v>122285.71428571429</v>
      </c>
      <c r="U401" s="41">
        <f t="shared" si="173"/>
        <v>139755.10204081633</v>
      </c>
      <c r="V401" s="42">
        <f t="shared" si="179"/>
        <v>0.125</v>
      </c>
      <c r="W401" s="41">
        <f t="shared" si="180"/>
        <v>139800</v>
      </c>
      <c r="X401" s="43">
        <f t="shared" si="174"/>
        <v>0.3204439252336449</v>
      </c>
      <c r="Y401" s="44"/>
      <c r="Z401" s="44"/>
      <c r="AA401" s="45"/>
    </row>
    <row r="402" spans="2:27" ht="14.4" customHeight="1">
      <c r="B402" s="4">
        <v>398</v>
      </c>
      <c r="C402" s="39" t="s">
        <v>734</v>
      </c>
      <c r="D402" s="5" t="str">
        <f t="shared" si="168"/>
        <v xml:space="preserve"> 571</v>
      </c>
      <c r="E402" s="6" t="s">
        <v>734</v>
      </c>
      <c r="F402" s="7">
        <f t="shared" si="169"/>
        <v>0</v>
      </c>
      <c r="G402" s="8" t="s">
        <v>299</v>
      </c>
      <c r="H402" s="8" t="s">
        <v>325</v>
      </c>
      <c r="I402" s="8" t="s">
        <v>718</v>
      </c>
      <c r="J402" s="12">
        <f>M402</f>
        <v>77000</v>
      </c>
      <c r="K402" s="13">
        <f t="shared" si="175"/>
        <v>0</v>
      </c>
      <c r="L402" s="17" t="s">
        <v>23</v>
      </c>
      <c r="M402" s="18">
        <v>77000</v>
      </c>
      <c r="N402" s="15">
        <f>2000+600+200+250+1000+3600</f>
        <v>7650</v>
      </c>
      <c r="O402" s="40">
        <f t="shared" si="176"/>
        <v>84650</v>
      </c>
      <c r="P402" s="106"/>
      <c r="Q402" s="78" t="s">
        <v>1400</v>
      </c>
      <c r="R402" s="37"/>
      <c r="S402" s="37">
        <f t="shared" si="178"/>
        <v>84650</v>
      </c>
      <c r="T402" s="37">
        <f t="shared" si="172"/>
        <v>120928.57142857143</v>
      </c>
      <c r="U402" s="41">
        <f t="shared" si="173"/>
        <v>138204.08163265308</v>
      </c>
      <c r="V402" s="42">
        <f t="shared" si="179"/>
        <v>0.12500000000000006</v>
      </c>
      <c r="W402" s="41">
        <f t="shared" si="180"/>
        <v>138300</v>
      </c>
      <c r="X402" s="43">
        <f t="shared" si="174"/>
        <v>0.30000000000000004</v>
      </c>
      <c r="Y402" s="44"/>
      <c r="Z402" s="44"/>
      <c r="AA402" s="45"/>
    </row>
    <row r="403" spans="2:27" ht="14.4" customHeight="1">
      <c r="B403" s="4">
        <v>399</v>
      </c>
      <c r="C403" s="39" t="s">
        <v>735</v>
      </c>
      <c r="D403" s="5" t="str">
        <f t="shared" si="168"/>
        <v xml:space="preserve"> 908</v>
      </c>
      <c r="E403" s="6" t="s">
        <v>735</v>
      </c>
      <c r="F403" s="7">
        <f t="shared" si="169"/>
        <v>0</v>
      </c>
      <c r="G403" s="8" t="s">
        <v>299</v>
      </c>
      <c r="H403" s="8" t="s">
        <v>325</v>
      </c>
      <c r="I403" s="8" t="s">
        <v>718</v>
      </c>
      <c r="J403" s="12">
        <f>M403</f>
        <v>67750</v>
      </c>
      <c r="K403" s="13">
        <f t="shared" si="175"/>
        <v>0</v>
      </c>
      <c r="L403" s="17" t="s">
        <v>23</v>
      </c>
      <c r="M403" s="18">
        <f>64000+3000+750</f>
        <v>67750</v>
      </c>
      <c r="N403" s="15">
        <f>2000+600+200+250+1000+3600</f>
        <v>7650</v>
      </c>
      <c r="O403" s="40">
        <f t="shared" si="176"/>
        <v>75400</v>
      </c>
      <c r="P403" s="106"/>
      <c r="Q403" s="78" t="s">
        <v>1400</v>
      </c>
      <c r="R403" s="37"/>
      <c r="S403" s="37">
        <f t="shared" si="178"/>
        <v>75400</v>
      </c>
      <c r="T403" s="37">
        <f t="shared" si="172"/>
        <v>107714.28571428572</v>
      </c>
      <c r="U403" s="41">
        <f t="shared" si="173"/>
        <v>123102.04081632654</v>
      </c>
      <c r="V403" s="42">
        <f t="shared" si="179"/>
        <v>0.12499999999999997</v>
      </c>
      <c r="W403" s="41">
        <f t="shared" si="180"/>
        <v>123200</v>
      </c>
      <c r="X403" s="43">
        <f t="shared" si="174"/>
        <v>0.30000000000000004</v>
      </c>
      <c r="Y403" s="44"/>
      <c r="Z403" s="44"/>
      <c r="AA403" s="45"/>
    </row>
    <row r="404" spans="2:27" ht="14.4" customHeight="1">
      <c r="B404" s="4">
        <v>400</v>
      </c>
      <c r="C404" s="39" t="s">
        <v>736</v>
      </c>
      <c r="D404" s="5" t="str">
        <f t="shared" si="168"/>
        <v xml:space="preserve"> 412</v>
      </c>
      <c r="E404" s="6" t="s">
        <v>736</v>
      </c>
      <c r="F404" s="7">
        <f t="shared" si="169"/>
        <v>0</v>
      </c>
      <c r="G404" s="8" t="s">
        <v>21</v>
      </c>
      <c r="H404" s="8" t="s">
        <v>325</v>
      </c>
      <c r="I404" s="8" t="s">
        <v>718</v>
      </c>
      <c r="J404" s="12">
        <f>M404</f>
        <v>71750</v>
      </c>
      <c r="K404" s="13">
        <f t="shared" si="175"/>
        <v>0</v>
      </c>
      <c r="L404" s="17" t="s">
        <v>23</v>
      </c>
      <c r="M404" s="18">
        <v>71750</v>
      </c>
      <c r="N404" s="15">
        <f>2000+600+200+250+3600</f>
        <v>6650</v>
      </c>
      <c r="O404" s="40">
        <f t="shared" si="176"/>
        <v>78400</v>
      </c>
      <c r="P404" s="106"/>
      <c r="Q404" s="78" t="s">
        <v>1371</v>
      </c>
      <c r="R404" s="37"/>
      <c r="S404" s="37">
        <f t="shared" si="178"/>
        <v>78400</v>
      </c>
      <c r="T404" s="37">
        <f t="shared" si="172"/>
        <v>112000</v>
      </c>
      <c r="U404" s="41">
        <f t="shared" si="173"/>
        <v>128000</v>
      </c>
      <c r="V404" s="42">
        <f t="shared" si="179"/>
        <v>0.125</v>
      </c>
      <c r="W404" s="41">
        <f t="shared" si="180"/>
        <v>128000</v>
      </c>
      <c r="X404" s="43">
        <f t="shared" si="174"/>
        <v>0.3</v>
      </c>
      <c r="Y404" s="46">
        <v>107450</v>
      </c>
      <c r="Z404" s="47">
        <f>T404-Y404</f>
        <v>4550</v>
      </c>
      <c r="AA404" s="48">
        <f>Z404/Y404</f>
        <v>4.2345276872964167E-2</v>
      </c>
    </row>
    <row r="405" spans="2:27" ht="14.4" customHeight="1">
      <c r="B405" s="4">
        <v>401</v>
      </c>
      <c r="C405" s="39" t="s">
        <v>737</v>
      </c>
      <c r="D405" s="5" t="str">
        <f t="shared" si="168"/>
        <v xml:space="preserve"> 385</v>
      </c>
      <c r="E405" s="6" t="s">
        <v>737</v>
      </c>
      <c r="F405" s="7">
        <f t="shared" si="169"/>
        <v>0</v>
      </c>
      <c r="G405" s="8" t="s">
        <v>21</v>
      </c>
      <c r="H405" s="8" t="s">
        <v>325</v>
      </c>
      <c r="I405" s="8" t="s">
        <v>718</v>
      </c>
      <c r="J405" s="12">
        <f>M405</f>
        <v>71750</v>
      </c>
      <c r="K405" s="13">
        <f t="shared" si="175"/>
        <v>0</v>
      </c>
      <c r="L405" s="17" t="s">
        <v>23</v>
      </c>
      <c r="M405" s="18">
        <v>71750</v>
      </c>
      <c r="N405" s="15">
        <f>2000+600+200+250+700+3600</f>
        <v>7350</v>
      </c>
      <c r="O405" s="40">
        <f t="shared" si="176"/>
        <v>79100</v>
      </c>
      <c r="P405" s="106"/>
      <c r="Q405" s="78" t="s">
        <v>1389</v>
      </c>
      <c r="R405" s="37"/>
      <c r="S405" s="37">
        <f t="shared" si="178"/>
        <v>79100</v>
      </c>
      <c r="T405" s="37">
        <f t="shared" si="172"/>
        <v>113000</v>
      </c>
      <c r="U405" s="41">
        <f t="shared" si="173"/>
        <v>129142.85714285714</v>
      </c>
      <c r="V405" s="42">
        <f t="shared" si="179"/>
        <v>0.12500000000000003</v>
      </c>
      <c r="W405" s="41">
        <f t="shared" si="180"/>
        <v>129200</v>
      </c>
      <c r="X405" s="43">
        <f t="shared" si="174"/>
        <v>0.3</v>
      </c>
      <c r="Y405" s="46">
        <v>108500</v>
      </c>
      <c r="Z405" s="47">
        <f>T405-Y405</f>
        <v>4500</v>
      </c>
      <c r="AA405" s="48">
        <f>Z405/Y405</f>
        <v>4.1474654377880185E-2</v>
      </c>
    </row>
    <row r="406" spans="2:27" ht="14.4" customHeight="1">
      <c r="B406" s="4">
        <v>402</v>
      </c>
      <c r="C406" s="39" t="s">
        <v>738</v>
      </c>
      <c r="D406" s="5" t="str">
        <f t="shared" si="168"/>
        <v xml:space="preserve"> 527</v>
      </c>
      <c r="E406" s="6" t="s">
        <v>738</v>
      </c>
      <c r="F406" s="7">
        <f t="shared" si="169"/>
        <v>0</v>
      </c>
      <c r="G406" s="8" t="s">
        <v>21</v>
      </c>
      <c r="H406" s="8" t="s">
        <v>325</v>
      </c>
      <c r="I406" s="8" t="s">
        <v>614</v>
      </c>
      <c r="J406" s="98">
        <v>65000</v>
      </c>
      <c r="K406" s="98">
        <f t="shared" si="175"/>
        <v>0</v>
      </c>
      <c r="L406" s="115" t="s">
        <v>1438</v>
      </c>
      <c r="M406" s="97">
        <f t="shared" ref="M406" si="182">J406</f>
        <v>65000</v>
      </c>
      <c r="N406" s="98">
        <f>2000+3450+800+200+250+400</f>
        <v>7100</v>
      </c>
      <c r="O406" s="112">
        <f>M406+N406</f>
        <v>72100</v>
      </c>
      <c r="P406" s="106" t="s">
        <v>1442</v>
      </c>
      <c r="Q406" s="99" t="s">
        <v>1429</v>
      </c>
      <c r="R406" s="37"/>
      <c r="S406" s="37">
        <f t="shared" si="178"/>
        <v>72100</v>
      </c>
      <c r="T406" s="37">
        <f t="shared" si="172"/>
        <v>103000</v>
      </c>
      <c r="U406" s="41">
        <f t="shared" si="173"/>
        <v>117714.28571428571</v>
      </c>
      <c r="V406" s="42">
        <f t="shared" si="179"/>
        <v>0.12499999999999997</v>
      </c>
      <c r="W406" s="41">
        <f t="shared" si="180"/>
        <v>117800</v>
      </c>
      <c r="X406" s="43">
        <f t="shared" si="174"/>
        <v>0.3</v>
      </c>
      <c r="Y406" s="46">
        <v>110163</v>
      </c>
      <c r="Z406" s="47">
        <f>T406-Y406</f>
        <v>-7163</v>
      </c>
      <c r="AA406" s="48">
        <f>Z406/Y406</f>
        <v>-6.5021831286366572E-2</v>
      </c>
    </row>
    <row r="407" spans="2:27" ht="14.4" customHeight="1">
      <c r="B407" s="4">
        <v>403</v>
      </c>
      <c r="C407" s="5" t="s">
        <v>281</v>
      </c>
      <c r="D407" s="5" t="str">
        <f t="shared" si="168"/>
        <v xml:space="preserve"> 641</v>
      </c>
      <c r="E407" s="6" t="s">
        <v>281</v>
      </c>
      <c r="F407" s="7">
        <f t="shared" si="169"/>
        <v>0</v>
      </c>
      <c r="G407" s="11" t="s">
        <v>299</v>
      </c>
      <c r="H407" s="11" t="s">
        <v>325</v>
      </c>
      <c r="I407" s="11" t="s">
        <v>369</v>
      </c>
      <c r="J407" s="12">
        <f t="shared" si="164"/>
        <v>70000</v>
      </c>
      <c r="K407" s="13">
        <f t="shared" si="175"/>
        <v>0</v>
      </c>
      <c r="L407" s="17" t="s">
        <v>23</v>
      </c>
      <c r="M407" s="18">
        <v>70000</v>
      </c>
      <c r="N407" s="15">
        <f>2000+200+250+600+1000+3600+450</f>
        <v>8100</v>
      </c>
      <c r="O407" s="40">
        <f t="shared" si="176"/>
        <v>78100</v>
      </c>
      <c r="P407" s="106"/>
      <c r="Q407" s="3" t="s">
        <v>464</v>
      </c>
      <c r="R407" s="37"/>
      <c r="S407" s="37">
        <f t="shared" si="178"/>
        <v>78100</v>
      </c>
      <c r="T407" s="37">
        <f t="shared" si="172"/>
        <v>111571.42857142858</v>
      </c>
      <c r="U407" s="41">
        <f t="shared" si="173"/>
        <v>127510.20408163266</v>
      </c>
      <c r="V407" s="42">
        <f t="shared" si="179"/>
        <v>0.125</v>
      </c>
      <c r="W407" s="41">
        <f t="shared" si="180"/>
        <v>127600</v>
      </c>
      <c r="X407" s="43">
        <f t="shared" si="174"/>
        <v>0.30000000000000004</v>
      </c>
      <c r="Y407" s="44"/>
      <c r="Z407" s="44"/>
      <c r="AA407" s="45"/>
    </row>
    <row r="408" spans="2:27" ht="14.4" customHeight="1">
      <c r="B408" s="4">
        <v>404</v>
      </c>
      <c r="C408" s="39" t="s">
        <v>739</v>
      </c>
      <c r="D408" s="5" t="str">
        <f t="shared" si="168"/>
        <v xml:space="preserve"> 980</v>
      </c>
      <c r="E408" s="6" t="s">
        <v>739</v>
      </c>
      <c r="F408" s="7">
        <f t="shared" si="169"/>
        <v>0</v>
      </c>
      <c r="G408" s="8" t="s">
        <v>21</v>
      </c>
      <c r="H408" s="8" t="s">
        <v>325</v>
      </c>
      <c r="I408" s="8" t="s">
        <v>718</v>
      </c>
      <c r="J408" s="12">
        <f>M408</f>
        <v>62750</v>
      </c>
      <c r="K408" s="13">
        <f t="shared" si="175"/>
        <v>0</v>
      </c>
      <c r="L408" s="17" t="s">
        <v>23</v>
      </c>
      <c r="M408" s="18">
        <v>62750</v>
      </c>
      <c r="N408" s="15">
        <f>2000+600+200+250+1000+2400+3600</f>
        <v>10050</v>
      </c>
      <c r="O408" s="40">
        <f t="shared" si="176"/>
        <v>72800</v>
      </c>
      <c r="P408" s="106"/>
      <c r="Q408" s="78" t="s">
        <v>1394</v>
      </c>
      <c r="R408" s="37"/>
      <c r="S408" s="37">
        <f t="shared" si="178"/>
        <v>72800</v>
      </c>
      <c r="T408" s="37">
        <f t="shared" si="172"/>
        <v>104000</v>
      </c>
      <c r="U408" s="41">
        <f t="shared" si="173"/>
        <v>118857.14285714286</v>
      </c>
      <c r="V408" s="42">
        <f t="shared" si="179"/>
        <v>0.12499999999999999</v>
      </c>
      <c r="W408" s="41">
        <f t="shared" si="180"/>
        <v>118900</v>
      </c>
      <c r="X408" s="43">
        <f t="shared" si="174"/>
        <v>0.3</v>
      </c>
      <c r="Y408" s="46">
        <v>99225</v>
      </c>
      <c r="Z408" s="47">
        <f>T408-Y408</f>
        <v>4775</v>
      </c>
      <c r="AA408" s="48">
        <f>Z408/Y408</f>
        <v>4.8122952884857649E-2</v>
      </c>
    </row>
    <row r="409" spans="2:27" ht="14.4" customHeight="1">
      <c r="B409" s="4">
        <v>405</v>
      </c>
      <c r="C409" s="5" t="s">
        <v>282</v>
      </c>
      <c r="D409" s="5" t="str">
        <f t="shared" si="168"/>
        <v xml:space="preserve"> 680</v>
      </c>
      <c r="E409" s="6" t="s">
        <v>282</v>
      </c>
      <c r="F409" s="7">
        <f t="shared" si="169"/>
        <v>0</v>
      </c>
      <c r="G409" s="11" t="s">
        <v>299</v>
      </c>
      <c r="H409" s="11" t="s">
        <v>325</v>
      </c>
      <c r="I409" s="11" t="s">
        <v>369</v>
      </c>
      <c r="J409" s="12">
        <f t="shared" si="164"/>
        <v>67500</v>
      </c>
      <c r="K409" s="13">
        <f t="shared" si="175"/>
        <v>0</v>
      </c>
      <c r="L409" s="17" t="s">
        <v>23</v>
      </c>
      <c r="M409" s="18">
        <v>67500</v>
      </c>
      <c r="N409" s="15">
        <f>2000+200+250+600+1000+3600+450</f>
        <v>8100</v>
      </c>
      <c r="O409" s="40">
        <f t="shared" si="176"/>
        <v>75600</v>
      </c>
      <c r="P409" s="106"/>
      <c r="Q409" s="3" t="s">
        <v>464</v>
      </c>
      <c r="R409" s="37"/>
      <c r="S409" s="37">
        <f t="shared" si="178"/>
        <v>75600</v>
      </c>
      <c r="T409" s="37">
        <f t="shared" si="172"/>
        <v>108000</v>
      </c>
      <c r="U409" s="41">
        <f t="shared" si="173"/>
        <v>123428.57142857143</v>
      </c>
      <c r="V409" s="42">
        <f t="shared" si="179"/>
        <v>0.12500000000000006</v>
      </c>
      <c r="W409" s="41">
        <f t="shared" si="180"/>
        <v>123500</v>
      </c>
      <c r="X409" s="43">
        <f t="shared" si="174"/>
        <v>0.3</v>
      </c>
      <c r="Y409" s="44"/>
      <c r="Z409" s="44"/>
      <c r="AA409" s="44"/>
    </row>
    <row r="410" spans="2:27" ht="14.4" customHeight="1">
      <c r="B410" s="4">
        <v>406</v>
      </c>
      <c r="C410" s="39" t="s">
        <v>740</v>
      </c>
      <c r="D410" s="5" t="str">
        <f t="shared" si="168"/>
        <v xml:space="preserve"> 703</v>
      </c>
      <c r="E410" s="6" t="s">
        <v>740</v>
      </c>
      <c r="F410" s="7">
        <f t="shared" si="169"/>
        <v>0</v>
      </c>
      <c r="G410" s="8" t="s">
        <v>21</v>
      </c>
      <c r="H410" s="8" t="s">
        <v>325</v>
      </c>
      <c r="I410" s="8" t="s">
        <v>732</v>
      </c>
      <c r="J410" s="98">
        <v>58500</v>
      </c>
      <c r="K410" s="98">
        <f t="shared" si="175"/>
        <v>0</v>
      </c>
      <c r="L410" s="115" t="s">
        <v>1438</v>
      </c>
      <c r="M410" s="97">
        <f t="shared" ref="M410" si="183">J410</f>
        <v>58500</v>
      </c>
      <c r="N410" s="98">
        <f>2000+3450+800+200+250+700</f>
        <v>7400</v>
      </c>
      <c r="O410" s="112">
        <f t="shared" si="176"/>
        <v>65900</v>
      </c>
      <c r="P410" s="106"/>
      <c r="Q410" s="99" t="s">
        <v>1420</v>
      </c>
      <c r="R410" s="37"/>
      <c r="S410" s="37">
        <f t="shared" si="178"/>
        <v>65900</v>
      </c>
      <c r="T410" s="37">
        <f t="shared" si="172"/>
        <v>94142.857142857145</v>
      </c>
      <c r="U410" s="41">
        <f t="shared" si="173"/>
        <v>107591.83673469388</v>
      </c>
      <c r="V410" s="42">
        <f t="shared" si="179"/>
        <v>0.12499999999999997</v>
      </c>
      <c r="W410" s="41">
        <f t="shared" si="180"/>
        <v>107600</v>
      </c>
      <c r="X410" s="43">
        <f t="shared" si="174"/>
        <v>0.3</v>
      </c>
      <c r="Y410" s="46">
        <v>99925</v>
      </c>
      <c r="Z410" s="47">
        <f>T410-Y410</f>
        <v>-5782.1428571428551</v>
      </c>
      <c r="AA410" s="48">
        <f>Z410/Y410</f>
        <v>-5.786482719182242E-2</v>
      </c>
    </row>
    <row r="411" spans="2:27" ht="14.4" customHeight="1">
      <c r="B411" s="4">
        <v>407</v>
      </c>
      <c r="C411" s="39" t="s">
        <v>741</v>
      </c>
      <c r="D411" s="5" t="str">
        <f t="shared" si="168"/>
        <v xml:space="preserve"> 171</v>
      </c>
      <c r="E411" s="6" t="s">
        <v>741</v>
      </c>
      <c r="F411" s="7">
        <f t="shared" si="169"/>
        <v>0</v>
      </c>
      <c r="G411" s="8" t="s">
        <v>21</v>
      </c>
      <c r="H411" s="8" t="s">
        <v>325</v>
      </c>
      <c r="I411" s="8" t="s">
        <v>742</v>
      </c>
      <c r="J411" s="12">
        <f>M411</f>
        <v>74000</v>
      </c>
      <c r="K411" s="13">
        <f t="shared" si="175"/>
        <v>0</v>
      </c>
      <c r="L411" s="17" t="s">
        <v>23</v>
      </c>
      <c r="M411" s="18">
        <v>74000</v>
      </c>
      <c r="N411" s="15">
        <f>2000+600+200+250+700+3600</f>
        <v>7350</v>
      </c>
      <c r="O411" s="40">
        <f t="shared" si="176"/>
        <v>81350</v>
      </c>
      <c r="P411" s="106"/>
      <c r="Q411" s="78" t="s">
        <v>1372</v>
      </c>
      <c r="R411" s="37"/>
      <c r="S411" s="37">
        <f t="shared" si="178"/>
        <v>81350</v>
      </c>
      <c r="T411" s="37">
        <f t="shared" si="172"/>
        <v>116214.28571428572</v>
      </c>
      <c r="U411" s="41">
        <f t="shared" si="173"/>
        <v>132816.32653061225</v>
      </c>
      <c r="V411" s="42">
        <f t="shared" si="179"/>
        <v>0.12499999999999994</v>
      </c>
      <c r="W411" s="41">
        <f t="shared" si="180"/>
        <v>132900</v>
      </c>
      <c r="X411" s="43">
        <f t="shared" si="174"/>
        <v>0.30000000000000004</v>
      </c>
      <c r="Y411" s="46">
        <v>117788</v>
      </c>
      <c r="Z411" s="47">
        <f>T411-Y411</f>
        <v>-1573.7142857142753</v>
      </c>
      <c r="AA411" s="48">
        <f>Z411/Y411</f>
        <v>-1.3360565471136919E-2</v>
      </c>
    </row>
    <row r="412" spans="2:27" ht="14.4" customHeight="1">
      <c r="B412" s="4">
        <v>408</v>
      </c>
      <c r="C412" s="39" t="s">
        <v>743</v>
      </c>
      <c r="D412" s="5" t="str">
        <f t="shared" si="168"/>
        <v xml:space="preserve"> 744</v>
      </c>
      <c r="E412" s="6" t="s">
        <v>743</v>
      </c>
      <c r="F412" s="7">
        <f t="shared" si="169"/>
        <v>0</v>
      </c>
      <c r="G412" s="8" t="s">
        <v>21</v>
      </c>
      <c r="H412" s="8" t="s">
        <v>325</v>
      </c>
      <c r="I412" s="8" t="s">
        <v>718</v>
      </c>
      <c r="J412" s="12">
        <f>M412</f>
        <v>80250</v>
      </c>
      <c r="K412" s="13">
        <f t="shared" si="175"/>
        <v>0</v>
      </c>
      <c r="L412" s="17" t="s">
        <v>23</v>
      </c>
      <c r="M412" s="18">
        <v>80250</v>
      </c>
      <c r="N412" s="15">
        <f>2000+600+200+250+3600</f>
        <v>6650</v>
      </c>
      <c r="O412" s="40">
        <f t="shared" si="176"/>
        <v>86900</v>
      </c>
      <c r="P412" s="106"/>
      <c r="Q412" s="78" t="s">
        <v>1392</v>
      </c>
      <c r="R412" s="37"/>
      <c r="S412" s="37">
        <f t="shared" si="178"/>
        <v>86900</v>
      </c>
      <c r="T412" s="37">
        <f t="shared" si="172"/>
        <v>124142.85714285714</v>
      </c>
      <c r="U412" s="41">
        <f t="shared" si="173"/>
        <v>141877.55102040817</v>
      </c>
      <c r="V412" s="42">
        <f t="shared" si="179"/>
        <v>0.125</v>
      </c>
      <c r="W412" s="41">
        <f t="shared" si="180"/>
        <v>141900</v>
      </c>
      <c r="X412" s="43">
        <f t="shared" si="174"/>
        <v>0.3</v>
      </c>
      <c r="Y412" s="46">
        <v>116725</v>
      </c>
      <c r="Z412" s="47">
        <f>T412-Y412</f>
        <v>7417.8571428571449</v>
      </c>
      <c r="AA412" s="48">
        <f>Z412/Y412</f>
        <v>6.3549857724199146E-2</v>
      </c>
    </row>
    <row r="413" spans="2:27" ht="14.4" customHeight="1">
      <c r="B413" s="4">
        <v>409</v>
      </c>
      <c r="C413" s="39" t="s">
        <v>744</v>
      </c>
      <c r="D413" s="5" t="str">
        <f t="shared" si="168"/>
        <v xml:space="preserve"> 677</v>
      </c>
      <c r="E413" s="6" t="s">
        <v>744</v>
      </c>
      <c r="F413" s="7">
        <f t="shared" si="169"/>
        <v>0</v>
      </c>
      <c r="G413" s="8" t="s">
        <v>299</v>
      </c>
      <c r="H413" s="8" t="s">
        <v>325</v>
      </c>
      <c r="I413" s="8" t="s">
        <v>745</v>
      </c>
      <c r="J413" s="12"/>
      <c r="K413" s="13">
        <f t="shared" si="175"/>
        <v>0</v>
      </c>
      <c r="L413" s="7"/>
      <c r="M413" s="14">
        <f t="shared" si="163"/>
        <v>0</v>
      </c>
      <c r="N413" s="15"/>
      <c r="O413" s="40">
        <f t="shared" si="176"/>
        <v>0</v>
      </c>
      <c r="P413" s="106"/>
      <c r="Q413" s="3"/>
      <c r="R413" s="37"/>
      <c r="S413" s="37">
        <f t="shared" si="178"/>
        <v>0</v>
      </c>
      <c r="T413" s="37">
        <f t="shared" si="172"/>
        <v>0</v>
      </c>
      <c r="U413" s="41">
        <f t="shared" si="173"/>
        <v>0</v>
      </c>
      <c r="V413" s="42" t="e">
        <f t="shared" si="179"/>
        <v>#DIV/0!</v>
      </c>
      <c r="W413" s="41">
        <f t="shared" si="180"/>
        <v>0</v>
      </c>
      <c r="X413" s="43" t="e">
        <f t="shared" si="174"/>
        <v>#DIV/0!</v>
      </c>
      <c r="Y413" s="44"/>
      <c r="Z413" s="44"/>
      <c r="AA413" s="44"/>
    </row>
    <row r="414" spans="2:27" ht="14.4" customHeight="1">
      <c r="B414" s="4">
        <v>410</v>
      </c>
      <c r="C414" s="5" t="s">
        <v>1355</v>
      </c>
      <c r="D414" s="5" t="str">
        <f t="shared" si="168"/>
        <v xml:space="preserve"> 774</v>
      </c>
      <c r="E414" s="6" t="s">
        <v>1355</v>
      </c>
      <c r="F414" s="7">
        <f t="shared" si="169"/>
        <v>0</v>
      </c>
      <c r="G414" s="11" t="s">
        <v>299</v>
      </c>
      <c r="H414" s="11" t="s">
        <v>325</v>
      </c>
      <c r="I414" s="11" t="s">
        <v>371</v>
      </c>
      <c r="J414" s="12">
        <f t="shared" si="164"/>
        <v>69000</v>
      </c>
      <c r="K414" s="13">
        <f t="shared" si="175"/>
        <v>0</v>
      </c>
      <c r="L414" s="17" t="s">
        <v>23</v>
      </c>
      <c r="M414" s="18">
        <v>69000</v>
      </c>
      <c r="N414" s="15">
        <f>2000+200+600+250+1000+3600+450</f>
        <v>8100</v>
      </c>
      <c r="O414" s="40">
        <f t="shared" si="176"/>
        <v>77100</v>
      </c>
      <c r="P414" s="106"/>
      <c r="Q414" s="3" t="s">
        <v>467</v>
      </c>
      <c r="R414" s="37">
        <v>2500</v>
      </c>
      <c r="S414" s="37">
        <f t="shared" si="178"/>
        <v>79600</v>
      </c>
      <c r="T414" s="37">
        <f t="shared" si="172"/>
        <v>113714.28571428572</v>
      </c>
      <c r="U414" s="41">
        <f t="shared" si="173"/>
        <v>129959.18367346939</v>
      </c>
      <c r="V414" s="42">
        <f t="shared" si="179"/>
        <v>0.12499999999999996</v>
      </c>
      <c r="W414" s="41">
        <f t="shared" si="180"/>
        <v>130000</v>
      </c>
      <c r="X414" s="43">
        <f t="shared" si="174"/>
        <v>0.32198492462311562</v>
      </c>
      <c r="Y414" s="44"/>
      <c r="Z414" s="44"/>
      <c r="AA414" s="45"/>
    </row>
    <row r="415" spans="2:27" ht="14.4" customHeight="1">
      <c r="B415" s="4">
        <v>411</v>
      </c>
      <c r="C415" s="39" t="s">
        <v>746</v>
      </c>
      <c r="D415" s="5" t="str">
        <f t="shared" si="168"/>
        <v xml:space="preserve"> 971</v>
      </c>
      <c r="E415" s="6" t="s">
        <v>746</v>
      </c>
      <c r="F415" s="7">
        <f t="shared" si="169"/>
        <v>0</v>
      </c>
      <c r="G415" s="8" t="s">
        <v>299</v>
      </c>
      <c r="H415" s="8" t="s">
        <v>325</v>
      </c>
      <c r="I415" s="8" t="s">
        <v>718</v>
      </c>
      <c r="J415" s="12">
        <f>M415</f>
        <v>67750</v>
      </c>
      <c r="K415" s="13">
        <f t="shared" si="175"/>
        <v>0</v>
      </c>
      <c r="L415" s="17" t="s">
        <v>23</v>
      </c>
      <c r="M415" s="18">
        <v>67750</v>
      </c>
      <c r="N415" s="15">
        <f>2000+600+200+250+1000+3600</f>
        <v>7650</v>
      </c>
      <c r="O415" s="40">
        <f t="shared" si="176"/>
        <v>75400</v>
      </c>
      <c r="P415" s="106"/>
      <c r="Q415" s="78" t="s">
        <v>1400</v>
      </c>
      <c r="R415" s="37"/>
      <c r="S415" s="37">
        <f t="shared" si="178"/>
        <v>75400</v>
      </c>
      <c r="T415" s="37">
        <f t="shared" si="172"/>
        <v>107714.28571428572</v>
      </c>
      <c r="U415" s="41">
        <f t="shared" si="173"/>
        <v>123102.04081632654</v>
      </c>
      <c r="V415" s="42">
        <f t="shared" si="179"/>
        <v>0.12499999999999997</v>
      </c>
      <c r="W415" s="41">
        <f t="shared" si="180"/>
        <v>123200</v>
      </c>
      <c r="X415" s="43">
        <f t="shared" si="174"/>
        <v>0.30000000000000004</v>
      </c>
      <c r="Y415" s="44"/>
      <c r="Z415" s="44"/>
      <c r="AA415" s="45"/>
    </row>
    <row r="416" spans="2:27" ht="14.4" customHeight="1">
      <c r="B416" s="4">
        <v>412</v>
      </c>
      <c r="C416" s="5" t="s">
        <v>292</v>
      </c>
      <c r="D416" s="5" t="str">
        <f t="shared" si="168"/>
        <v xml:space="preserve"> 940</v>
      </c>
      <c r="E416" s="6" t="s">
        <v>292</v>
      </c>
      <c r="F416" s="7">
        <f t="shared" si="169"/>
        <v>0</v>
      </c>
      <c r="G416" s="11" t="s">
        <v>299</v>
      </c>
      <c r="H416" s="11" t="s">
        <v>325</v>
      </c>
      <c r="I416" s="11" t="s">
        <v>371</v>
      </c>
      <c r="J416" s="12">
        <f t="shared" si="164"/>
        <v>65000</v>
      </c>
      <c r="K416" s="13">
        <f t="shared" si="175"/>
        <v>0</v>
      </c>
      <c r="L416" s="17" t="s">
        <v>23</v>
      </c>
      <c r="M416" s="18">
        <v>65000</v>
      </c>
      <c r="N416" s="15">
        <f>2000+200+600+250+1000+3600+450</f>
        <v>8100</v>
      </c>
      <c r="O416" s="40">
        <f t="shared" si="176"/>
        <v>73100</v>
      </c>
      <c r="P416" s="106"/>
      <c r="Q416" s="3" t="s">
        <v>467</v>
      </c>
      <c r="R416" s="37">
        <v>2500</v>
      </c>
      <c r="S416" s="37">
        <f t="shared" si="178"/>
        <v>75600</v>
      </c>
      <c r="T416" s="37">
        <f t="shared" si="172"/>
        <v>108000</v>
      </c>
      <c r="U416" s="41">
        <f t="shared" si="173"/>
        <v>123428.57142857143</v>
      </c>
      <c r="V416" s="42">
        <f t="shared" si="179"/>
        <v>0.12500000000000006</v>
      </c>
      <c r="W416" s="41">
        <f t="shared" si="180"/>
        <v>123500</v>
      </c>
      <c r="X416" s="43">
        <f t="shared" si="174"/>
        <v>0.32314814814814813</v>
      </c>
      <c r="Y416" s="44"/>
      <c r="Z416" s="44"/>
      <c r="AA416" s="44"/>
    </row>
    <row r="417" spans="2:27" ht="14.4" customHeight="1">
      <c r="B417" s="4">
        <v>413</v>
      </c>
      <c r="C417" s="39" t="s">
        <v>747</v>
      </c>
      <c r="D417" s="5" t="str">
        <f t="shared" si="168"/>
        <v xml:space="preserve"> 607</v>
      </c>
      <c r="E417" s="6" t="s">
        <v>747</v>
      </c>
      <c r="F417" s="7">
        <f t="shared" si="169"/>
        <v>0</v>
      </c>
      <c r="G417" s="8" t="s">
        <v>299</v>
      </c>
      <c r="H417" s="8" t="s">
        <v>325</v>
      </c>
      <c r="I417" s="8" t="s">
        <v>718</v>
      </c>
      <c r="J417" s="12">
        <f>M417</f>
        <v>68250</v>
      </c>
      <c r="K417" s="13">
        <f t="shared" si="175"/>
        <v>0</v>
      </c>
      <c r="L417" s="17" t="s">
        <v>23</v>
      </c>
      <c r="M417" s="18">
        <v>68250</v>
      </c>
      <c r="N417" s="15">
        <f>2000+600+200+250+1000+3600</f>
        <v>7650</v>
      </c>
      <c r="O417" s="40">
        <f t="shared" si="176"/>
        <v>75900</v>
      </c>
      <c r="P417" s="106"/>
      <c r="Q417" s="78" t="s">
        <v>1400</v>
      </c>
      <c r="R417" s="37"/>
      <c r="S417" s="37">
        <f t="shared" si="178"/>
        <v>75900</v>
      </c>
      <c r="T417" s="37">
        <f t="shared" si="172"/>
        <v>108428.57142857143</v>
      </c>
      <c r="U417" s="41">
        <f t="shared" si="173"/>
        <v>123918.36734693879</v>
      </c>
      <c r="V417" s="42">
        <f t="shared" si="179"/>
        <v>0.12500000000000003</v>
      </c>
      <c r="W417" s="41">
        <f t="shared" si="180"/>
        <v>124000</v>
      </c>
      <c r="X417" s="43">
        <f t="shared" si="174"/>
        <v>0.30000000000000004</v>
      </c>
      <c r="Y417" s="44"/>
      <c r="Z417" s="44"/>
      <c r="AA417" s="44"/>
    </row>
    <row r="418" spans="2:27" ht="14.4" customHeight="1">
      <c r="B418" s="4">
        <v>414</v>
      </c>
      <c r="C418" s="5" t="s">
        <v>295</v>
      </c>
      <c r="D418" s="5" t="str">
        <f t="shared" si="168"/>
        <v xml:space="preserve"> 479</v>
      </c>
      <c r="E418" s="6" t="s">
        <v>295</v>
      </c>
      <c r="F418" s="7">
        <f t="shared" si="169"/>
        <v>0</v>
      </c>
      <c r="G418" s="11" t="s">
        <v>299</v>
      </c>
      <c r="H418" s="11" t="s">
        <v>325</v>
      </c>
      <c r="I418" s="11" t="s">
        <v>371</v>
      </c>
      <c r="J418" s="12">
        <f t="shared" si="164"/>
        <v>69000</v>
      </c>
      <c r="K418" s="13">
        <f t="shared" si="175"/>
        <v>0</v>
      </c>
      <c r="L418" s="17" t="s">
        <v>23</v>
      </c>
      <c r="M418" s="18">
        <v>69000</v>
      </c>
      <c r="N418" s="15">
        <f>2000+200+600+250+1000+3600+450</f>
        <v>8100</v>
      </c>
      <c r="O418" s="40">
        <f t="shared" si="176"/>
        <v>77100</v>
      </c>
      <c r="P418" s="106"/>
      <c r="Q418" s="3" t="s">
        <v>467</v>
      </c>
      <c r="R418" s="37">
        <v>2500</v>
      </c>
      <c r="S418" s="37">
        <f t="shared" si="178"/>
        <v>79600</v>
      </c>
      <c r="T418" s="37">
        <f t="shared" si="172"/>
        <v>113714.28571428572</v>
      </c>
      <c r="U418" s="41">
        <f t="shared" si="173"/>
        <v>129959.18367346939</v>
      </c>
      <c r="V418" s="42">
        <f t="shared" si="179"/>
        <v>0.12499999999999996</v>
      </c>
      <c r="W418" s="41">
        <f t="shared" si="180"/>
        <v>130000</v>
      </c>
      <c r="X418" s="43">
        <f t="shared" si="174"/>
        <v>0.32198492462311562</v>
      </c>
      <c r="Y418" s="44"/>
      <c r="Z418" s="44"/>
      <c r="AA418" s="45"/>
    </row>
    <row r="419" spans="2:27" ht="14.4" customHeight="1">
      <c r="B419" s="4">
        <v>415</v>
      </c>
      <c r="C419" s="5" t="s">
        <v>294</v>
      </c>
      <c r="D419" s="5" t="str">
        <f t="shared" si="168"/>
        <v xml:space="preserve"> 618</v>
      </c>
      <c r="E419" s="6" t="s">
        <v>294</v>
      </c>
      <c r="F419" s="7">
        <f t="shared" si="169"/>
        <v>0</v>
      </c>
      <c r="G419" s="11" t="s">
        <v>299</v>
      </c>
      <c r="H419" s="11" t="s">
        <v>325</v>
      </c>
      <c r="I419" s="11" t="s">
        <v>371</v>
      </c>
      <c r="J419" s="12">
        <f t="shared" si="164"/>
        <v>91000</v>
      </c>
      <c r="K419" s="13">
        <f t="shared" si="175"/>
        <v>0</v>
      </c>
      <c r="L419" s="17" t="s">
        <v>23</v>
      </c>
      <c r="M419" s="18">
        <v>91000</v>
      </c>
      <c r="N419" s="15">
        <f>2000+200+600+250+1000+3600+450</f>
        <v>8100</v>
      </c>
      <c r="O419" s="40">
        <f t="shared" si="176"/>
        <v>99100</v>
      </c>
      <c r="P419" s="106"/>
      <c r="Q419" s="3" t="s">
        <v>467</v>
      </c>
      <c r="R419" s="37">
        <v>2500</v>
      </c>
      <c r="S419" s="37">
        <f t="shared" si="178"/>
        <v>101600</v>
      </c>
      <c r="T419" s="37">
        <f t="shared" si="172"/>
        <v>145142.85714285716</v>
      </c>
      <c r="U419" s="41">
        <f t="shared" si="173"/>
        <v>165877.55102040819</v>
      </c>
      <c r="V419" s="42">
        <f t="shared" si="179"/>
        <v>0.12500000000000006</v>
      </c>
      <c r="W419" s="41">
        <f t="shared" si="180"/>
        <v>165900</v>
      </c>
      <c r="X419" s="43">
        <f t="shared" si="174"/>
        <v>0.31722440944881897</v>
      </c>
      <c r="Y419" s="44"/>
      <c r="Z419" s="44"/>
      <c r="AA419" s="44"/>
    </row>
    <row r="420" spans="2:27" ht="14.4" customHeight="1">
      <c r="B420" s="4">
        <v>416</v>
      </c>
      <c r="C420" s="39" t="s">
        <v>748</v>
      </c>
      <c r="D420" s="5" t="str">
        <f t="shared" si="168"/>
        <v xml:space="preserve"> 256</v>
      </c>
      <c r="E420" s="6" t="s">
        <v>748</v>
      </c>
      <c r="F420" s="7">
        <f t="shared" si="169"/>
        <v>0</v>
      </c>
      <c r="G420" s="8" t="s">
        <v>299</v>
      </c>
      <c r="H420" s="8" t="s">
        <v>325</v>
      </c>
      <c r="I420" s="8" t="s">
        <v>714</v>
      </c>
      <c r="J420" s="12"/>
      <c r="K420" s="13">
        <f t="shared" si="175"/>
        <v>0</v>
      </c>
      <c r="L420" s="7"/>
      <c r="M420" s="14">
        <f t="shared" ref="M420" si="184">J420-N420</f>
        <v>0</v>
      </c>
      <c r="N420" s="15"/>
      <c r="O420" s="40">
        <f t="shared" si="176"/>
        <v>0</v>
      </c>
      <c r="P420" s="106"/>
      <c r="Q420" s="3"/>
      <c r="R420" s="37"/>
      <c r="S420" s="37">
        <f t="shared" si="178"/>
        <v>0</v>
      </c>
      <c r="T420" s="37">
        <f t="shared" si="172"/>
        <v>0</v>
      </c>
      <c r="U420" s="41">
        <f t="shared" si="173"/>
        <v>0</v>
      </c>
      <c r="V420" s="42" t="e">
        <f t="shared" si="179"/>
        <v>#DIV/0!</v>
      </c>
      <c r="W420" s="41">
        <f t="shared" si="180"/>
        <v>0</v>
      </c>
      <c r="X420" s="43" t="e">
        <f t="shared" si="174"/>
        <v>#DIV/0!</v>
      </c>
      <c r="Y420" s="44"/>
      <c r="Z420" s="44"/>
      <c r="AA420" s="44"/>
    </row>
    <row r="421" spans="2:27" ht="14.4" customHeight="1">
      <c r="B421" s="4">
        <v>417</v>
      </c>
      <c r="C421" s="39" t="s">
        <v>749</v>
      </c>
      <c r="D421" s="5" t="str">
        <f t="shared" si="168"/>
        <v xml:space="preserve"> 483</v>
      </c>
      <c r="E421" s="6" t="s">
        <v>749</v>
      </c>
      <c r="F421" s="7">
        <f t="shared" si="169"/>
        <v>0</v>
      </c>
      <c r="G421" s="8" t="s">
        <v>299</v>
      </c>
      <c r="H421" s="8" t="s">
        <v>325</v>
      </c>
      <c r="I421" s="8" t="s">
        <v>718</v>
      </c>
      <c r="J421" s="12">
        <f>M421</f>
        <v>0</v>
      </c>
      <c r="K421" s="13">
        <f t="shared" si="175"/>
        <v>0</v>
      </c>
      <c r="L421" s="17" t="s">
        <v>23</v>
      </c>
      <c r="M421" s="18">
        <v>0</v>
      </c>
      <c r="N421" s="15">
        <v>0</v>
      </c>
      <c r="O421" s="40">
        <f t="shared" si="176"/>
        <v>0</v>
      </c>
      <c r="P421" s="106"/>
      <c r="Q421" s="3"/>
      <c r="R421" s="37"/>
      <c r="S421" s="37">
        <f t="shared" si="178"/>
        <v>0</v>
      </c>
      <c r="T421" s="37">
        <f t="shared" si="172"/>
        <v>0</v>
      </c>
      <c r="U421" s="41">
        <f t="shared" si="173"/>
        <v>0</v>
      </c>
      <c r="V421" s="42" t="e">
        <f t="shared" si="179"/>
        <v>#DIV/0!</v>
      </c>
      <c r="W421" s="41">
        <f t="shared" si="180"/>
        <v>0</v>
      </c>
      <c r="X421" s="43" t="e">
        <f t="shared" si="174"/>
        <v>#DIV/0!</v>
      </c>
      <c r="Y421" s="44"/>
      <c r="Z421" s="44"/>
      <c r="AA421" s="44"/>
    </row>
    <row r="422" spans="2:27" ht="14.4" customHeight="1">
      <c r="B422" s="4">
        <v>418</v>
      </c>
      <c r="C422" s="5" t="s">
        <v>283</v>
      </c>
      <c r="D422" s="5" t="str">
        <f t="shared" si="168"/>
        <v xml:space="preserve"> 179</v>
      </c>
      <c r="E422" s="6" t="s">
        <v>283</v>
      </c>
      <c r="F422" s="7">
        <f t="shared" si="169"/>
        <v>0</v>
      </c>
      <c r="G422" s="11" t="s">
        <v>299</v>
      </c>
      <c r="H422" s="11" t="s">
        <v>325</v>
      </c>
      <c r="I422" s="11" t="s">
        <v>369</v>
      </c>
      <c r="J422" s="12">
        <f t="shared" si="164"/>
        <v>64000</v>
      </c>
      <c r="K422" s="13">
        <f t="shared" si="175"/>
        <v>0</v>
      </c>
      <c r="L422" s="17" t="s">
        <v>23</v>
      </c>
      <c r="M422" s="18">
        <v>64000</v>
      </c>
      <c r="N422" s="15">
        <f>2000+200+250+600+1000+3600+450</f>
        <v>8100</v>
      </c>
      <c r="O422" s="40">
        <f t="shared" si="176"/>
        <v>72100</v>
      </c>
      <c r="P422" s="106"/>
      <c r="Q422" s="3" t="s">
        <v>464</v>
      </c>
      <c r="R422" s="37"/>
      <c r="S422" s="37">
        <f t="shared" si="178"/>
        <v>72100</v>
      </c>
      <c r="T422" s="37">
        <f t="shared" si="172"/>
        <v>103000</v>
      </c>
      <c r="U422" s="41">
        <f t="shared" si="173"/>
        <v>117714.28571428571</v>
      </c>
      <c r="V422" s="42">
        <f t="shared" si="179"/>
        <v>0.12499999999999997</v>
      </c>
      <c r="W422" s="41">
        <f t="shared" si="180"/>
        <v>117800</v>
      </c>
      <c r="X422" s="43">
        <f t="shared" si="174"/>
        <v>0.3</v>
      </c>
      <c r="Y422" s="44"/>
      <c r="Z422" s="44"/>
      <c r="AA422" s="45"/>
    </row>
    <row r="423" spans="2:27" ht="14.4" customHeight="1">
      <c r="B423" s="4">
        <v>419</v>
      </c>
      <c r="C423" s="39" t="s">
        <v>750</v>
      </c>
      <c r="D423" s="5" t="str">
        <f t="shared" si="168"/>
        <v xml:space="preserve"> 526</v>
      </c>
      <c r="E423" s="6" t="s">
        <v>750</v>
      </c>
      <c r="F423" s="7">
        <f t="shared" si="169"/>
        <v>0</v>
      </c>
      <c r="G423" s="8" t="s">
        <v>21</v>
      </c>
      <c r="H423" s="8" t="s">
        <v>325</v>
      </c>
      <c r="I423" s="8" t="s">
        <v>718</v>
      </c>
      <c r="J423" s="12">
        <f>M423</f>
        <v>72250</v>
      </c>
      <c r="K423" s="13">
        <f t="shared" si="175"/>
        <v>0</v>
      </c>
      <c r="L423" s="17" t="s">
        <v>23</v>
      </c>
      <c r="M423" s="18">
        <v>72250</v>
      </c>
      <c r="N423" s="15">
        <f>2000+600+200+250+100+3600</f>
        <v>6750</v>
      </c>
      <c r="O423" s="40">
        <f t="shared" si="176"/>
        <v>79000</v>
      </c>
      <c r="P423" s="106"/>
      <c r="Q423" s="78" t="s">
        <v>1398</v>
      </c>
      <c r="R423" s="37"/>
      <c r="S423" s="37">
        <f t="shared" si="178"/>
        <v>79000</v>
      </c>
      <c r="T423" s="37">
        <f t="shared" si="172"/>
        <v>112857.14285714287</v>
      </c>
      <c r="U423" s="41">
        <f t="shared" si="173"/>
        <v>128979.5918367347</v>
      </c>
      <c r="V423" s="42">
        <f t="shared" si="179"/>
        <v>0.12499999999999997</v>
      </c>
      <c r="W423" s="41">
        <f t="shared" si="180"/>
        <v>129000</v>
      </c>
      <c r="X423" s="43">
        <f t="shared" si="174"/>
        <v>0.3000000000000001</v>
      </c>
      <c r="Y423" s="46">
        <v>111650</v>
      </c>
      <c r="Z423" s="47">
        <f>T423-Y423</f>
        <v>1207.1428571428696</v>
      </c>
      <c r="AA423" s="48">
        <f>Z423/Y423</f>
        <v>1.0811848250272007E-2</v>
      </c>
    </row>
    <row r="424" spans="2:27" ht="14.4" customHeight="1">
      <c r="B424" s="4">
        <v>420</v>
      </c>
      <c r="C424" s="39" t="s">
        <v>751</v>
      </c>
      <c r="D424" s="5" t="str">
        <f t="shared" si="168"/>
        <v xml:space="preserve"> 616</v>
      </c>
      <c r="E424" s="6" t="s">
        <v>751</v>
      </c>
      <c r="F424" s="7">
        <f t="shared" si="169"/>
        <v>0</v>
      </c>
      <c r="G424" s="8" t="s">
        <v>299</v>
      </c>
      <c r="H424" s="8" t="s">
        <v>325</v>
      </c>
      <c r="I424" s="8" t="s">
        <v>718</v>
      </c>
      <c r="J424" s="12">
        <f>M424</f>
        <v>0</v>
      </c>
      <c r="K424" s="13">
        <f t="shared" si="175"/>
        <v>0</v>
      </c>
      <c r="L424" s="17" t="s">
        <v>23</v>
      </c>
      <c r="M424" s="18">
        <v>0</v>
      </c>
      <c r="N424" s="15">
        <v>0</v>
      </c>
      <c r="O424" s="40">
        <f t="shared" si="176"/>
        <v>0</v>
      </c>
      <c r="P424" s="106"/>
      <c r="Q424" s="3"/>
      <c r="R424" s="37"/>
      <c r="S424" s="37">
        <f t="shared" si="178"/>
        <v>0</v>
      </c>
      <c r="T424" s="37">
        <f t="shared" si="172"/>
        <v>0</v>
      </c>
      <c r="U424" s="41">
        <f t="shared" si="173"/>
        <v>0</v>
      </c>
      <c r="V424" s="42" t="e">
        <f t="shared" si="179"/>
        <v>#DIV/0!</v>
      </c>
      <c r="W424" s="41">
        <f t="shared" si="180"/>
        <v>0</v>
      </c>
      <c r="X424" s="43" t="e">
        <f t="shared" si="174"/>
        <v>#DIV/0!</v>
      </c>
      <c r="Y424" s="44"/>
      <c r="Z424" s="44"/>
      <c r="AA424" s="45"/>
    </row>
    <row r="425" spans="2:27" ht="14.4" customHeight="1">
      <c r="B425" s="4">
        <v>421</v>
      </c>
      <c r="C425" s="39" t="s">
        <v>752</v>
      </c>
      <c r="D425" s="5" t="str">
        <f t="shared" si="168"/>
        <v xml:space="preserve"> 409</v>
      </c>
      <c r="E425" s="6" t="s">
        <v>752</v>
      </c>
      <c r="F425" s="7">
        <f t="shared" si="169"/>
        <v>0</v>
      </c>
      <c r="G425" s="8" t="s">
        <v>299</v>
      </c>
      <c r="H425" s="8" t="s">
        <v>325</v>
      </c>
      <c r="I425" s="8" t="s">
        <v>718</v>
      </c>
      <c r="J425" s="12">
        <f>M425</f>
        <v>0</v>
      </c>
      <c r="K425" s="13">
        <f t="shared" si="175"/>
        <v>0</v>
      </c>
      <c r="L425" s="17" t="s">
        <v>23</v>
      </c>
      <c r="M425" s="18">
        <v>0</v>
      </c>
      <c r="N425" s="15">
        <v>0</v>
      </c>
      <c r="O425" s="40">
        <f t="shared" si="176"/>
        <v>0</v>
      </c>
      <c r="P425" s="106"/>
      <c r="Q425" s="3"/>
      <c r="R425" s="37"/>
      <c r="S425" s="37">
        <f t="shared" si="178"/>
        <v>0</v>
      </c>
      <c r="T425" s="37">
        <f t="shared" si="172"/>
        <v>0</v>
      </c>
      <c r="U425" s="41">
        <f t="shared" si="173"/>
        <v>0</v>
      </c>
      <c r="V425" s="42" t="e">
        <f t="shared" si="179"/>
        <v>#DIV/0!</v>
      </c>
      <c r="W425" s="41">
        <f t="shared" si="180"/>
        <v>0</v>
      </c>
      <c r="X425" s="43" t="e">
        <f t="shared" si="174"/>
        <v>#DIV/0!</v>
      </c>
      <c r="Y425" s="44"/>
      <c r="Z425" s="44"/>
      <c r="AA425" s="45"/>
    </row>
    <row r="426" spans="2:27" ht="14.4" customHeight="1">
      <c r="B426" s="4">
        <v>422</v>
      </c>
      <c r="C426" s="5" t="s">
        <v>199</v>
      </c>
      <c r="D426" s="5" t="str">
        <f t="shared" si="168"/>
        <v xml:space="preserve"> 996</v>
      </c>
      <c r="E426" s="6" t="s">
        <v>199</v>
      </c>
      <c r="F426" s="7">
        <f t="shared" si="169"/>
        <v>0</v>
      </c>
      <c r="G426" s="11" t="s">
        <v>299</v>
      </c>
      <c r="H426" s="11" t="s">
        <v>318</v>
      </c>
      <c r="I426" s="11" t="s">
        <v>350</v>
      </c>
      <c r="J426" s="12">
        <v>103000</v>
      </c>
      <c r="K426" s="13">
        <f t="shared" si="175"/>
        <v>4850</v>
      </c>
      <c r="L426" s="7" t="s">
        <v>24</v>
      </c>
      <c r="M426" s="14">
        <f t="shared" ref="M426" si="185">J426-N426</f>
        <v>98150</v>
      </c>
      <c r="N426" s="15">
        <f>2000+200+250+1000+600+800</f>
        <v>4850</v>
      </c>
      <c r="O426" s="40">
        <f t="shared" si="176"/>
        <v>103000</v>
      </c>
      <c r="P426" s="106"/>
      <c r="Q426" s="3" t="s">
        <v>413</v>
      </c>
      <c r="R426" s="37"/>
      <c r="S426" s="37">
        <f t="shared" si="178"/>
        <v>103000</v>
      </c>
      <c r="T426" s="37">
        <f t="shared" si="172"/>
        <v>147142.85714285716</v>
      </c>
      <c r="U426" s="41">
        <f t="shared" si="173"/>
        <v>168163.26530612246</v>
      </c>
      <c r="V426" s="42">
        <f t="shared" si="179"/>
        <v>0.12499999999999993</v>
      </c>
      <c r="W426" s="41">
        <f t="shared" si="180"/>
        <v>168200</v>
      </c>
      <c r="X426" s="43">
        <f t="shared" si="174"/>
        <v>0.3000000000000001</v>
      </c>
      <c r="Y426" s="44"/>
      <c r="Z426" s="44"/>
      <c r="AA426" s="45"/>
    </row>
    <row r="427" spans="2:27" ht="14.4" customHeight="1">
      <c r="B427" s="4">
        <v>423</v>
      </c>
      <c r="C427" s="5" t="s">
        <v>198</v>
      </c>
      <c r="D427" s="5" t="str">
        <f t="shared" si="168"/>
        <v xml:space="preserve"> 916</v>
      </c>
      <c r="E427" s="6" t="s">
        <v>198</v>
      </c>
      <c r="F427" s="7">
        <f t="shared" si="169"/>
        <v>0</v>
      </c>
      <c r="G427" s="11" t="s">
        <v>299</v>
      </c>
      <c r="H427" s="11" t="s">
        <v>318</v>
      </c>
      <c r="I427" s="11" t="s">
        <v>350</v>
      </c>
      <c r="J427" s="12">
        <v>103000</v>
      </c>
      <c r="K427" s="13">
        <f t="shared" si="175"/>
        <v>4050</v>
      </c>
      <c r="L427" s="7" t="s">
        <v>24</v>
      </c>
      <c r="M427" s="14">
        <f>J427-N427</f>
        <v>98950</v>
      </c>
      <c r="N427" s="15">
        <f>2000+200+250+1000+600</f>
        <v>4050</v>
      </c>
      <c r="O427" s="40">
        <f t="shared" si="176"/>
        <v>103000</v>
      </c>
      <c r="P427" s="106"/>
      <c r="Q427" s="3" t="s">
        <v>412</v>
      </c>
      <c r="R427" s="37"/>
      <c r="S427" s="37">
        <f t="shared" si="178"/>
        <v>103000</v>
      </c>
      <c r="T427" s="37">
        <f t="shared" si="172"/>
        <v>147142.85714285716</v>
      </c>
      <c r="U427" s="41">
        <f t="shared" si="173"/>
        <v>168163.26530612246</v>
      </c>
      <c r="V427" s="42">
        <f t="shared" si="179"/>
        <v>0.12499999999999993</v>
      </c>
      <c r="W427" s="41">
        <f t="shared" si="180"/>
        <v>168200</v>
      </c>
      <c r="X427" s="43">
        <f t="shared" si="174"/>
        <v>0.3000000000000001</v>
      </c>
      <c r="Y427" s="44"/>
      <c r="Z427" s="44"/>
      <c r="AA427" s="44"/>
    </row>
    <row r="428" spans="2:27" ht="14.4" customHeight="1">
      <c r="B428" s="4">
        <v>424</v>
      </c>
      <c r="C428" s="5" t="s">
        <v>66</v>
      </c>
      <c r="D428" s="5" t="str">
        <f t="shared" si="168"/>
        <v xml:space="preserve"> 014</v>
      </c>
      <c r="E428" s="6" t="s">
        <v>66</v>
      </c>
      <c r="F428" s="7">
        <f>IF(C428=E428,0,1)</f>
        <v>0</v>
      </c>
      <c r="G428" s="11" t="s">
        <v>21</v>
      </c>
      <c r="H428" s="11" t="s">
        <v>318</v>
      </c>
      <c r="I428" s="11" t="s">
        <v>369</v>
      </c>
      <c r="J428" s="12">
        <f>M428</f>
        <v>96000</v>
      </c>
      <c r="K428" s="13">
        <f t="shared" si="175"/>
        <v>0</v>
      </c>
      <c r="L428" s="17" t="s">
        <v>23</v>
      </c>
      <c r="M428" s="18">
        <v>96000</v>
      </c>
      <c r="N428" s="15">
        <v>3050</v>
      </c>
      <c r="O428" s="40">
        <f t="shared" si="176"/>
        <v>99050</v>
      </c>
      <c r="P428" s="106"/>
      <c r="Q428" s="3" t="s">
        <v>465</v>
      </c>
      <c r="R428" s="37"/>
      <c r="S428" s="37">
        <f t="shared" si="178"/>
        <v>99050</v>
      </c>
      <c r="T428" s="37">
        <f t="shared" si="172"/>
        <v>141500</v>
      </c>
      <c r="U428" s="41">
        <f t="shared" si="173"/>
        <v>161714.28571428571</v>
      </c>
      <c r="V428" s="42">
        <f t="shared" si="179"/>
        <v>0.12499999999999997</v>
      </c>
      <c r="W428" s="41">
        <f t="shared" si="180"/>
        <v>161800</v>
      </c>
      <c r="X428" s="43">
        <f t="shared" si="174"/>
        <v>0.3</v>
      </c>
      <c r="Y428" s="46">
        <v>141838</v>
      </c>
      <c r="Z428" s="47">
        <f>T428-Y428</f>
        <v>-338</v>
      </c>
      <c r="AA428" s="48">
        <f>Z428/Y428</f>
        <v>-2.3830003243136538E-3</v>
      </c>
    </row>
    <row r="429" spans="2:27" ht="14.4" customHeight="1">
      <c r="B429" s="4">
        <v>425</v>
      </c>
      <c r="C429" s="39" t="s">
        <v>753</v>
      </c>
      <c r="D429" s="5" t="str">
        <f t="shared" si="168"/>
        <v xml:space="preserve"> 851</v>
      </c>
      <c r="E429" s="6" t="s">
        <v>753</v>
      </c>
      <c r="F429" s="7">
        <f>IF(C429=E429,0,1)</f>
        <v>0</v>
      </c>
      <c r="G429" s="8" t="s">
        <v>21</v>
      </c>
      <c r="H429" s="8" t="s">
        <v>318</v>
      </c>
      <c r="I429" s="8" t="s">
        <v>718</v>
      </c>
      <c r="J429" s="12">
        <f>M429</f>
        <v>74750</v>
      </c>
      <c r="K429" s="13">
        <f t="shared" si="175"/>
        <v>0</v>
      </c>
      <c r="L429" s="17" t="s">
        <v>23</v>
      </c>
      <c r="M429" s="18">
        <v>74750</v>
      </c>
      <c r="N429" s="15">
        <f>2000+600+200+250+700+3600</f>
        <v>7350</v>
      </c>
      <c r="O429" s="40">
        <f t="shared" si="176"/>
        <v>82100</v>
      </c>
      <c r="P429" s="106"/>
      <c r="Q429" s="78" t="s">
        <v>1389</v>
      </c>
      <c r="R429" s="37"/>
      <c r="S429" s="37">
        <f t="shared" si="178"/>
        <v>82100</v>
      </c>
      <c r="T429" s="37">
        <f t="shared" si="172"/>
        <v>117285.71428571429</v>
      </c>
      <c r="U429" s="41">
        <f t="shared" si="173"/>
        <v>134040.81632653062</v>
      </c>
      <c r="V429" s="42">
        <f t="shared" si="179"/>
        <v>0.12500000000000003</v>
      </c>
      <c r="W429" s="41">
        <f t="shared" si="180"/>
        <v>134100</v>
      </c>
      <c r="X429" s="43">
        <f t="shared" si="174"/>
        <v>0.30000000000000004</v>
      </c>
      <c r="Y429" s="46">
        <v>108588</v>
      </c>
      <c r="Z429" s="47">
        <f>T429-Y429</f>
        <v>8697.7142857142899</v>
      </c>
      <c r="AA429" s="48">
        <f>Z429/Y429</f>
        <v>8.0098300785669596E-2</v>
      </c>
    </row>
    <row r="430" spans="2:27" ht="14.4" customHeight="1">
      <c r="B430" s="4">
        <v>426</v>
      </c>
      <c r="C430" s="5" t="s">
        <v>227</v>
      </c>
      <c r="D430" s="5" t="str">
        <f t="shared" si="168"/>
        <v xml:space="preserve"> 208</v>
      </c>
      <c r="E430" s="6" t="s">
        <v>227</v>
      </c>
      <c r="F430" s="7">
        <f t="shared" si="169"/>
        <v>0</v>
      </c>
      <c r="G430" s="11" t="s">
        <v>299</v>
      </c>
      <c r="H430" s="11" t="s">
        <v>318</v>
      </c>
      <c r="I430" s="11" t="s">
        <v>357</v>
      </c>
      <c r="J430" s="12">
        <v>65000</v>
      </c>
      <c r="K430" s="13">
        <f t="shared" si="175"/>
        <v>6650</v>
      </c>
      <c r="L430" s="7" t="s">
        <v>24</v>
      </c>
      <c r="M430" s="14">
        <f>J430-N430</f>
        <v>58350</v>
      </c>
      <c r="N430" s="15">
        <f>2000+200+250+600+3600</f>
        <v>6650</v>
      </c>
      <c r="O430" s="40">
        <f t="shared" si="176"/>
        <v>65000</v>
      </c>
      <c r="P430" s="107"/>
      <c r="Q430" s="3" t="s">
        <v>399</v>
      </c>
      <c r="R430" s="37"/>
      <c r="S430" s="37">
        <f t="shared" si="178"/>
        <v>65000</v>
      </c>
      <c r="T430" s="37">
        <f t="shared" si="172"/>
        <v>92857.14285714287</v>
      </c>
      <c r="U430" s="41">
        <f t="shared" si="173"/>
        <v>106122.44897959185</v>
      </c>
      <c r="V430" s="42">
        <f t="shared" si="179"/>
        <v>0.12499999999999999</v>
      </c>
      <c r="W430" s="41">
        <f t="shared" si="180"/>
        <v>106200</v>
      </c>
      <c r="X430" s="43">
        <f t="shared" si="174"/>
        <v>0.3000000000000001</v>
      </c>
      <c r="Y430" s="44"/>
      <c r="Z430" s="44"/>
      <c r="AA430" s="45"/>
    </row>
    <row r="431" spans="2:27" ht="14.4" customHeight="1">
      <c r="B431" s="4">
        <v>427</v>
      </c>
      <c r="C431" s="5" t="s">
        <v>284</v>
      </c>
      <c r="D431" s="5" t="str">
        <f t="shared" si="168"/>
        <v xml:space="preserve"> 977</v>
      </c>
      <c r="E431" s="6" t="s">
        <v>284</v>
      </c>
      <c r="F431" s="7">
        <f t="shared" si="169"/>
        <v>0</v>
      </c>
      <c r="G431" s="11" t="s">
        <v>299</v>
      </c>
      <c r="H431" s="11" t="s">
        <v>327</v>
      </c>
      <c r="I431" s="11" t="s">
        <v>371</v>
      </c>
      <c r="J431" s="12">
        <f>M431</f>
        <v>39000</v>
      </c>
      <c r="K431" s="13">
        <f t="shared" si="175"/>
        <v>0</v>
      </c>
      <c r="L431" s="17" t="s">
        <v>23</v>
      </c>
      <c r="M431" s="18">
        <v>39000</v>
      </c>
      <c r="N431" s="15">
        <f>2000+200+250+600+650+2500</f>
        <v>6200</v>
      </c>
      <c r="O431" s="40">
        <f t="shared" si="176"/>
        <v>45200</v>
      </c>
      <c r="P431" s="106"/>
      <c r="Q431" s="3" t="s">
        <v>466</v>
      </c>
      <c r="R431" s="37">
        <v>2500</v>
      </c>
      <c r="S431" s="37">
        <f t="shared" si="178"/>
        <v>47700</v>
      </c>
      <c r="T431" s="37">
        <f t="shared" si="172"/>
        <v>68142.857142857145</v>
      </c>
      <c r="U431" s="41">
        <f t="shared" si="173"/>
        <v>77877.551020408166</v>
      </c>
      <c r="V431" s="42">
        <f t="shared" si="179"/>
        <v>0.125</v>
      </c>
      <c r="W431" s="41">
        <f t="shared" si="180"/>
        <v>77900</v>
      </c>
      <c r="X431" s="43">
        <f t="shared" si="174"/>
        <v>0.33668763102725369</v>
      </c>
      <c r="Y431" s="44"/>
      <c r="Z431" s="44"/>
      <c r="AA431" s="45"/>
    </row>
    <row r="432" spans="2:27" ht="14.4" customHeight="1">
      <c r="B432" s="4">
        <v>428</v>
      </c>
      <c r="C432" s="39" t="s">
        <v>754</v>
      </c>
      <c r="D432" s="5" t="str">
        <f t="shared" si="168"/>
        <v xml:space="preserve"> 751</v>
      </c>
      <c r="E432" s="6" t="s">
        <v>754</v>
      </c>
      <c r="F432" s="7">
        <f t="shared" si="169"/>
        <v>0</v>
      </c>
      <c r="G432" s="8" t="s">
        <v>299</v>
      </c>
      <c r="H432" s="8" t="s">
        <v>327</v>
      </c>
      <c r="I432" s="8" t="s">
        <v>755</v>
      </c>
      <c r="J432" s="12"/>
      <c r="K432" s="13">
        <f t="shared" si="175"/>
        <v>0</v>
      </c>
      <c r="L432" s="7"/>
      <c r="M432" s="14">
        <f t="shared" ref="M432:M457" si="186">J432-N432</f>
        <v>0</v>
      </c>
      <c r="N432" s="15"/>
      <c r="O432" s="40">
        <f t="shared" si="176"/>
        <v>0</v>
      </c>
      <c r="P432" s="106"/>
      <c r="Q432" s="3"/>
      <c r="R432" s="37"/>
      <c r="S432" s="37">
        <f t="shared" si="178"/>
        <v>0</v>
      </c>
      <c r="T432" s="37">
        <f t="shared" si="172"/>
        <v>0</v>
      </c>
      <c r="U432" s="41">
        <f t="shared" si="173"/>
        <v>0</v>
      </c>
      <c r="V432" s="42" t="e">
        <f t="shared" si="179"/>
        <v>#DIV/0!</v>
      </c>
      <c r="W432" s="41">
        <f t="shared" si="180"/>
        <v>0</v>
      </c>
      <c r="X432" s="43" t="e">
        <f t="shared" si="174"/>
        <v>#DIV/0!</v>
      </c>
      <c r="Y432" s="44"/>
      <c r="Z432" s="44"/>
      <c r="AA432" s="45"/>
    </row>
    <row r="433" spans="2:27" ht="14.4" customHeight="1">
      <c r="B433" s="4">
        <v>429</v>
      </c>
      <c r="C433" s="39" t="s">
        <v>756</v>
      </c>
      <c r="D433" s="5" t="str">
        <f t="shared" si="168"/>
        <v xml:space="preserve"> 828</v>
      </c>
      <c r="E433" s="6" t="s">
        <v>756</v>
      </c>
      <c r="F433" s="7">
        <f>IF(C433=E433,0,1)</f>
        <v>0</v>
      </c>
      <c r="G433" s="8" t="s">
        <v>299</v>
      </c>
      <c r="H433" s="8" t="s">
        <v>327</v>
      </c>
      <c r="I433" s="8" t="s">
        <v>718</v>
      </c>
      <c r="J433" s="12">
        <f>M433</f>
        <v>0</v>
      </c>
      <c r="K433" s="13">
        <f t="shared" si="175"/>
        <v>0</v>
      </c>
      <c r="L433" s="17" t="s">
        <v>23</v>
      </c>
      <c r="M433" s="18">
        <v>0</v>
      </c>
      <c r="N433" s="15">
        <v>0</v>
      </c>
      <c r="O433" s="40">
        <f t="shared" si="176"/>
        <v>0</v>
      </c>
      <c r="P433" s="106"/>
      <c r="Q433" s="3"/>
      <c r="R433" s="37"/>
      <c r="S433" s="37">
        <f t="shared" si="178"/>
        <v>0</v>
      </c>
      <c r="T433" s="37">
        <f t="shared" si="172"/>
        <v>0</v>
      </c>
      <c r="U433" s="41">
        <f t="shared" si="173"/>
        <v>0</v>
      </c>
      <c r="V433" s="42" t="e">
        <f t="shared" si="179"/>
        <v>#DIV/0!</v>
      </c>
      <c r="W433" s="41">
        <f t="shared" si="180"/>
        <v>0</v>
      </c>
      <c r="X433" s="43" t="e">
        <f t="shared" si="174"/>
        <v>#DIV/0!</v>
      </c>
      <c r="Y433" s="44"/>
      <c r="Z433" s="44"/>
      <c r="AA433" s="45"/>
    </row>
    <row r="434" spans="2:27" ht="14.4" customHeight="1">
      <c r="B434" s="4">
        <v>430</v>
      </c>
      <c r="C434" s="39" t="s">
        <v>757</v>
      </c>
      <c r="D434" s="5" t="str">
        <f t="shared" si="168"/>
        <v xml:space="preserve"> 845</v>
      </c>
      <c r="E434" s="6" t="s">
        <v>757</v>
      </c>
      <c r="F434" s="7">
        <f t="shared" si="169"/>
        <v>0</v>
      </c>
      <c r="G434" s="8" t="s">
        <v>21</v>
      </c>
      <c r="H434" s="8" t="s">
        <v>327</v>
      </c>
      <c r="I434" s="8" t="s">
        <v>718</v>
      </c>
      <c r="J434" s="12">
        <f>M434</f>
        <v>48200</v>
      </c>
      <c r="K434" s="13">
        <f t="shared" si="175"/>
        <v>0</v>
      </c>
      <c r="L434" s="17" t="s">
        <v>23</v>
      </c>
      <c r="M434" s="18">
        <v>48200</v>
      </c>
      <c r="N434" s="15">
        <f>2000+600+200+800+250+2400+3000</f>
        <v>9250</v>
      </c>
      <c r="O434" s="40">
        <f t="shared" si="176"/>
        <v>57450</v>
      </c>
      <c r="P434" s="106"/>
      <c r="Q434" s="78" t="s">
        <v>1397</v>
      </c>
      <c r="R434" s="37"/>
      <c r="S434" s="37">
        <f t="shared" si="178"/>
        <v>57450</v>
      </c>
      <c r="T434" s="37">
        <f t="shared" si="172"/>
        <v>82071.42857142858</v>
      </c>
      <c r="U434" s="41">
        <f t="shared" si="173"/>
        <v>93795.918367346952</v>
      </c>
      <c r="V434" s="42">
        <f t="shared" si="179"/>
        <v>0.12500000000000003</v>
      </c>
      <c r="W434" s="41">
        <f t="shared" si="180"/>
        <v>93800</v>
      </c>
      <c r="X434" s="43">
        <f t="shared" si="174"/>
        <v>0.30000000000000004</v>
      </c>
      <c r="Y434" s="46">
        <v>80500</v>
      </c>
      <c r="Z434" s="47">
        <f>T434-Y434</f>
        <v>1571.4285714285797</v>
      </c>
      <c r="AA434" s="48">
        <f>Z434/Y434</f>
        <v>1.9520851818988567E-2</v>
      </c>
    </row>
    <row r="435" spans="2:27" ht="14.4" customHeight="1">
      <c r="B435" s="4">
        <v>431</v>
      </c>
      <c r="C435" s="39" t="s">
        <v>758</v>
      </c>
      <c r="D435" s="5" t="str">
        <f t="shared" si="168"/>
        <v xml:space="preserve"> 301</v>
      </c>
      <c r="E435" s="6" t="s">
        <v>758</v>
      </c>
      <c r="F435" s="7">
        <f t="shared" si="169"/>
        <v>0</v>
      </c>
      <c r="G435" s="8" t="s">
        <v>299</v>
      </c>
      <c r="H435" s="8" t="s">
        <v>327</v>
      </c>
      <c r="I435" s="8" t="s">
        <v>745</v>
      </c>
      <c r="J435" s="12"/>
      <c r="K435" s="13">
        <f t="shared" si="175"/>
        <v>0</v>
      </c>
      <c r="L435" s="7"/>
      <c r="M435" s="14">
        <f t="shared" si="186"/>
        <v>0</v>
      </c>
      <c r="N435" s="15"/>
      <c r="O435" s="40">
        <f t="shared" si="176"/>
        <v>0</v>
      </c>
      <c r="P435" s="106"/>
      <c r="Q435" s="3"/>
      <c r="R435" s="37"/>
      <c r="S435" s="37">
        <f t="shared" si="178"/>
        <v>0</v>
      </c>
      <c r="T435" s="37">
        <f t="shared" si="172"/>
        <v>0</v>
      </c>
      <c r="U435" s="41">
        <f t="shared" si="173"/>
        <v>0</v>
      </c>
      <c r="V435" s="42" t="e">
        <f t="shared" si="179"/>
        <v>#DIV/0!</v>
      </c>
      <c r="W435" s="41">
        <f t="shared" si="180"/>
        <v>0</v>
      </c>
      <c r="X435" s="43" t="e">
        <f t="shared" si="174"/>
        <v>#DIV/0!</v>
      </c>
      <c r="Y435" s="44"/>
      <c r="Z435" s="44"/>
      <c r="AA435" s="45"/>
    </row>
    <row r="436" spans="2:27" ht="14.4" customHeight="1">
      <c r="B436" s="4">
        <v>432</v>
      </c>
      <c r="C436" s="39" t="s">
        <v>759</v>
      </c>
      <c r="D436" s="5" t="str">
        <f t="shared" si="168"/>
        <v xml:space="preserve"> 981</v>
      </c>
      <c r="E436" s="6" t="s">
        <v>759</v>
      </c>
      <c r="F436" s="7">
        <f t="shared" si="169"/>
        <v>0</v>
      </c>
      <c r="G436" s="8" t="s">
        <v>21</v>
      </c>
      <c r="H436" s="8" t="s">
        <v>327</v>
      </c>
      <c r="I436" s="8" t="s">
        <v>718</v>
      </c>
      <c r="J436" s="12">
        <f>M436</f>
        <v>55200</v>
      </c>
      <c r="K436" s="13">
        <f t="shared" si="175"/>
        <v>0</v>
      </c>
      <c r="L436" s="17" t="s">
        <v>23</v>
      </c>
      <c r="M436" s="18">
        <v>55200</v>
      </c>
      <c r="N436" s="15">
        <f>2000+600+200+250+400+3000</f>
        <v>6450</v>
      </c>
      <c r="O436" s="40">
        <f t="shared" si="176"/>
        <v>61650</v>
      </c>
      <c r="P436" s="106"/>
      <c r="Q436" s="78" t="s">
        <v>1396</v>
      </c>
      <c r="R436" s="37"/>
      <c r="S436" s="37">
        <f t="shared" si="178"/>
        <v>61650</v>
      </c>
      <c r="T436" s="37">
        <f t="shared" si="172"/>
        <v>88071.42857142858</v>
      </c>
      <c r="U436" s="41">
        <f t="shared" si="173"/>
        <v>100653.06122448981</v>
      </c>
      <c r="V436" s="42">
        <f t="shared" si="179"/>
        <v>0.12500000000000003</v>
      </c>
      <c r="W436" s="41">
        <f t="shared" si="180"/>
        <v>100700</v>
      </c>
      <c r="X436" s="43">
        <f t="shared" si="174"/>
        <v>0.30000000000000004</v>
      </c>
      <c r="Y436" s="46">
        <v>86450</v>
      </c>
      <c r="Z436" s="47">
        <f>T436-Y436</f>
        <v>1621.4285714285797</v>
      </c>
      <c r="AA436" s="48">
        <f>Z436/Y436</f>
        <v>1.8755680409815845E-2</v>
      </c>
    </row>
    <row r="437" spans="2:27" ht="14.4" customHeight="1">
      <c r="B437" s="4">
        <v>433</v>
      </c>
      <c r="C437" s="39" t="s">
        <v>760</v>
      </c>
      <c r="D437" s="5" t="str">
        <f t="shared" si="168"/>
        <v xml:space="preserve"> 631</v>
      </c>
      <c r="E437" s="6" t="s">
        <v>760</v>
      </c>
      <c r="F437" s="7">
        <f t="shared" si="169"/>
        <v>0</v>
      </c>
      <c r="G437" s="8" t="s">
        <v>299</v>
      </c>
      <c r="H437" s="8" t="s">
        <v>327</v>
      </c>
      <c r="I437" s="8" t="s">
        <v>720</v>
      </c>
      <c r="J437" s="12"/>
      <c r="K437" s="13">
        <f t="shared" si="175"/>
        <v>0</v>
      </c>
      <c r="L437" s="7"/>
      <c r="M437" s="14">
        <f t="shared" si="186"/>
        <v>0</v>
      </c>
      <c r="N437" s="15"/>
      <c r="O437" s="40">
        <f t="shared" si="176"/>
        <v>0</v>
      </c>
      <c r="P437" s="106"/>
      <c r="Q437" s="3"/>
      <c r="R437" s="37"/>
      <c r="S437" s="37">
        <f t="shared" si="178"/>
        <v>0</v>
      </c>
      <c r="T437" s="37">
        <f t="shared" si="172"/>
        <v>0</v>
      </c>
      <c r="U437" s="41">
        <f t="shared" si="173"/>
        <v>0</v>
      </c>
      <c r="V437" s="42" t="e">
        <f t="shared" si="179"/>
        <v>#DIV/0!</v>
      </c>
      <c r="W437" s="41">
        <f t="shared" si="180"/>
        <v>0</v>
      </c>
      <c r="X437" s="43" t="e">
        <f t="shared" si="174"/>
        <v>#DIV/0!</v>
      </c>
      <c r="Y437" s="44"/>
      <c r="Z437" s="44"/>
      <c r="AA437" s="45"/>
    </row>
    <row r="438" spans="2:27" ht="14.4" customHeight="1">
      <c r="B438" s="4">
        <v>434</v>
      </c>
      <c r="C438" s="39" t="s">
        <v>761</v>
      </c>
      <c r="D438" s="5" t="str">
        <f t="shared" si="168"/>
        <v xml:space="preserve"> 214</v>
      </c>
      <c r="E438" s="6" t="s">
        <v>761</v>
      </c>
      <c r="F438" s="7">
        <f t="shared" si="169"/>
        <v>0</v>
      </c>
      <c r="G438" s="8" t="s">
        <v>299</v>
      </c>
      <c r="H438" s="8" t="s">
        <v>325</v>
      </c>
      <c r="I438" s="8" t="s">
        <v>718</v>
      </c>
      <c r="J438" s="12">
        <f>M438</f>
        <v>35000</v>
      </c>
      <c r="K438" s="13">
        <f t="shared" si="175"/>
        <v>0</v>
      </c>
      <c r="L438" s="17" t="s">
        <v>23</v>
      </c>
      <c r="M438" s="18">
        <v>35000</v>
      </c>
      <c r="N438" s="15">
        <f>2000+600+200+250+650+2500</f>
        <v>6200</v>
      </c>
      <c r="O438" s="40">
        <f t="shared" si="176"/>
        <v>41200</v>
      </c>
      <c r="P438" s="106"/>
      <c r="Q438" s="78" t="s">
        <v>1399</v>
      </c>
      <c r="R438" s="37"/>
      <c r="S438" s="37">
        <f t="shared" si="178"/>
        <v>41200</v>
      </c>
      <c r="T438" s="37">
        <f t="shared" si="172"/>
        <v>58857.142857142862</v>
      </c>
      <c r="U438" s="41">
        <f t="shared" si="173"/>
        <v>67265.306122448979</v>
      </c>
      <c r="V438" s="42">
        <f t="shared" si="179"/>
        <v>0.12499999999999992</v>
      </c>
      <c r="W438" s="41">
        <f t="shared" si="180"/>
        <v>67300</v>
      </c>
      <c r="X438" s="43">
        <f t="shared" si="174"/>
        <v>0.30000000000000004</v>
      </c>
      <c r="Y438" s="44"/>
      <c r="Z438" s="44"/>
      <c r="AA438" s="45"/>
    </row>
    <row r="439" spans="2:27" ht="14.4" customHeight="1">
      <c r="B439" s="4">
        <v>435</v>
      </c>
      <c r="C439" s="39" t="s">
        <v>762</v>
      </c>
      <c r="D439" s="5" t="str">
        <f t="shared" si="168"/>
        <v xml:space="preserve"> 520</v>
      </c>
      <c r="E439" s="6" t="s">
        <v>762</v>
      </c>
      <c r="F439" s="7">
        <f t="shared" si="169"/>
        <v>0</v>
      </c>
      <c r="G439" s="8" t="s">
        <v>21</v>
      </c>
      <c r="H439" s="8" t="s">
        <v>327</v>
      </c>
      <c r="I439" s="8" t="s">
        <v>732</v>
      </c>
      <c r="J439" s="98">
        <v>45000</v>
      </c>
      <c r="K439" s="98">
        <f t="shared" si="175"/>
        <v>0</v>
      </c>
      <c r="L439" s="115" t="s">
        <v>1438</v>
      </c>
      <c r="M439" s="97">
        <f t="shared" ref="M439" si="187">J439</f>
        <v>45000</v>
      </c>
      <c r="N439" s="98">
        <f>2000+2850+800+200+250+400</f>
        <v>6500</v>
      </c>
      <c r="O439" s="112">
        <f>N439+M439</f>
        <v>51500</v>
      </c>
      <c r="P439" s="106"/>
      <c r="Q439" s="99" t="s">
        <v>1421</v>
      </c>
      <c r="R439" s="37"/>
      <c r="S439" s="37">
        <f t="shared" si="178"/>
        <v>51500</v>
      </c>
      <c r="T439" s="37">
        <f t="shared" si="172"/>
        <v>73571.42857142858</v>
      </c>
      <c r="U439" s="41">
        <f t="shared" si="173"/>
        <v>84081.632653061228</v>
      </c>
      <c r="V439" s="42">
        <f t="shared" si="179"/>
        <v>0.12499999999999993</v>
      </c>
      <c r="W439" s="41">
        <f t="shared" si="180"/>
        <v>84100</v>
      </c>
      <c r="X439" s="43">
        <f t="shared" si="174"/>
        <v>0.3000000000000001</v>
      </c>
      <c r="Y439" s="46">
        <v>77875</v>
      </c>
      <c r="Z439" s="47">
        <f>T439-Y439</f>
        <v>-4303.5714285714203</v>
      </c>
      <c r="AA439" s="48">
        <f>Z439/Y439</f>
        <v>-5.5262554459986138E-2</v>
      </c>
    </row>
    <row r="440" spans="2:27" ht="14.4" customHeight="1">
      <c r="B440" s="4">
        <v>436</v>
      </c>
      <c r="C440" s="39" t="s">
        <v>763</v>
      </c>
      <c r="D440" s="5" t="str">
        <f t="shared" si="168"/>
        <v xml:space="preserve"> 841</v>
      </c>
      <c r="E440" s="6" t="s">
        <v>763</v>
      </c>
      <c r="F440" s="7">
        <f t="shared" si="169"/>
        <v>0</v>
      </c>
      <c r="G440" s="8" t="s">
        <v>299</v>
      </c>
      <c r="H440" s="8" t="s">
        <v>310</v>
      </c>
      <c r="I440" s="8" t="s">
        <v>764</v>
      </c>
      <c r="J440" s="12"/>
      <c r="K440" s="13">
        <f t="shared" si="175"/>
        <v>0</v>
      </c>
      <c r="L440" s="7"/>
      <c r="M440" s="14">
        <f t="shared" si="186"/>
        <v>0</v>
      </c>
      <c r="N440" s="15"/>
      <c r="O440" s="40">
        <f t="shared" si="176"/>
        <v>0</v>
      </c>
      <c r="P440" s="106"/>
      <c r="Q440" s="3"/>
      <c r="R440" s="37"/>
      <c r="S440" s="37">
        <f t="shared" si="178"/>
        <v>0</v>
      </c>
      <c r="T440" s="37">
        <f t="shared" si="172"/>
        <v>0</v>
      </c>
      <c r="U440" s="41">
        <f t="shared" si="173"/>
        <v>0</v>
      </c>
      <c r="V440" s="42" t="e">
        <f t="shared" si="179"/>
        <v>#DIV/0!</v>
      </c>
      <c r="W440" s="41">
        <f t="shared" si="180"/>
        <v>0</v>
      </c>
      <c r="X440" s="43" t="e">
        <f t="shared" si="174"/>
        <v>#DIV/0!</v>
      </c>
      <c r="Y440" s="44"/>
      <c r="Z440" s="44"/>
      <c r="AA440" s="45"/>
    </row>
    <row r="441" spans="2:27" ht="14.4" customHeight="1">
      <c r="B441" s="4">
        <v>437</v>
      </c>
      <c r="C441" s="39" t="s">
        <v>765</v>
      </c>
      <c r="D441" s="5" t="str">
        <f t="shared" si="168"/>
        <v xml:space="preserve"> 273</v>
      </c>
      <c r="E441" s="6" t="s">
        <v>765</v>
      </c>
      <c r="F441" s="7">
        <f t="shared" si="169"/>
        <v>0</v>
      </c>
      <c r="G441" s="8" t="s">
        <v>21</v>
      </c>
      <c r="H441" s="8" t="s">
        <v>310</v>
      </c>
      <c r="I441" s="8" t="s">
        <v>621</v>
      </c>
      <c r="J441" s="12"/>
      <c r="K441" s="13">
        <f t="shared" si="175"/>
        <v>0</v>
      </c>
      <c r="L441" s="7"/>
      <c r="M441" s="14">
        <f t="shared" si="186"/>
        <v>0</v>
      </c>
      <c r="N441" s="15"/>
      <c r="O441" s="40">
        <f t="shared" si="176"/>
        <v>0</v>
      </c>
      <c r="P441" s="106"/>
      <c r="Q441" s="3"/>
      <c r="R441" s="37"/>
      <c r="S441" s="37">
        <f t="shared" si="178"/>
        <v>0</v>
      </c>
      <c r="T441" s="37">
        <f t="shared" si="172"/>
        <v>0</v>
      </c>
      <c r="U441" s="41">
        <f t="shared" si="173"/>
        <v>0</v>
      </c>
      <c r="V441" s="42" t="e">
        <f t="shared" si="179"/>
        <v>#DIV/0!</v>
      </c>
      <c r="W441" s="41">
        <f t="shared" si="180"/>
        <v>0</v>
      </c>
      <c r="X441" s="43" t="e">
        <f t="shared" si="174"/>
        <v>#DIV/0!</v>
      </c>
      <c r="Y441" s="46">
        <v>49438</v>
      </c>
      <c r="Z441" s="47">
        <f>T441-Y441</f>
        <v>-49438</v>
      </c>
      <c r="AA441" s="48">
        <f>Z441/Y441</f>
        <v>-1</v>
      </c>
    </row>
    <row r="442" spans="2:27" ht="14.4" customHeight="1">
      <c r="B442" s="4">
        <v>438</v>
      </c>
      <c r="C442" s="5" t="s">
        <v>67</v>
      </c>
      <c r="D442" s="5" t="str">
        <f t="shared" si="168"/>
        <v xml:space="preserve"> 192</v>
      </c>
      <c r="E442" s="6" t="s">
        <v>67</v>
      </c>
      <c r="F442" s="7">
        <f t="shared" si="169"/>
        <v>0</v>
      </c>
      <c r="G442" s="11" t="s">
        <v>21</v>
      </c>
      <c r="H442" s="11" t="s">
        <v>310</v>
      </c>
      <c r="I442" s="11" t="s">
        <v>353</v>
      </c>
      <c r="J442" s="12">
        <v>29000</v>
      </c>
      <c r="K442" s="13">
        <f t="shared" si="175"/>
        <v>4450</v>
      </c>
      <c r="L442" s="7" t="s">
        <v>24</v>
      </c>
      <c r="M442" s="14">
        <f t="shared" si="186"/>
        <v>24550</v>
      </c>
      <c r="N442" s="15">
        <f t="shared" ref="N442:N450" si="188">2000+200+600+1650</f>
        <v>4450</v>
      </c>
      <c r="O442" s="40">
        <f t="shared" si="176"/>
        <v>29000</v>
      </c>
      <c r="P442" s="106"/>
      <c r="Q442" s="3" t="s">
        <v>417</v>
      </c>
      <c r="R442" s="37"/>
      <c r="S442" s="37">
        <f t="shared" si="178"/>
        <v>29000</v>
      </c>
      <c r="T442" s="37">
        <f t="shared" si="172"/>
        <v>41428.571428571435</v>
      </c>
      <c r="U442" s="41">
        <f t="shared" si="173"/>
        <v>47346.938775510214</v>
      </c>
      <c r="V442" s="42">
        <f t="shared" si="179"/>
        <v>0.12500000000000006</v>
      </c>
      <c r="W442" s="41">
        <f t="shared" si="180"/>
        <v>47400</v>
      </c>
      <c r="X442" s="43">
        <f t="shared" si="174"/>
        <v>0.3000000000000001</v>
      </c>
      <c r="Y442" s="46">
        <v>46463</v>
      </c>
      <c r="Z442" s="47">
        <f>T442-Y442</f>
        <v>-5034.4285714285652</v>
      </c>
      <c r="AA442" s="48">
        <f>Z442/Y442</f>
        <v>-0.10835349786773486</v>
      </c>
    </row>
    <row r="443" spans="2:27" ht="14.4" customHeight="1">
      <c r="B443" s="4">
        <v>439</v>
      </c>
      <c r="C443" s="5" t="s">
        <v>482</v>
      </c>
      <c r="D443" s="5" t="str">
        <f t="shared" si="168"/>
        <v xml:space="preserve"> 730</v>
      </c>
      <c r="E443" s="6" t="s">
        <v>482</v>
      </c>
      <c r="F443" s="7">
        <f t="shared" si="169"/>
        <v>0</v>
      </c>
      <c r="G443" s="11" t="s">
        <v>299</v>
      </c>
      <c r="H443" s="11" t="s">
        <v>310</v>
      </c>
      <c r="I443" s="11" t="s">
        <v>353</v>
      </c>
      <c r="J443" s="12">
        <v>29000</v>
      </c>
      <c r="K443" s="13">
        <f t="shared" si="175"/>
        <v>4450</v>
      </c>
      <c r="L443" s="7" t="s">
        <v>24</v>
      </c>
      <c r="M443" s="14">
        <f t="shared" si="186"/>
        <v>24550</v>
      </c>
      <c r="N443" s="15">
        <f t="shared" si="188"/>
        <v>4450</v>
      </c>
      <c r="O443" s="40">
        <f t="shared" si="176"/>
        <v>29000</v>
      </c>
      <c r="P443" s="106"/>
      <c r="Q443" s="3" t="s">
        <v>417</v>
      </c>
      <c r="R443" s="37"/>
      <c r="S443" s="37">
        <f t="shared" si="178"/>
        <v>29000</v>
      </c>
      <c r="T443" s="37">
        <f t="shared" si="172"/>
        <v>41428.571428571435</v>
      </c>
      <c r="U443" s="41">
        <f t="shared" si="173"/>
        <v>47346.938775510214</v>
      </c>
      <c r="V443" s="42">
        <f t="shared" si="179"/>
        <v>0.12500000000000006</v>
      </c>
      <c r="W443" s="41">
        <f t="shared" si="180"/>
        <v>47400</v>
      </c>
      <c r="X443" s="43">
        <f t="shared" si="174"/>
        <v>0.3000000000000001</v>
      </c>
      <c r="Y443" s="44"/>
      <c r="Z443" s="44"/>
      <c r="AA443" s="44"/>
    </row>
    <row r="444" spans="2:27" ht="14.4" customHeight="1">
      <c r="B444" s="4">
        <v>440</v>
      </c>
      <c r="C444" s="5" t="s">
        <v>211</v>
      </c>
      <c r="D444" s="5" t="str">
        <f t="shared" si="168"/>
        <v xml:space="preserve"> 665</v>
      </c>
      <c r="E444" s="6" t="s">
        <v>211</v>
      </c>
      <c r="F444" s="7">
        <f t="shared" si="169"/>
        <v>0</v>
      </c>
      <c r="G444" s="11" t="s">
        <v>299</v>
      </c>
      <c r="H444" s="11" t="s">
        <v>310</v>
      </c>
      <c r="I444" s="11" t="s">
        <v>353</v>
      </c>
      <c r="J444" s="12">
        <v>29000</v>
      </c>
      <c r="K444" s="13">
        <f t="shared" si="175"/>
        <v>4450</v>
      </c>
      <c r="L444" s="7" t="s">
        <v>24</v>
      </c>
      <c r="M444" s="14">
        <f t="shared" si="186"/>
        <v>24550</v>
      </c>
      <c r="N444" s="15">
        <f t="shared" si="188"/>
        <v>4450</v>
      </c>
      <c r="O444" s="40">
        <f t="shared" si="176"/>
        <v>29000</v>
      </c>
      <c r="P444" s="106"/>
      <c r="Q444" s="3" t="s">
        <v>417</v>
      </c>
      <c r="R444" s="37"/>
      <c r="S444" s="37">
        <f t="shared" si="178"/>
        <v>29000</v>
      </c>
      <c r="T444" s="37">
        <f t="shared" si="172"/>
        <v>41428.571428571435</v>
      </c>
      <c r="U444" s="41">
        <f t="shared" si="173"/>
        <v>47346.938775510214</v>
      </c>
      <c r="V444" s="42">
        <f t="shared" si="179"/>
        <v>0.12500000000000006</v>
      </c>
      <c r="W444" s="41">
        <f t="shared" si="180"/>
        <v>47400</v>
      </c>
      <c r="X444" s="43">
        <f t="shared" si="174"/>
        <v>0.3000000000000001</v>
      </c>
      <c r="Y444" s="44"/>
      <c r="Z444" s="44"/>
      <c r="AA444" s="44"/>
    </row>
    <row r="445" spans="2:27" ht="14.4" customHeight="1">
      <c r="B445" s="4">
        <v>441</v>
      </c>
      <c r="C445" s="39" t="s">
        <v>766</v>
      </c>
      <c r="D445" s="5" t="str">
        <f t="shared" si="168"/>
        <v xml:space="preserve"> 411</v>
      </c>
      <c r="E445" s="6" t="s">
        <v>766</v>
      </c>
      <c r="F445" s="7">
        <f t="shared" si="169"/>
        <v>0</v>
      </c>
      <c r="G445" s="8" t="s">
        <v>299</v>
      </c>
      <c r="H445" s="8" t="s">
        <v>310</v>
      </c>
      <c r="I445" s="8" t="s">
        <v>767</v>
      </c>
      <c r="J445" s="12">
        <v>30000</v>
      </c>
      <c r="K445" s="13">
        <f t="shared" si="175"/>
        <v>4450</v>
      </c>
      <c r="L445" s="7" t="s">
        <v>24</v>
      </c>
      <c r="M445" s="14">
        <f t="shared" si="186"/>
        <v>25550</v>
      </c>
      <c r="N445" s="15">
        <f>2000+200+600+1650</f>
        <v>4450</v>
      </c>
      <c r="O445" s="40">
        <f t="shared" si="176"/>
        <v>30000</v>
      </c>
      <c r="P445" s="106"/>
      <c r="Q445" s="78" t="s">
        <v>1387</v>
      </c>
      <c r="R445" s="37"/>
      <c r="S445" s="37">
        <f t="shared" si="178"/>
        <v>30000</v>
      </c>
      <c r="T445" s="37">
        <f t="shared" si="172"/>
        <v>42857.142857142862</v>
      </c>
      <c r="U445" s="41">
        <f t="shared" si="173"/>
        <v>48979.591836734697</v>
      </c>
      <c r="V445" s="42">
        <f t="shared" si="179"/>
        <v>0.12499999999999994</v>
      </c>
      <c r="W445" s="41">
        <f t="shared" si="180"/>
        <v>49000</v>
      </c>
      <c r="X445" s="43">
        <f t="shared" si="174"/>
        <v>0.3000000000000001</v>
      </c>
      <c r="Y445" s="44"/>
      <c r="Z445" s="44"/>
      <c r="AA445" s="44"/>
    </row>
    <row r="446" spans="2:27" ht="14.4" customHeight="1">
      <c r="B446" s="4">
        <v>442</v>
      </c>
      <c r="C446" s="5" t="s">
        <v>210</v>
      </c>
      <c r="D446" s="5" t="str">
        <f t="shared" si="168"/>
        <v xml:space="preserve"> 710</v>
      </c>
      <c r="E446" s="6" t="s">
        <v>210</v>
      </c>
      <c r="F446" s="7">
        <f t="shared" si="169"/>
        <v>0</v>
      </c>
      <c r="G446" s="11" t="s">
        <v>299</v>
      </c>
      <c r="H446" s="11" t="s">
        <v>310</v>
      </c>
      <c r="I446" s="11" t="s">
        <v>353</v>
      </c>
      <c r="J446" s="12">
        <v>30000</v>
      </c>
      <c r="K446" s="13">
        <f t="shared" si="175"/>
        <v>4450</v>
      </c>
      <c r="L446" s="7" t="s">
        <v>24</v>
      </c>
      <c r="M446" s="14">
        <f t="shared" si="186"/>
        <v>25550</v>
      </c>
      <c r="N446" s="15">
        <f t="shared" si="188"/>
        <v>4450</v>
      </c>
      <c r="O446" s="40">
        <f t="shared" si="176"/>
        <v>30000</v>
      </c>
      <c r="P446" s="106"/>
      <c r="Q446" s="3" t="s">
        <v>417</v>
      </c>
      <c r="R446" s="37"/>
      <c r="S446" s="37">
        <f t="shared" si="178"/>
        <v>30000</v>
      </c>
      <c r="T446" s="37">
        <f t="shared" si="172"/>
        <v>42857.142857142862</v>
      </c>
      <c r="U446" s="41">
        <f t="shared" si="173"/>
        <v>48979.591836734697</v>
      </c>
      <c r="V446" s="42">
        <f t="shared" si="179"/>
        <v>0.12499999999999994</v>
      </c>
      <c r="W446" s="41">
        <f t="shared" si="180"/>
        <v>49000</v>
      </c>
      <c r="X446" s="43">
        <f t="shared" si="174"/>
        <v>0.3000000000000001</v>
      </c>
      <c r="Y446" s="44"/>
      <c r="Z446" s="44"/>
      <c r="AA446" s="45"/>
    </row>
    <row r="447" spans="2:27" ht="14.4" customHeight="1">
      <c r="B447" s="4">
        <v>443</v>
      </c>
      <c r="C447" s="5" t="s">
        <v>209</v>
      </c>
      <c r="D447" s="5" t="str">
        <f t="shared" si="168"/>
        <v xml:space="preserve"> 454</v>
      </c>
      <c r="E447" s="6" t="s">
        <v>209</v>
      </c>
      <c r="F447" s="7">
        <f t="shared" si="169"/>
        <v>0</v>
      </c>
      <c r="G447" s="11" t="s">
        <v>299</v>
      </c>
      <c r="H447" s="11" t="s">
        <v>310</v>
      </c>
      <c r="I447" s="11" t="s">
        <v>353</v>
      </c>
      <c r="J447" s="12">
        <v>29000</v>
      </c>
      <c r="K447" s="13">
        <f t="shared" si="175"/>
        <v>4450</v>
      </c>
      <c r="L447" s="7" t="s">
        <v>24</v>
      </c>
      <c r="M447" s="14">
        <f t="shared" si="186"/>
        <v>24550</v>
      </c>
      <c r="N447" s="15">
        <f t="shared" si="188"/>
        <v>4450</v>
      </c>
      <c r="O447" s="40">
        <f t="shared" si="176"/>
        <v>29000</v>
      </c>
      <c r="P447" s="106"/>
      <c r="Q447" s="3" t="s">
        <v>417</v>
      </c>
      <c r="R447" s="37"/>
      <c r="S447" s="37">
        <f t="shared" si="178"/>
        <v>29000</v>
      </c>
      <c r="T447" s="37">
        <f t="shared" si="172"/>
        <v>41428.571428571435</v>
      </c>
      <c r="U447" s="41">
        <f t="shared" si="173"/>
        <v>47346.938775510214</v>
      </c>
      <c r="V447" s="42">
        <f t="shared" si="179"/>
        <v>0.12500000000000006</v>
      </c>
      <c r="W447" s="41">
        <f t="shared" si="180"/>
        <v>47400</v>
      </c>
      <c r="X447" s="43">
        <f t="shared" si="174"/>
        <v>0.3000000000000001</v>
      </c>
      <c r="Y447" s="44"/>
      <c r="Z447" s="44"/>
      <c r="AA447" s="44"/>
    </row>
    <row r="448" spans="2:27" ht="14.4" customHeight="1">
      <c r="B448" s="4">
        <v>444</v>
      </c>
      <c r="C448" s="39" t="s">
        <v>768</v>
      </c>
      <c r="D448" s="5" t="str">
        <f t="shared" si="168"/>
        <v xml:space="preserve"> 355</v>
      </c>
      <c r="E448" s="6" t="s">
        <v>768</v>
      </c>
      <c r="F448" s="7">
        <f t="shared" si="169"/>
        <v>0</v>
      </c>
      <c r="G448" s="8" t="s">
        <v>299</v>
      </c>
      <c r="H448" s="8" t="s">
        <v>310</v>
      </c>
      <c r="I448" s="8" t="s">
        <v>769</v>
      </c>
      <c r="J448" s="12">
        <v>34000</v>
      </c>
      <c r="K448" s="13">
        <f t="shared" si="175"/>
        <v>4450</v>
      </c>
      <c r="L448" s="7"/>
      <c r="M448" s="14">
        <f t="shared" si="186"/>
        <v>29550</v>
      </c>
      <c r="N448" s="15">
        <f>2000+200+600+1650</f>
        <v>4450</v>
      </c>
      <c r="O448" s="40">
        <f t="shared" si="176"/>
        <v>34000</v>
      </c>
      <c r="P448" s="106"/>
      <c r="Q448" s="78" t="s">
        <v>1388</v>
      </c>
      <c r="R448" s="37"/>
      <c r="S448" s="37">
        <f t="shared" si="178"/>
        <v>34000</v>
      </c>
      <c r="T448" s="37">
        <f t="shared" si="172"/>
        <v>48571.428571428572</v>
      </c>
      <c r="U448" s="41">
        <f t="shared" si="173"/>
        <v>55510.204081632655</v>
      </c>
      <c r="V448" s="42">
        <f t="shared" si="179"/>
        <v>0.12500000000000003</v>
      </c>
      <c r="W448" s="41">
        <f t="shared" si="180"/>
        <v>55600</v>
      </c>
      <c r="X448" s="43">
        <f t="shared" si="174"/>
        <v>0.3</v>
      </c>
      <c r="Y448" s="44"/>
      <c r="Z448" s="44"/>
      <c r="AA448" s="44"/>
    </row>
    <row r="449" spans="2:27" ht="14.4" customHeight="1">
      <c r="B449" s="4">
        <v>445</v>
      </c>
      <c r="C449" s="39" t="s">
        <v>770</v>
      </c>
      <c r="D449" s="5" t="str">
        <f t="shared" si="168"/>
        <v xml:space="preserve"> 324</v>
      </c>
      <c r="E449" s="6" t="s">
        <v>770</v>
      </c>
      <c r="F449" s="7">
        <f t="shared" si="169"/>
        <v>0</v>
      </c>
      <c r="G449" s="8" t="s">
        <v>21</v>
      </c>
      <c r="H449" s="8" t="s">
        <v>310</v>
      </c>
      <c r="I449" s="8" t="s">
        <v>771</v>
      </c>
      <c r="J449" s="98">
        <v>27000</v>
      </c>
      <c r="K449" s="98">
        <f t="shared" si="175"/>
        <v>4600</v>
      </c>
      <c r="L449" s="115" t="s">
        <v>1439</v>
      </c>
      <c r="M449" s="98">
        <f t="shared" si="186"/>
        <v>22400</v>
      </c>
      <c r="N449" s="98">
        <f>2000+1600+800+200</f>
        <v>4600</v>
      </c>
      <c r="O449" s="112">
        <f t="shared" ref="O449" si="189">N449+M449</f>
        <v>27000</v>
      </c>
      <c r="P449" s="106"/>
      <c r="Q449" s="99" t="s">
        <v>1414</v>
      </c>
      <c r="R449" s="37"/>
      <c r="S449" s="37">
        <f t="shared" si="178"/>
        <v>27000</v>
      </c>
      <c r="T449" s="37">
        <f t="shared" si="172"/>
        <v>38571.428571428572</v>
      </c>
      <c r="U449" s="41">
        <f t="shared" si="173"/>
        <v>44081.632653061228</v>
      </c>
      <c r="V449" s="42">
        <f t="shared" si="179"/>
        <v>0.12500000000000003</v>
      </c>
      <c r="W449" s="41">
        <f t="shared" si="180"/>
        <v>44100</v>
      </c>
      <c r="X449" s="43">
        <f t="shared" si="174"/>
        <v>0.30000000000000004</v>
      </c>
      <c r="Y449" s="46">
        <v>45763</v>
      </c>
      <c r="Z449" s="47">
        <f>T449-Y449</f>
        <v>-7191.5714285714275</v>
      </c>
      <c r="AA449" s="48">
        <f>Z449/Y449</f>
        <v>-0.15714816398775053</v>
      </c>
    </row>
    <row r="450" spans="2:27" ht="14.4" customHeight="1">
      <c r="B450" s="4">
        <v>446</v>
      </c>
      <c r="C450" s="5" t="s">
        <v>214</v>
      </c>
      <c r="D450" s="5" t="str">
        <f t="shared" si="168"/>
        <v xml:space="preserve"> 719</v>
      </c>
      <c r="E450" s="6" t="s">
        <v>214</v>
      </c>
      <c r="F450" s="7">
        <f t="shared" si="169"/>
        <v>0</v>
      </c>
      <c r="G450" s="11" t="s">
        <v>299</v>
      </c>
      <c r="H450" s="11" t="s">
        <v>310</v>
      </c>
      <c r="I450" s="11" t="s">
        <v>353</v>
      </c>
      <c r="J450" s="12">
        <v>29000</v>
      </c>
      <c r="K450" s="13">
        <f t="shared" si="175"/>
        <v>4450</v>
      </c>
      <c r="L450" s="7" t="s">
        <v>24</v>
      </c>
      <c r="M450" s="14">
        <f t="shared" si="186"/>
        <v>24550</v>
      </c>
      <c r="N450" s="15">
        <f t="shared" si="188"/>
        <v>4450</v>
      </c>
      <c r="O450" s="40">
        <f t="shared" si="176"/>
        <v>29000</v>
      </c>
      <c r="P450" s="106"/>
      <c r="Q450" s="3" t="s">
        <v>417</v>
      </c>
      <c r="R450" s="37"/>
      <c r="S450" s="37">
        <f t="shared" si="178"/>
        <v>29000</v>
      </c>
      <c r="T450" s="37">
        <f t="shared" si="172"/>
        <v>41428.571428571435</v>
      </c>
      <c r="U450" s="41">
        <f t="shared" si="173"/>
        <v>47346.938775510214</v>
      </c>
      <c r="V450" s="42">
        <f t="shared" si="179"/>
        <v>0.12500000000000006</v>
      </c>
      <c r="W450" s="41">
        <f t="shared" si="180"/>
        <v>47400</v>
      </c>
      <c r="X450" s="43">
        <f t="shared" si="174"/>
        <v>0.3000000000000001</v>
      </c>
      <c r="Y450" s="44"/>
      <c r="Z450" s="44"/>
      <c r="AA450" s="44"/>
    </row>
    <row r="451" spans="2:27" ht="14.4" customHeight="1">
      <c r="B451" s="4">
        <v>447</v>
      </c>
      <c r="C451" s="39" t="s">
        <v>772</v>
      </c>
      <c r="D451" s="5" t="str">
        <f t="shared" si="168"/>
        <v xml:space="preserve"> 369</v>
      </c>
      <c r="E451" s="6" t="s">
        <v>772</v>
      </c>
      <c r="F451" s="7">
        <f t="shared" si="169"/>
        <v>0</v>
      </c>
      <c r="G451" s="8" t="s">
        <v>21</v>
      </c>
      <c r="H451" s="8" t="s">
        <v>310</v>
      </c>
      <c r="I451" s="8" t="s">
        <v>618</v>
      </c>
      <c r="J451" s="12">
        <v>28500</v>
      </c>
      <c r="K451" s="13">
        <f t="shared" si="175"/>
        <v>4450</v>
      </c>
      <c r="L451" s="7" t="s">
        <v>24</v>
      </c>
      <c r="M451" s="14">
        <f t="shared" si="186"/>
        <v>24050</v>
      </c>
      <c r="N451" s="15">
        <f>2000+1650+600+200</f>
        <v>4450</v>
      </c>
      <c r="O451" s="40">
        <f t="shared" si="176"/>
        <v>28500</v>
      </c>
      <c r="P451" s="106"/>
      <c r="Q451" s="78" t="s">
        <v>1366</v>
      </c>
      <c r="R451" s="37"/>
      <c r="S451" s="37">
        <f t="shared" si="178"/>
        <v>28500</v>
      </c>
      <c r="T451" s="37">
        <f t="shared" si="172"/>
        <v>40714.285714285717</v>
      </c>
      <c r="U451" s="41">
        <f t="shared" si="173"/>
        <v>46530.612244897966</v>
      </c>
      <c r="V451" s="42">
        <f t="shared" si="179"/>
        <v>0.12500000000000006</v>
      </c>
      <c r="W451" s="41">
        <f t="shared" si="180"/>
        <v>46600</v>
      </c>
      <c r="X451" s="43">
        <f t="shared" si="174"/>
        <v>0.30000000000000004</v>
      </c>
      <c r="Y451" s="46">
        <v>46463</v>
      </c>
      <c r="Z451" s="47">
        <f>T451-Y451</f>
        <v>-5748.7142857142826</v>
      </c>
      <c r="AA451" s="48">
        <f>Z451/Y451</f>
        <v>-0.12372671342173951</v>
      </c>
    </row>
    <row r="452" spans="2:27" ht="14.4" customHeight="1">
      <c r="B452" s="4">
        <v>448</v>
      </c>
      <c r="C452" s="5" t="s">
        <v>68</v>
      </c>
      <c r="D452" s="5" t="str">
        <f t="shared" si="168"/>
        <v xml:space="preserve"> 611</v>
      </c>
      <c r="E452" s="6" t="s">
        <v>68</v>
      </c>
      <c r="F452" s="7">
        <f t="shared" si="169"/>
        <v>0</v>
      </c>
      <c r="G452" s="11" t="s">
        <v>21</v>
      </c>
      <c r="H452" s="11" t="s">
        <v>310</v>
      </c>
      <c r="I452" s="11" t="s">
        <v>335</v>
      </c>
      <c r="J452" s="12">
        <v>25000</v>
      </c>
      <c r="K452" s="13">
        <f t="shared" si="175"/>
        <v>5100</v>
      </c>
      <c r="L452" s="7" t="s">
        <v>24</v>
      </c>
      <c r="M452" s="14">
        <f t="shared" si="186"/>
        <v>19900</v>
      </c>
      <c r="N452" s="14">
        <f>2000+200+600+1650+650</f>
        <v>5100</v>
      </c>
      <c r="O452" s="40">
        <f t="shared" si="176"/>
        <v>25000</v>
      </c>
      <c r="P452" s="106"/>
      <c r="Q452" s="3" t="s">
        <v>390</v>
      </c>
      <c r="R452" s="37"/>
      <c r="S452" s="37">
        <f t="shared" si="178"/>
        <v>25000</v>
      </c>
      <c r="T452" s="37">
        <f t="shared" si="172"/>
        <v>35714.285714285717</v>
      </c>
      <c r="U452" s="41">
        <f t="shared" si="173"/>
        <v>40816.326530612248</v>
      </c>
      <c r="V452" s="42">
        <f t="shared" si="179"/>
        <v>0.125</v>
      </c>
      <c r="W452" s="41">
        <f t="shared" si="180"/>
        <v>40900</v>
      </c>
      <c r="X452" s="43">
        <f t="shared" si="174"/>
        <v>0.30000000000000004</v>
      </c>
      <c r="Y452" s="46">
        <v>42875</v>
      </c>
      <c r="Z452" s="47">
        <f>T452-Y452</f>
        <v>-7160.7142857142826</v>
      </c>
      <c r="AA452" s="48">
        <f>Z452/Y452</f>
        <v>-0.16701374427321941</v>
      </c>
    </row>
    <row r="453" spans="2:27" ht="14.4" customHeight="1">
      <c r="B453" s="4">
        <v>449</v>
      </c>
      <c r="C453" s="5" t="s">
        <v>215</v>
      </c>
      <c r="D453" s="5" t="str">
        <f t="shared" si="168"/>
        <v xml:space="preserve"> 857</v>
      </c>
      <c r="E453" s="6" t="s">
        <v>215</v>
      </c>
      <c r="F453" s="7">
        <f t="shared" si="169"/>
        <v>0</v>
      </c>
      <c r="G453" s="11" t="s">
        <v>299</v>
      </c>
      <c r="H453" s="11" t="s">
        <v>310</v>
      </c>
      <c r="I453" s="11" t="s">
        <v>353</v>
      </c>
      <c r="J453" s="12">
        <v>31000</v>
      </c>
      <c r="K453" s="13">
        <f t="shared" ref="K453:K511" si="190">J453-M453</f>
        <v>4450</v>
      </c>
      <c r="L453" s="7" t="s">
        <v>24</v>
      </c>
      <c r="M453" s="14">
        <f t="shared" si="186"/>
        <v>26550</v>
      </c>
      <c r="N453" s="15">
        <f>2000+200+600+1650</f>
        <v>4450</v>
      </c>
      <c r="O453" s="40">
        <f t="shared" si="176"/>
        <v>31000</v>
      </c>
      <c r="P453" s="106"/>
      <c r="Q453" s="3" t="s">
        <v>417</v>
      </c>
      <c r="R453" s="37"/>
      <c r="S453" s="37">
        <f t="shared" si="178"/>
        <v>31000</v>
      </c>
      <c r="T453" s="37">
        <f t="shared" ref="T453:T511" si="191">S453/0.7</f>
        <v>44285.71428571429</v>
      </c>
      <c r="U453" s="41">
        <f t="shared" ref="U453:U511" si="192">T453/0.875</f>
        <v>50612.244897959186</v>
      </c>
      <c r="V453" s="42">
        <f t="shared" si="179"/>
        <v>0.12499999999999996</v>
      </c>
      <c r="W453" s="41">
        <f t="shared" si="180"/>
        <v>50700</v>
      </c>
      <c r="X453" s="43">
        <f t="shared" ref="X453:X511" si="193">(T453-O453)/T453</f>
        <v>0.30000000000000004</v>
      </c>
      <c r="Y453" s="44"/>
      <c r="Z453" s="44"/>
      <c r="AA453" s="44"/>
    </row>
    <row r="454" spans="2:27" ht="14.4" customHeight="1">
      <c r="B454" s="4">
        <v>450</v>
      </c>
      <c r="C454" s="5" t="s">
        <v>475</v>
      </c>
      <c r="D454" s="5" t="str">
        <f t="shared" si="168"/>
        <v xml:space="preserve"> 251</v>
      </c>
      <c r="E454" s="6" t="s">
        <v>475</v>
      </c>
      <c r="F454" s="7">
        <f t="shared" si="169"/>
        <v>0</v>
      </c>
      <c r="G454" s="11" t="s">
        <v>484</v>
      </c>
      <c r="H454" s="11" t="s">
        <v>310</v>
      </c>
      <c r="I454" s="11" t="s">
        <v>335</v>
      </c>
      <c r="J454" s="12">
        <v>26000</v>
      </c>
      <c r="K454" s="13">
        <f t="shared" si="190"/>
        <v>5100</v>
      </c>
      <c r="L454" s="7" t="s">
        <v>24</v>
      </c>
      <c r="M454" s="14">
        <f t="shared" si="186"/>
        <v>20900</v>
      </c>
      <c r="N454" s="14">
        <f>2000+200+600+1650+650</f>
        <v>5100</v>
      </c>
      <c r="O454" s="40">
        <f t="shared" ref="O454:O511" si="194">M454+N454</f>
        <v>26000</v>
      </c>
      <c r="P454" s="107"/>
      <c r="Q454" s="3" t="s">
        <v>390</v>
      </c>
      <c r="R454" s="37"/>
      <c r="S454" s="37">
        <f t="shared" si="178"/>
        <v>26000</v>
      </c>
      <c r="T454" s="37">
        <f t="shared" si="191"/>
        <v>37142.857142857145</v>
      </c>
      <c r="U454" s="41">
        <f t="shared" si="192"/>
        <v>42448.979591836738</v>
      </c>
      <c r="V454" s="42">
        <f t="shared" si="179"/>
        <v>0.12500000000000003</v>
      </c>
      <c r="W454" s="41">
        <f t="shared" si="180"/>
        <v>42500</v>
      </c>
      <c r="X454" s="43">
        <f t="shared" si="193"/>
        <v>0.30000000000000004</v>
      </c>
      <c r="Y454" s="46">
        <v>0</v>
      </c>
      <c r="Z454" s="47">
        <f>T454-Y454</f>
        <v>37142.857142857145</v>
      </c>
      <c r="AA454" s="48" t="e">
        <f>Z454/Y454</f>
        <v>#DIV/0!</v>
      </c>
    </row>
    <row r="455" spans="2:27" ht="14.4" customHeight="1">
      <c r="B455" s="4">
        <v>451</v>
      </c>
      <c r="C455" s="5" t="s">
        <v>213</v>
      </c>
      <c r="D455" s="5" t="str">
        <f t="shared" si="168"/>
        <v xml:space="preserve"> 564</v>
      </c>
      <c r="E455" s="6" t="s">
        <v>213</v>
      </c>
      <c r="F455" s="7">
        <f t="shared" si="169"/>
        <v>0</v>
      </c>
      <c r="G455" s="11" t="s">
        <v>299</v>
      </c>
      <c r="H455" s="11" t="s">
        <v>310</v>
      </c>
      <c r="I455" s="11" t="s">
        <v>353</v>
      </c>
      <c r="J455" s="12">
        <v>32500</v>
      </c>
      <c r="K455" s="13">
        <f t="shared" si="190"/>
        <v>4800</v>
      </c>
      <c r="L455" s="7" t="s">
        <v>24</v>
      </c>
      <c r="M455" s="14">
        <f t="shared" si="186"/>
        <v>27700</v>
      </c>
      <c r="N455" s="15">
        <f>2000+200+600+2000</f>
        <v>4800</v>
      </c>
      <c r="O455" s="40">
        <f t="shared" si="194"/>
        <v>32500</v>
      </c>
      <c r="P455" s="106"/>
      <c r="Q455" s="3" t="s">
        <v>418</v>
      </c>
      <c r="R455" s="37"/>
      <c r="S455" s="37">
        <f t="shared" si="178"/>
        <v>32500</v>
      </c>
      <c r="T455" s="37">
        <f t="shared" si="191"/>
        <v>46428.571428571435</v>
      </c>
      <c r="U455" s="41">
        <f t="shared" si="192"/>
        <v>53061.224489795924</v>
      </c>
      <c r="V455" s="42">
        <f t="shared" si="179"/>
        <v>0.12499999999999999</v>
      </c>
      <c r="W455" s="41">
        <f t="shared" si="180"/>
        <v>53100</v>
      </c>
      <c r="X455" s="43">
        <f t="shared" si="193"/>
        <v>0.3000000000000001</v>
      </c>
      <c r="Y455" s="44"/>
      <c r="Z455" s="44"/>
      <c r="AA455" s="45"/>
    </row>
    <row r="456" spans="2:27" ht="14.4" customHeight="1">
      <c r="B456" s="4">
        <v>452</v>
      </c>
      <c r="C456" s="39" t="s">
        <v>773</v>
      </c>
      <c r="D456" s="5" t="str">
        <f t="shared" si="168"/>
        <v xml:space="preserve"> 200</v>
      </c>
      <c r="E456" s="6" t="s">
        <v>773</v>
      </c>
      <c r="F456" s="7">
        <f t="shared" si="169"/>
        <v>0</v>
      </c>
      <c r="G456" s="8" t="s">
        <v>21</v>
      </c>
      <c r="H456" s="8" t="s">
        <v>310</v>
      </c>
      <c r="I456" s="8" t="s">
        <v>774</v>
      </c>
      <c r="J456" s="98">
        <v>28000</v>
      </c>
      <c r="K456" s="98">
        <f t="shared" si="190"/>
        <v>4600</v>
      </c>
      <c r="L456" s="115" t="s">
        <v>1439</v>
      </c>
      <c r="M456" s="98">
        <f t="shared" si="186"/>
        <v>23400</v>
      </c>
      <c r="N456" s="98">
        <f t="shared" ref="N456" si="195">2000+1600+800+200</f>
        <v>4600</v>
      </c>
      <c r="O456" s="112">
        <f>M456+N456</f>
        <v>28000</v>
      </c>
      <c r="P456" s="106"/>
      <c r="Q456" s="99" t="s">
        <v>1414</v>
      </c>
      <c r="R456" s="37"/>
      <c r="S456" s="37">
        <f t="shared" si="178"/>
        <v>28000</v>
      </c>
      <c r="T456" s="37">
        <f t="shared" si="191"/>
        <v>40000</v>
      </c>
      <c r="U456" s="41">
        <f t="shared" si="192"/>
        <v>45714.285714285717</v>
      </c>
      <c r="V456" s="42">
        <f t="shared" si="179"/>
        <v>0.12500000000000006</v>
      </c>
      <c r="W456" s="41">
        <f t="shared" si="180"/>
        <v>45800</v>
      </c>
      <c r="X456" s="43">
        <f t="shared" si="193"/>
        <v>0.3</v>
      </c>
      <c r="Y456" s="46">
        <v>47163</v>
      </c>
      <c r="Z456" s="47">
        <f>T456-Y456</f>
        <v>-7163</v>
      </c>
      <c r="AA456" s="48">
        <f>Z456/Y456</f>
        <v>-0.15187753111549307</v>
      </c>
    </row>
    <row r="457" spans="2:27" ht="14.4" customHeight="1">
      <c r="B457" s="4">
        <v>453</v>
      </c>
      <c r="C457" s="5" t="s">
        <v>212</v>
      </c>
      <c r="D457" s="5" t="str">
        <f t="shared" si="168"/>
        <v xml:space="preserve"> 599</v>
      </c>
      <c r="E457" s="6" t="s">
        <v>212</v>
      </c>
      <c r="F457" s="7">
        <f t="shared" si="169"/>
        <v>0</v>
      </c>
      <c r="G457" s="11" t="s">
        <v>299</v>
      </c>
      <c r="H457" s="11" t="s">
        <v>310</v>
      </c>
      <c r="I457" s="11" t="s">
        <v>353</v>
      </c>
      <c r="J457" s="12">
        <v>32500</v>
      </c>
      <c r="K457" s="13">
        <f t="shared" si="190"/>
        <v>4800</v>
      </c>
      <c r="L457" s="7" t="s">
        <v>24</v>
      </c>
      <c r="M457" s="14">
        <f t="shared" si="186"/>
        <v>27700</v>
      </c>
      <c r="N457" s="15">
        <f>2000+200+600+2000</f>
        <v>4800</v>
      </c>
      <c r="O457" s="40">
        <f t="shared" si="194"/>
        <v>32500</v>
      </c>
      <c r="P457" s="106"/>
      <c r="Q457" s="3" t="s">
        <v>418</v>
      </c>
      <c r="R457" s="37"/>
      <c r="S457" s="37">
        <f t="shared" si="178"/>
        <v>32500</v>
      </c>
      <c r="T457" s="37">
        <f t="shared" si="191"/>
        <v>46428.571428571435</v>
      </c>
      <c r="U457" s="41">
        <f t="shared" si="192"/>
        <v>53061.224489795924</v>
      </c>
      <c r="V457" s="42">
        <f t="shared" si="179"/>
        <v>0.12499999999999999</v>
      </c>
      <c r="W457" s="41">
        <f t="shared" si="180"/>
        <v>53100</v>
      </c>
      <c r="X457" s="43">
        <f t="shared" si="193"/>
        <v>0.3000000000000001</v>
      </c>
      <c r="Y457" s="44"/>
      <c r="Z457" s="44"/>
      <c r="AA457" s="44"/>
    </row>
    <row r="458" spans="2:27" ht="14.4" customHeight="1">
      <c r="B458" s="4">
        <v>454</v>
      </c>
      <c r="C458" s="5" t="s">
        <v>69</v>
      </c>
      <c r="D458" s="5" t="str">
        <f t="shared" si="168"/>
        <v xml:space="preserve"> 973</v>
      </c>
      <c r="E458" s="6" t="s">
        <v>69</v>
      </c>
      <c r="F458" s="7">
        <f t="shared" si="169"/>
        <v>0</v>
      </c>
      <c r="G458" s="11" t="s">
        <v>21</v>
      </c>
      <c r="H458" s="11" t="s">
        <v>308</v>
      </c>
      <c r="I458" s="11" t="s">
        <v>333</v>
      </c>
      <c r="J458" s="12">
        <f>M458</f>
        <v>58000</v>
      </c>
      <c r="K458" s="13">
        <f t="shared" si="190"/>
        <v>0</v>
      </c>
      <c r="L458" s="17" t="s">
        <v>23</v>
      </c>
      <c r="M458" s="20">
        <v>58000</v>
      </c>
      <c r="N458" s="14">
        <f>2000+200+250+600+3600</f>
        <v>6650</v>
      </c>
      <c r="O458" s="40">
        <f t="shared" si="194"/>
        <v>64650</v>
      </c>
      <c r="P458" s="107"/>
      <c r="Q458" s="3" t="s">
        <v>385</v>
      </c>
      <c r="R458" s="37"/>
      <c r="S458" s="37">
        <f t="shared" si="178"/>
        <v>64650</v>
      </c>
      <c r="T458" s="37">
        <f t="shared" si="191"/>
        <v>92357.14285714287</v>
      </c>
      <c r="U458" s="41">
        <f t="shared" si="192"/>
        <v>105551.02040816328</v>
      </c>
      <c r="V458" s="42">
        <f t="shared" si="179"/>
        <v>0.12500000000000003</v>
      </c>
      <c r="W458" s="41">
        <f t="shared" si="180"/>
        <v>105600</v>
      </c>
      <c r="X458" s="43">
        <f t="shared" si="193"/>
        <v>0.3000000000000001</v>
      </c>
      <c r="Y458" s="46">
        <v>88200</v>
      </c>
      <c r="Z458" s="47">
        <f>T458-Y458</f>
        <v>4157.1428571428696</v>
      </c>
      <c r="AA458" s="48">
        <f>Z458/Y458</f>
        <v>4.7133138969873804E-2</v>
      </c>
    </row>
    <row r="459" spans="2:27" ht="14.4" customHeight="1">
      <c r="B459" s="4">
        <v>455</v>
      </c>
      <c r="C459" s="39" t="s">
        <v>775</v>
      </c>
      <c r="D459" s="5" t="str">
        <f t="shared" si="168"/>
        <v xml:space="preserve"> 137</v>
      </c>
      <c r="E459" s="6" t="s">
        <v>775</v>
      </c>
      <c r="F459" s="7">
        <f t="shared" si="169"/>
        <v>0</v>
      </c>
      <c r="G459" s="8" t="s">
        <v>299</v>
      </c>
      <c r="H459" s="8" t="s">
        <v>308</v>
      </c>
      <c r="I459" s="8" t="s">
        <v>776</v>
      </c>
      <c r="J459" s="12"/>
      <c r="K459" s="13">
        <f t="shared" si="190"/>
        <v>0</v>
      </c>
      <c r="L459" s="7"/>
      <c r="M459" s="14">
        <f t="shared" ref="M459:M463" si="196">J459-N459</f>
        <v>0</v>
      </c>
      <c r="N459" s="14"/>
      <c r="O459" s="40">
        <f t="shared" si="194"/>
        <v>0</v>
      </c>
      <c r="P459" s="107"/>
      <c r="Q459" s="3"/>
      <c r="R459" s="37"/>
      <c r="S459" s="37">
        <f t="shared" si="178"/>
        <v>0</v>
      </c>
      <c r="T459" s="37">
        <f t="shared" si="191"/>
        <v>0</v>
      </c>
      <c r="U459" s="41">
        <f t="shared" si="192"/>
        <v>0</v>
      </c>
      <c r="V459" s="42" t="e">
        <f t="shared" si="179"/>
        <v>#DIV/0!</v>
      </c>
      <c r="W459" s="41">
        <f t="shared" si="180"/>
        <v>0</v>
      </c>
      <c r="X459" s="43" t="e">
        <f t="shared" si="193"/>
        <v>#DIV/0!</v>
      </c>
      <c r="Y459" s="46"/>
      <c r="Z459" s="47"/>
      <c r="AA459" s="48"/>
    </row>
    <row r="460" spans="2:27" ht="14.4" customHeight="1">
      <c r="B460" s="4">
        <v>456</v>
      </c>
      <c r="C460" s="5" t="s">
        <v>182</v>
      </c>
      <c r="D460" s="5" t="str">
        <f t="shared" si="168"/>
        <v xml:space="preserve"> 498</v>
      </c>
      <c r="E460" s="6" t="s">
        <v>182</v>
      </c>
      <c r="F460" s="7">
        <f t="shared" si="169"/>
        <v>0</v>
      </c>
      <c r="G460" s="11" t="s">
        <v>299</v>
      </c>
      <c r="H460" s="11" t="s">
        <v>308</v>
      </c>
      <c r="I460" s="11" t="s">
        <v>344</v>
      </c>
      <c r="J460" s="12">
        <v>50000</v>
      </c>
      <c r="K460" s="13">
        <f t="shared" si="190"/>
        <v>6650</v>
      </c>
      <c r="L460" s="7" t="s">
        <v>24</v>
      </c>
      <c r="M460" s="14">
        <f t="shared" si="196"/>
        <v>43350</v>
      </c>
      <c r="N460" s="14">
        <f>2000+200+600+250+3600</f>
        <v>6650</v>
      </c>
      <c r="O460" s="40">
        <f t="shared" si="194"/>
        <v>50000</v>
      </c>
      <c r="P460" s="106"/>
      <c r="Q460" s="3" t="s">
        <v>404</v>
      </c>
      <c r="R460" s="37">
        <v>5000</v>
      </c>
      <c r="S460" s="37">
        <f t="shared" si="178"/>
        <v>55000</v>
      </c>
      <c r="T460" s="37">
        <f t="shared" si="191"/>
        <v>78571.42857142858</v>
      </c>
      <c r="U460" s="41">
        <f t="shared" si="192"/>
        <v>89795.918367346952</v>
      </c>
      <c r="V460" s="42">
        <f t="shared" si="179"/>
        <v>0.12500000000000003</v>
      </c>
      <c r="W460" s="41">
        <f t="shared" si="180"/>
        <v>89800</v>
      </c>
      <c r="X460" s="43">
        <f t="shared" si="193"/>
        <v>0.3636363636363637</v>
      </c>
      <c r="Y460" s="44"/>
      <c r="Z460" s="44"/>
      <c r="AA460" s="44"/>
    </row>
    <row r="461" spans="2:27" ht="14.4" customHeight="1">
      <c r="B461" s="4">
        <v>457</v>
      </c>
      <c r="C461" s="39" t="s">
        <v>777</v>
      </c>
      <c r="D461" s="5" t="str">
        <f t="shared" si="168"/>
        <v xml:space="preserve"> 186</v>
      </c>
      <c r="E461" s="6" t="s">
        <v>777</v>
      </c>
      <c r="F461" s="7">
        <f t="shared" si="169"/>
        <v>0</v>
      </c>
      <c r="G461" s="8" t="s">
        <v>21</v>
      </c>
      <c r="H461" s="8" t="s">
        <v>308</v>
      </c>
      <c r="I461" s="8" t="s">
        <v>598</v>
      </c>
      <c r="J461" s="12">
        <v>67000</v>
      </c>
      <c r="K461" s="13">
        <f t="shared" si="190"/>
        <v>6400</v>
      </c>
      <c r="L461" s="7" t="s">
        <v>24</v>
      </c>
      <c r="M461" s="14">
        <f t="shared" si="196"/>
        <v>60600</v>
      </c>
      <c r="N461" s="14">
        <f>2000+200+600+3600</f>
        <v>6400</v>
      </c>
      <c r="O461" s="40">
        <f t="shared" si="194"/>
        <v>67000</v>
      </c>
      <c r="P461" s="106"/>
      <c r="Q461" s="78" t="s">
        <v>1361</v>
      </c>
      <c r="R461" s="37"/>
      <c r="S461" s="37">
        <f t="shared" si="178"/>
        <v>67000</v>
      </c>
      <c r="T461" s="37">
        <f t="shared" si="191"/>
        <v>95714.285714285725</v>
      </c>
      <c r="U461" s="41">
        <f t="shared" si="192"/>
        <v>109387.75510204083</v>
      </c>
      <c r="V461" s="42">
        <f t="shared" si="179"/>
        <v>0.125</v>
      </c>
      <c r="W461" s="41">
        <f t="shared" si="180"/>
        <v>109400</v>
      </c>
      <c r="X461" s="43">
        <f t="shared" si="193"/>
        <v>0.3000000000000001</v>
      </c>
      <c r="Y461" s="46">
        <v>87150</v>
      </c>
      <c r="Z461" s="47">
        <f>T461-Y461</f>
        <v>8564.2857142857247</v>
      </c>
      <c r="AA461" s="48">
        <f>Z461/Y461</f>
        <v>9.8270633554626785E-2</v>
      </c>
    </row>
    <row r="462" spans="2:27" ht="14.4" customHeight="1">
      <c r="B462" s="4">
        <v>458</v>
      </c>
      <c r="C462" s="5" t="s">
        <v>181</v>
      </c>
      <c r="D462" s="5" t="str">
        <f t="shared" si="168"/>
        <v xml:space="preserve"> 540</v>
      </c>
      <c r="E462" s="6" t="s">
        <v>181</v>
      </c>
      <c r="F462" s="7">
        <f t="shared" si="169"/>
        <v>0</v>
      </c>
      <c r="G462" s="11" t="s">
        <v>299</v>
      </c>
      <c r="H462" s="11" t="s">
        <v>308</v>
      </c>
      <c r="I462" s="11" t="s">
        <v>344</v>
      </c>
      <c r="J462" s="12">
        <v>50000</v>
      </c>
      <c r="K462" s="13">
        <f t="shared" si="190"/>
        <v>6650</v>
      </c>
      <c r="L462" s="7" t="s">
        <v>24</v>
      </c>
      <c r="M462" s="14">
        <f t="shared" si="196"/>
        <v>43350</v>
      </c>
      <c r="N462" s="14">
        <f>2000+200+600+250+3600</f>
        <v>6650</v>
      </c>
      <c r="O462" s="40">
        <f t="shared" si="194"/>
        <v>50000</v>
      </c>
      <c r="P462" s="106"/>
      <c r="Q462" s="3" t="s">
        <v>404</v>
      </c>
      <c r="R462" s="37">
        <v>5000</v>
      </c>
      <c r="S462" s="37">
        <f t="shared" ref="S462:S511" si="197">R462+O462</f>
        <v>55000</v>
      </c>
      <c r="T462" s="37">
        <f t="shared" si="191"/>
        <v>78571.42857142858</v>
      </c>
      <c r="U462" s="41">
        <f t="shared" si="192"/>
        <v>89795.918367346952</v>
      </c>
      <c r="V462" s="42">
        <f t="shared" ref="V462:V511" si="198">(U462-T462)/U462</f>
        <v>0.12500000000000003</v>
      </c>
      <c r="W462" s="41">
        <f t="shared" ref="W462:W511" si="199">(ROUNDUP((U462/100),0))*100</f>
        <v>89800</v>
      </c>
      <c r="X462" s="43">
        <f t="shared" si="193"/>
        <v>0.3636363636363637</v>
      </c>
      <c r="Y462" s="44"/>
      <c r="Z462" s="44"/>
      <c r="AA462" s="44"/>
    </row>
    <row r="463" spans="2:27" ht="14.4" customHeight="1">
      <c r="B463" s="4">
        <v>459</v>
      </c>
      <c r="C463" s="39" t="s">
        <v>778</v>
      </c>
      <c r="D463" s="5" t="str">
        <f t="shared" si="168"/>
        <v xml:space="preserve"> 964</v>
      </c>
      <c r="E463" s="6" t="s">
        <v>778</v>
      </c>
      <c r="F463" s="7">
        <f t="shared" si="169"/>
        <v>0</v>
      </c>
      <c r="G463" s="8" t="s">
        <v>21</v>
      </c>
      <c r="H463" s="8" t="s">
        <v>308</v>
      </c>
      <c r="I463" s="8" t="s">
        <v>779</v>
      </c>
      <c r="J463" s="98">
        <v>52000</v>
      </c>
      <c r="K463" s="98">
        <f t="shared" si="190"/>
        <v>6700</v>
      </c>
      <c r="L463" s="99" t="s">
        <v>24</v>
      </c>
      <c r="M463" s="98">
        <f>J463-N463</f>
        <v>45300</v>
      </c>
      <c r="N463" s="98">
        <f t="shared" ref="N463" si="200">2000+3450+800+200+250</f>
        <v>6700</v>
      </c>
      <c r="O463" s="112">
        <f>N463+M463</f>
        <v>52000</v>
      </c>
      <c r="P463" s="106"/>
      <c r="Q463" s="99" t="s">
        <v>1412</v>
      </c>
      <c r="R463" s="37"/>
      <c r="S463" s="37">
        <f t="shared" si="197"/>
        <v>52000</v>
      </c>
      <c r="T463" s="37">
        <f t="shared" si="191"/>
        <v>74285.71428571429</v>
      </c>
      <c r="U463" s="41">
        <f t="shared" si="192"/>
        <v>84897.959183673476</v>
      </c>
      <c r="V463" s="42">
        <f t="shared" si="198"/>
        <v>0.12500000000000003</v>
      </c>
      <c r="W463" s="41">
        <f t="shared" si="199"/>
        <v>84900</v>
      </c>
      <c r="X463" s="43">
        <f t="shared" si="193"/>
        <v>0.30000000000000004</v>
      </c>
      <c r="Y463" s="46">
        <v>74288</v>
      </c>
      <c r="Z463" s="47">
        <f>T463-Y463</f>
        <v>-2.285714285710128</v>
      </c>
      <c r="AA463" s="48">
        <f>Z463/Y463</f>
        <v>-3.0768284052742408E-5</v>
      </c>
    </row>
    <row r="464" spans="2:27" ht="14.4" customHeight="1">
      <c r="B464" s="4">
        <v>460</v>
      </c>
      <c r="C464" s="5" t="s">
        <v>136</v>
      </c>
      <c r="D464" s="5" t="str">
        <f t="shared" si="168"/>
        <v xml:space="preserve"> 493</v>
      </c>
      <c r="E464" s="6" t="s">
        <v>136</v>
      </c>
      <c r="F464" s="7">
        <f t="shared" si="169"/>
        <v>0</v>
      </c>
      <c r="G464" s="11" t="s">
        <v>299</v>
      </c>
      <c r="H464" s="11" t="s">
        <v>308</v>
      </c>
      <c r="I464" s="11" t="s">
        <v>333</v>
      </c>
      <c r="J464" s="12">
        <f>M464</f>
        <v>55000</v>
      </c>
      <c r="K464" s="13">
        <f t="shared" si="190"/>
        <v>0</v>
      </c>
      <c r="L464" s="17" t="s">
        <v>23</v>
      </c>
      <c r="M464" s="20">
        <v>55000</v>
      </c>
      <c r="N464" s="14">
        <f>2000+200+250+600+3600</f>
        <v>6650</v>
      </c>
      <c r="O464" s="40">
        <f t="shared" si="194"/>
        <v>61650</v>
      </c>
      <c r="P464" s="106"/>
      <c r="Q464" s="3" t="s">
        <v>381</v>
      </c>
      <c r="R464" s="37"/>
      <c r="S464" s="37">
        <f t="shared" si="197"/>
        <v>61650</v>
      </c>
      <c r="T464" s="37">
        <f t="shared" si="191"/>
        <v>88071.42857142858</v>
      </c>
      <c r="U464" s="41">
        <f t="shared" si="192"/>
        <v>100653.06122448981</v>
      </c>
      <c r="V464" s="42">
        <f t="shared" si="198"/>
        <v>0.12500000000000003</v>
      </c>
      <c r="W464" s="41">
        <f t="shared" si="199"/>
        <v>100700</v>
      </c>
      <c r="X464" s="43">
        <f t="shared" si="193"/>
        <v>0.30000000000000004</v>
      </c>
      <c r="Y464" s="44"/>
      <c r="Z464" s="44"/>
      <c r="AA464" s="45"/>
    </row>
    <row r="465" spans="2:27" ht="14.4" customHeight="1">
      <c r="B465" s="4">
        <v>461</v>
      </c>
      <c r="C465" s="5" t="s">
        <v>171</v>
      </c>
      <c r="D465" s="5" t="str">
        <f t="shared" si="168"/>
        <v xml:space="preserve"> 985</v>
      </c>
      <c r="E465" s="6" t="s">
        <v>171</v>
      </c>
      <c r="F465" s="7">
        <f t="shared" si="169"/>
        <v>0</v>
      </c>
      <c r="G465" s="11" t="s">
        <v>299</v>
      </c>
      <c r="H465" s="11" t="s">
        <v>308</v>
      </c>
      <c r="I465" s="11" t="s">
        <v>342</v>
      </c>
      <c r="J465" s="12">
        <v>67000</v>
      </c>
      <c r="K465" s="13">
        <f t="shared" si="190"/>
        <v>6650</v>
      </c>
      <c r="L465" s="7" t="s">
        <v>24</v>
      </c>
      <c r="M465" s="14">
        <f t="shared" ref="M465:M473" si="201">J465-N465</f>
        <v>60350</v>
      </c>
      <c r="N465" s="14">
        <f>2000+200+250+600+3600</f>
        <v>6650</v>
      </c>
      <c r="O465" s="40">
        <f t="shared" si="194"/>
        <v>67000</v>
      </c>
      <c r="P465" s="106"/>
      <c r="Q465" s="3" t="s">
        <v>399</v>
      </c>
      <c r="R465" s="37"/>
      <c r="S465" s="37">
        <f t="shared" si="197"/>
        <v>67000</v>
      </c>
      <c r="T465" s="37">
        <f t="shared" si="191"/>
        <v>95714.285714285725</v>
      </c>
      <c r="U465" s="41">
        <f t="shared" si="192"/>
        <v>109387.75510204083</v>
      </c>
      <c r="V465" s="42">
        <f t="shared" si="198"/>
        <v>0.125</v>
      </c>
      <c r="W465" s="41">
        <f t="shared" si="199"/>
        <v>109400</v>
      </c>
      <c r="X465" s="43">
        <f t="shared" si="193"/>
        <v>0.3000000000000001</v>
      </c>
      <c r="Y465" s="44"/>
      <c r="Z465" s="44"/>
      <c r="AA465" s="44"/>
    </row>
    <row r="466" spans="2:27" ht="14.4" customHeight="1">
      <c r="B466" s="4">
        <v>462</v>
      </c>
      <c r="C466" s="5" t="s">
        <v>172</v>
      </c>
      <c r="D466" s="5" t="str">
        <f t="shared" si="168"/>
        <v xml:space="preserve"> 935</v>
      </c>
      <c r="E466" s="6" t="s">
        <v>172</v>
      </c>
      <c r="F466" s="7">
        <f t="shared" si="169"/>
        <v>0</v>
      </c>
      <c r="G466" s="11" t="s">
        <v>299</v>
      </c>
      <c r="H466" s="11" t="s">
        <v>308</v>
      </c>
      <c r="I466" s="11" t="s">
        <v>342</v>
      </c>
      <c r="J466" s="12">
        <v>49000</v>
      </c>
      <c r="K466" s="13">
        <f t="shared" si="190"/>
        <v>6650</v>
      </c>
      <c r="L466" s="7" t="s">
        <v>24</v>
      </c>
      <c r="M466" s="14">
        <f t="shared" si="201"/>
        <v>42350</v>
      </c>
      <c r="N466" s="14">
        <f>2000+200+250+600+3600</f>
        <v>6650</v>
      </c>
      <c r="O466" s="40">
        <f t="shared" si="194"/>
        <v>49000</v>
      </c>
      <c r="P466" s="106"/>
      <c r="Q466" s="3" t="s">
        <v>399</v>
      </c>
      <c r="R466" s="37"/>
      <c r="S466" s="37">
        <f t="shared" si="197"/>
        <v>49000</v>
      </c>
      <c r="T466" s="37">
        <f t="shared" si="191"/>
        <v>70000</v>
      </c>
      <c r="U466" s="41">
        <f t="shared" si="192"/>
        <v>80000</v>
      </c>
      <c r="V466" s="42">
        <f t="shared" si="198"/>
        <v>0.125</v>
      </c>
      <c r="W466" s="41">
        <f t="shared" si="199"/>
        <v>80000</v>
      </c>
      <c r="X466" s="43">
        <f t="shared" si="193"/>
        <v>0.3</v>
      </c>
      <c r="Y466" s="44"/>
      <c r="Z466" s="44"/>
      <c r="AA466" s="45"/>
    </row>
    <row r="467" spans="2:27" ht="14.4" customHeight="1">
      <c r="B467" s="4">
        <v>463</v>
      </c>
      <c r="C467" s="5" t="s">
        <v>70</v>
      </c>
      <c r="D467" s="5" t="str">
        <f t="shared" si="168"/>
        <v xml:space="preserve"> 472</v>
      </c>
      <c r="E467" s="6" t="s">
        <v>70</v>
      </c>
      <c r="F467" s="7">
        <f t="shared" si="169"/>
        <v>0</v>
      </c>
      <c r="G467" s="11" t="s">
        <v>21</v>
      </c>
      <c r="H467" s="11" t="s">
        <v>308</v>
      </c>
      <c r="I467" s="11" t="s">
        <v>342</v>
      </c>
      <c r="J467" s="12">
        <v>54000</v>
      </c>
      <c r="K467" s="13">
        <f t="shared" si="190"/>
        <v>6650</v>
      </c>
      <c r="L467" s="7" t="s">
        <v>24</v>
      </c>
      <c r="M467" s="14">
        <f t="shared" si="201"/>
        <v>47350</v>
      </c>
      <c r="N467" s="14">
        <f>2000+200+250+600+3600</f>
        <v>6650</v>
      </c>
      <c r="O467" s="40">
        <f t="shared" si="194"/>
        <v>54000</v>
      </c>
      <c r="P467" s="106"/>
      <c r="Q467" s="3" t="s">
        <v>399</v>
      </c>
      <c r="R467" s="37"/>
      <c r="S467" s="37">
        <f t="shared" si="197"/>
        <v>54000</v>
      </c>
      <c r="T467" s="37">
        <f t="shared" si="191"/>
        <v>77142.857142857145</v>
      </c>
      <c r="U467" s="41">
        <f t="shared" si="192"/>
        <v>88163.265306122456</v>
      </c>
      <c r="V467" s="42">
        <f t="shared" si="198"/>
        <v>0.12500000000000003</v>
      </c>
      <c r="W467" s="41">
        <f t="shared" si="199"/>
        <v>88200</v>
      </c>
      <c r="X467" s="43">
        <f t="shared" si="193"/>
        <v>0.30000000000000004</v>
      </c>
      <c r="Y467" s="46">
        <v>75075</v>
      </c>
      <c r="Z467" s="47">
        <f>T467-Y467</f>
        <v>2067.8571428571449</v>
      </c>
      <c r="AA467" s="48">
        <f>Z467/Y467</f>
        <v>2.7543884686741859E-2</v>
      </c>
    </row>
    <row r="468" spans="2:27" ht="14.4" customHeight="1">
      <c r="B468" s="4">
        <v>464</v>
      </c>
      <c r="C468" s="5" t="s">
        <v>228</v>
      </c>
      <c r="D468" s="5" t="str">
        <f t="shared" si="168"/>
        <v xml:space="preserve"> 487</v>
      </c>
      <c r="E468" s="6" t="s">
        <v>228</v>
      </c>
      <c r="F468" s="7">
        <f t="shared" si="169"/>
        <v>0</v>
      </c>
      <c r="G468" s="11" t="s">
        <v>299</v>
      </c>
      <c r="H468" s="11" t="s">
        <v>308</v>
      </c>
      <c r="I468" s="11" t="s">
        <v>357</v>
      </c>
      <c r="J468" s="12">
        <v>133000</v>
      </c>
      <c r="K468" s="13">
        <f t="shared" si="190"/>
        <v>3050</v>
      </c>
      <c r="L468" s="7" t="s">
        <v>24</v>
      </c>
      <c r="M468" s="14">
        <f t="shared" si="201"/>
        <v>129950</v>
      </c>
      <c r="N468" s="15">
        <f>2000+200+250+600</f>
        <v>3050</v>
      </c>
      <c r="O468" s="40">
        <f t="shared" si="194"/>
        <v>133000</v>
      </c>
      <c r="P468" s="107"/>
      <c r="Q468" s="3" t="s">
        <v>428</v>
      </c>
      <c r="R468" s="37"/>
      <c r="S468" s="37">
        <f t="shared" si="197"/>
        <v>133000</v>
      </c>
      <c r="T468" s="37">
        <f t="shared" si="191"/>
        <v>190000</v>
      </c>
      <c r="U468" s="41">
        <f t="shared" si="192"/>
        <v>217142.85714285713</v>
      </c>
      <c r="V468" s="42">
        <f t="shared" si="198"/>
        <v>0.12499999999999994</v>
      </c>
      <c r="W468" s="41">
        <f t="shared" si="199"/>
        <v>217200</v>
      </c>
      <c r="X468" s="43">
        <f t="shared" si="193"/>
        <v>0.3</v>
      </c>
      <c r="Y468" s="44"/>
      <c r="Z468" s="44"/>
      <c r="AA468" s="44"/>
    </row>
    <row r="469" spans="2:27" ht="14.4" customHeight="1">
      <c r="B469" s="4">
        <v>465</v>
      </c>
      <c r="C469" s="5" t="s">
        <v>229</v>
      </c>
      <c r="D469" s="5" t="str">
        <f t="shared" si="168"/>
        <v xml:space="preserve"> 308</v>
      </c>
      <c r="E469" s="6" t="s">
        <v>229</v>
      </c>
      <c r="F469" s="7">
        <f t="shared" si="169"/>
        <v>0</v>
      </c>
      <c r="G469" s="11" t="s">
        <v>299</v>
      </c>
      <c r="H469" s="11" t="s">
        <v>308</v>
      </c>
      <c r="I469" s="11" t="s">
        <v>358</v>
      </c>
      <c r="J469" s="12">
        <v>52650</v>
      </c>
      <c r="K469" s="13">
        <f t="shared" si="190"/>
        <v>6650</v>
      </c>
      <c r="L469" s="7" t="s">
        <v>24</v>
      </c>
      <c r="M469" s="14">
        <f t="shared" si="201"/>
        <v>46000</v>
      </c>
      <c r="N469" s="15">
        <f>2000+200+250+600+3600</f>
        <v>6650</v>
      </c>
      <c r="O469" s="40">
        <f t="shared" si="194"/>
        <v>52650</v>
      </c>
      <c r="P469" s="107"/>
      <c r="Q469" s="3" t="s">
        <v>399</v>
      </c>
      <c r="R469" s="37"/>
      <c r="S469" s="37">
        <f t="shared" si="197"/>
        <v>52650</v>
      </c>
      <c r="T469" s="37">
        <f t="shared" si="191"/>
        <v>75214.285714285725</v>
      </c>
      <c r="U469" s="41">
        <f t="shared" si="192"/>
        <v>85959.183673469393</v>
      </c>
      <c r="V469" s="42">
        <f t="shared" si="198"/>
        <v>0.12499999999999993</v>
      </c>
      <c r="W469" s="41">
        <f t="shared" si="199"/>
        <v>86000</v>
      </c>
      <c r="X469" s="43">
        <f t="shared" si="193"/>
        <v>0.3000000000000001</v>
      </c>
      <c r="Y469" s="44"/>
      <c r="Z469" s="44"/>
      <c r="AA469" s="45"/>
    </row>
    <row r="470" spans="2:27" ht="14.4" customHeight="1">
      <c r="B470" s="4">
        <v>466</v>
      </c>
      <c r="C470" s="39" t="s">
        <v>780</v>
      </c>
      <c r="D470" s="5" t="str">
        <f t="shared" si="168"/>
        <v xml:space="preserve"> 727</v>
      </c>
      <c r="E470" s="6" t="s">
        <v>780</v>
      </c>
      <c r="F470" s="7">
        <f t="shared" si="169"/>
        <v>0</v>
      </c>
      <c r="G470" s="8" t="s">
        <v>21</v>
      </c>
      <c r="H470" s="8" t="s">
        <v>308</v>
      </c>
      <c r="I470" s="8" t="s">
        <v>742</v>
      </c>
      <c r="J470" s="12">
        <f>M470</f>
        <v>53000</v>
      </c>
      <c r="K470" s="13">
        <f t="shared" si="190"/>
        <v>0</v>
      </c>
      <c r="L470" s="17" t="s">
        <v>23</v>
      </c>
      <c r="M470" s="18">
        <v>53000</v>
      </c>
      <c r="N470" s="15">
        <f>2000+600+200+250+3600</f>
        <v>6650</v>
      </c>
      <c r="O470" s="40">
        <f t="shared" si="194"/>
        <v>59650</v>
      </c>
      <c r="P470" s="107"/>
      <c r="Q470" s="78" t="s">
        <v>1371</v>
      </c>
      <c r="R470" s="37"/>
      <c r="S470" s="37">
        <f t="shared" si="197"/>
        <v>59650</v>
      </c>
      <c r="T470" s="37">
        <f t="shared" si="191"/>
        <v>85214.285714285725</v>
      </c>
      <c r="U470" s="41">
        <f t="shared" si="192"/>
        <v>97387.755102040828</v>
      </c>
      <c r="V470" s="42">
        <f t="shared" si="198"/>
        <v>0.125</v>
      </c>
      <c r="W470" s="41">
        <f t="shared" si="199"/>
        <v>97400</v>
      </c>
      <c r="X470" s="43">
        <f t="shared" si="193"/>
        <v>0.3000000000000001</v>
      </c>
      <c r="Y470" s="46">
        <v>79625</v>
      </c>
      <c r="Z470" s="47">
        <f t="shared" ref="Z470:Z471" si="202">T470-Y470</f>
        <v>5589.2857142857247</v>
      </c>
      <c r="AA470" s="48">
        <f t="shared" ref="AA470:AA471" si="203">Z470/Y470</f>
        <v>7.0195111011437675E-2</v>
      </c>
    </row>
    <row r="471" spans="2:27" ht="14.4" customHeight="1">
      <c r="B471" s="4">
        <v>467</v>
      </c>
      <c r="C471" s="39" t="s">
        <v>781</v>
      </c>
      <c r="D471" s="5" t="str">
        <f t="shared" si="168"/>
        <v xml:space="preserve"> 682</v>
      </c>
      <c r="E471" s="6" t="s">
        <v>781</v>
      </c>
      <c r="F471" s="7">
        <f t="shared" si="169"/>
        <v>0</v>
      </c>
      <c r="G471" s="8" t="s">
        <v>21</v>
      </c>
      <c r="H471" s="8" t="s">
        <v>308</v>
      </c>
      <c r="I471" s="8" t="s">
        <v>732</v>
      </c>
      <c r="J471" s="98">
        <v>47500</v>
      </c>
      <c r="K471" s="98">
        <f t="shared" si="190"/>
        <v>0</v>
      </c>
      <c r="L471" s="115" t="s">
        <v>1438</v>
      </c>
      <c r="M471" s="97">
        <f t="shared" ref="M471" si="204">J471</f>
        <v>47500</v>
      </c>
      <c r="N471" s="98">
        <f t="shared" ref="N471" si="205">2000+3450+800+200+250</f>
        <v>6700</v>
      </c>
      <c r="O471" s="112">
        <f>N471+M471</f>
        <v>54200</v>
      </c>
      <c r="P471" s="106"/>
      <c r="Q471" s="99" t="s">
        <v>1412</v>
      </c>
      <c r="R471" s="37"/>
      <c r="S471" s="37">
        <f t="shared" si="197"/>
        <v>54200</v>
      </c>
      <c r="T471" s="37">
        <f t="shared" si="191"/>
        <v>77428.571428571435</v>
      </c>
      <c r="U471" s="41">
        <f t="shared" si="192"/>
        <v>88489.795918367352</v>
      </c>
      <c r="V471" s="42">
        <f t="shared" si="198"/>
        <v>0.12499999999999999</v>
      </c>
      <c r="W471" s="41">
        <f t="shared" si="199"/>
        <v>88500</v>
      </c>
      <c r="X471" s="43">
        <f t="shared" si="193"/>
        <v>0.30000000000000004</v>
      </c>
      <c r="Y471" s="46">
        <v>80325</v>
      </c>
      <c r="Z471" s="47">
        <f t="shared" si="202"/>
        <v>-2896.4285714285652</v>
      </c>
      <c r="AA471" s="48">
        <f t="shared" si="203"/>
        <v>-3.6058867991641021E-2</v>
      </c>
    </row>
    <row r="472" spans="2:27" ht="14.4" customHeight="1">
      <c r="B472" s="4">
        <v>468</v>
      </c>
      <c r="C472" s="5" t="s">
        <v>173</v>
      </c>
      <c r="D472" s="5" t="str">
        <f t="shared" si="168"/>
        <v xml:space="preserve"> 783</v>
      </c>
      <c r="E472" s="6" t="s">
        <v>173</v>
      </c>
      <c r="F472" s="7">
        <f t="shared" si="169"/>
        <v>0</v>
      </c>
      <c r="G472" s="11" t="s">
        <v>299</v>
      </c>
      <c r="H472" s="11" t="s">
        <v>308</v>
      </c>
      <c r="I472" s="11" t="s">
        <v>342</v>
      </c>
      <c r="J472" s="12">
        <v>52500</v>
      </c>
      <c r="K472" s="13">
        <f t="shared" si="190"/>
        <v>6650</v>
      </c>
      <c r="L472" s="7" t="s">
        <v>24</v>
      </c>
      <c r="M472" s="14">
        <f t="shared" si="201"/>
        <v>45850</v>
      </c>
      <c r="N472" s="14">
        <f>2000+200+250+600+3600</f>
        <v>6650</v>
      </c>
      <c r="O472" s="40">
        <f t="shared" si="194"/>
        <v>52500</v>
      </c>
      <c r="P472" s="105"/>
      <c r="Q472" s="3" t="s">
        <v>399</v>
      </c>
      <c r="R472" s="37"/>
      <c r="S472" s="37">
        <f t="shared" si="197"/>
        <v>52500</v>
      </c>
      <c r="T472" s="37">
        <f t="shared" si="191"/>
        <v>75000</v>
      </c>
      <c r="U472" s="41">
        <f t="shared" si="192"/>
        <v>85714.28571428571</v>
      </c>
      <c r="V472" s="42">
        <f t="shared" si="198"/>
        <v>0.12499999999999996</v>
      </c>
      <c r="W472" s="41">
        <f t="shared" si="199"/>
        <v>85800</v>
      </c>
      <c r="X472" s="43">
        <f t="shared" si="193"/>
        <v>0.3</v>
      </c>
      <c r="Y472" s="44"/>
      <c r="Z472" s="44"/>
      <c r="AA472" s="44"/>
    </row>
    <row r="473" spans="2:27" ht="14.4" customHeight="1">
      <c r="B473" s="4">
        <v>469</v>
      </c>
      <c r="C473" s="5" t="s">
        <v>230</v>
      </c>
      <c r="D473" s="5" t="str">
        <f t="shared" si="168"/>
        <v xml:space="preserve"> 363</v>
      </c>
      <c r="E473" s="6" t="s">
        <v>230</v>
      </c>
      <c r="F473" s="7">
        <f t="shared" si="169"/>
        <v>0</v>
      </c>
      <c r="G473" s="11" t="s">
        <v>299</v>
      </c>
      <c r="H473" s="11" t="s">
        <v>308</v>
      </c>
      <c r="I473" s="11" t="s">
        <v>358</v>
      </c>
      <c r="J473" s="12">
        <v>55550</v>
      </c>
      <c r="K473" s="13">
        <f t="shared" si="190"/>
        <v>6050</v>
      </c>
      <c r="L473" s="7" t="s">
        <v>24</v>
      </c>
      <c r="M473" s="14">
        <f t="shared" si="201"/>
        <v>49500</v>
      </c>
      <c r="N473" s="15">
        <f>2000+200+250+600+3000</f>
        <v>6050</v>
      </c>
      <c r="O473" s="40">
        <f t="shared" si="194"/>
        <v>55550</v>
      </c>
      <c r="P473" s="106"/>
      <c r="Q473" s="3" t="s">
        <v>401</v>
      </c>
      <c r="R473" s="37"/>
      <c r="S473" s="37">
        <f t="shared" si="197"/>
        <v>55550</v>
      </c>
      <c r="T473" s="37">
        <f t="shared" si="191"/>
        <v>79357.142857142855</v>
      </c>
      <c r="U473" s="41">
        <f t="shared" si="192"/>
        <v>90693.8775510204</v>
      </c>
      <c r="V473" s="42">
        <f t="shared" si="198"/>
        <v>0.12499999999999994</v>
      </c>
      <c r="W473" s="41">
        <f t="shared" si="199"/>
        <v>90700</v>
      </c>
      <c r="X473" s="43">
        <f t="shared" si="193"/>
        <v>0.3</v>
      </c>
      <c r="Y473" s="44"/>
      <c r="Z473" s="44"/>
      <c r="AA473" s="44"/>
    </row>
    <row r="474" spans="2:27" ht="14.4" customHeight="1">
      <c r="B474" s="4">
        <v>470</v>
      </c>
      <c r="C474" s="5" t="s">
        <v>232</v>
      </c>
      <c r="D474" s="5" t="str">
        <f t="shared" si="168"/>
        <v xml:space="preserve"> 458</v>
      </c>
      <c r="E474" s="6" t="s">
        <v>232</v>
      </c>
      <c r="F474" s="7">
        <f t="shared" si="169"/>
        <v>0</v>
      </c>
      <c r="G474" s="11" t="s">
        <v>299</v>
      </c>
      <c r="H474" s="11" t="s">
        <v>308</v>
      </c>
      <c r="I474" s="11" t="s">
        <v>358</v>
      </c>
      <c r="J474" s="12">
        <v>46650</v>
      </c>
      <c r="K474" s="13">
        <f t="shared" si="190"/>
        <v>6650</v>
      </c>
      <c r="L474" s="7" t="s">
        <v>24</v>
      </c>
      <c r="M474" s="14">
        <f t="shared" ref="M474:M482" si="206">J474-N474</f>
        <v>40000</v>
      </c>
      <c r="N474" s="15">
        <f t="shared" ref="N474:N481" si="207">2000+200+250+600+3600</f>
        <v>6650</v>
      </c>
      <c r="O474" s="40">
        <f t="shared" si="194"/>
        <v>46650</v>
      </c>
      <c r="P474" s="106"/>
      <c r="Q474" s="3" t="s">
        <v>399</v>
      </c>
      <c r="R474" s="37"/>
      <c r="S474" s="37">
        <f t="shared" si="197"/>
        <v>46650</v>
      </c>
      <c r="T474" s="37">
        <f t="shared" si="191"/>
        <v>66642.857142857145</v>
      </c>
      <c r="U474" s="41">
        <f t="shared" si="192"/>
        <v>76163.265306122456</v>
      </c>
      <c r="V474" s="42">
        <f t="shared" si="198"/>
        <v>0.12500000000000006</v>
      </c>
      <c r="W474" s="41">
        <f t="shared" si="199"/>
        <v>76200</v>
      </c>
      <c r="X474" s="43">
        <f t="shared" si="193"/>
        <v>0.30000000000000004</v>
      </c>
      <c r="Y474" s="44"/>
      <c r="Z474" s="44"/>
      <c r="AA474" s="45"/>
    </row>
    <row r="475" spans="2:27" ht="14.4" customHeight="1">
      <c r="B475" s="4">
        <v>471</v>
      </c>
      <c r="C475" s="5" t="s">
        <v>231</v>
      </c>
      <c r="D475" s="5" t="str">
        <f t="shared" si="168"/>
        <v xml:space="preserve"> 804</v>
      </c>
      <c r="E475" s="6" t="s">
        <v>231</v>
      </c>
      <c r="F475" s="7">
        <f t="shared" si="169"/>
        <v>0</v>
      </c>
      <c r="G475" s="11" t="s">
        <v>299</v>
      </c>
      <c r="H475" s="11" t="s">
        <v>308</v>
      </c>
      <c r="I475" s="11" t="s">
        <v>358</v>
      </c>
      <c r="J475" s="12">
        <v>55650</v>
      </c>
      <c r="K475" s="13">
        <f t="shared" si="190"/>
        <v>6650</v>
      </c>
      <c r="L475" s="7" t="s">
        <v>24</v>
      </c>
      <c r="M475" s="14">
        <f t="shared" si="206"/>
        <v>49000</v>
      </c>
      <c r="N475" s="15">
        <f t="shared" si="207"/>
        <v>6650</v>
      </c>
      <c r="O475" s="40">
        <f t="shared" si="194"/>
        <v>55650</v>
      </c>
      <c r="P475" s="106"/>
      <c r="Q475" s="3" t="s">
        <v>399</v>
      </c>
      <c r="R475" s="37"/>
      <c r="S475" s="37">
        <f t="shared" si="197"/>
        <v>55650</v>
      </c>
      <c r="T475" s="37">
        <f t="shared" si="191"/>
        <v>79500</v>
      </c>
      <c r="U475" s="41">
        <f t="shared" si="192"/>
        <v>90857.142857142855</v>
      </c>
      <c r="V475" s="42">
        <f t="shared" si="198"/>
        <v>0.12499999999999999</v>
      </c>
      <c r="W475" s="41">
        <f t="shared" si="199"/>
        <v>90900</v>
      </c>
      <c r="X475" s="43">
        <f t="shared" si="193"/>
        <v>0.3</v>
      </c>
      <c r="Y475" s="44"/>
      <c r="Z475" s="44"/>
      <c r="AA475" s="45"/>
    </row>
    <row r="476" spans="2:27" ht="14.4" customHeight="1">
      <c r="B476" s="4">
        <v>472</v>
      </c>
      <c r="C476" s="5" t="s">
        <v>174</v>
      </c>
      <c r="D476" s="5" t="str">
        <f t="shared" si="168"/>
        <v xml:space="preserve"> 687</v>
      </c>
      <c r="E476" s="6" t="s">
        <v>174</v>
      </c>
      <c r="F476" s="7">
        <f t="shared" si="169"/>
        <v>0</v>
      </c>
      <c r="G476" s="11" t="s">
        <v>299</v>
      </c>
      <c r="H476" s="11" t="s">
        <v>308</v>
      </c>
      <c r="I476" s="11" t="s">
        <v>342</v>
      </c>
      <c r="J476" s="12">
        <v>52500</v>
      </c>
      <c r="K476" s="13">
        <f t="shared" si="190"/>
        <v>6650</v>
      </c>
      <c r="L476" s="7" t="s">
        <v>24</v>
      </c>
      <c r="M476" s="14">
        <f t="shared" si="206"/>
        <v>45850</v>
      </c>
      <c r="N476" s="14">
        <f t="shared" si="207"/>
        <v>6650</v>
      </c>
      <c r="O476" s="40">
        <f t="shared" si="194"/>
        <v>52500</v>
      </c>
      <c r="P476" s="106"/>
      <c r="Q476" s="3" t="s">
        <v>399</v>
      </c>
      <c r="R476" s="37"/>
      <c r="S476" s="37">
        <f t="shared" si="197"/>
        <v>52500</v>
      </c>
      <c r="T476" s="37">
        <f t="shared" si="191"/>
        <v>75000</v>
      </c>
      <c r="U476" s="41">
        <f t="shared" si="192"/>
        <v>85714.28571428571</v>
      </c>
      <c r="V476" s="42">
        <f t="shared" si="198"/>
        <v>0.12499999999999996</v>
      </c>
      <c r="W476" s="41">
        <f t="shared" si="199"/>
        <v>85800</v>
      </c>
      <c r="X476" s="43">
        <f t="shared" si="193"/>
        <v>0.3</v>
      </c>
      <c r="Y476" s="44"/>
      <c r="Z476" s="44"/>
      <c r="AA476" s="45"/>
    </row>
    <row r="477" spans="2:27" ht="14.4" customHeight="1">
      <c r="B477" s="4">
        <v>473</v>
      </c>
      <c r="C477" s="5" t="s">
        <v>71</v>
      </c>
      <c r="D477" s="5" t="str">
        <f t="shared" si="168"/>
        <v xml:space="preserve"> 777</v>
      </c>
      <c r="E477" s="6" t="s">
        <v>71</v>
      </c>
      <c r="F477" s="7">
        <f t="shared" si="169"/>
        <v>0</v>
      </c>
      <c r="G477" s="11" t="s">
        <v>21</v>
      </c>
      <c r="H477" s="11" t="s">
        <v>308</v>
      </c>
      <c r="I477" s="11" t="s">
        <v>358</v>
      </c>
      <c r="J477" s="12">
        <v>54150</v>
      </c>
      <c r="K477" s="13">
        <f t="shared" si="190"/>
        <v>6650</v>
      </c>
      <c r="L477" s="7" t="s">
        <v>24</v>
      </c>
      <c r="M477" s="14">
        <f t="shared" si="206"/>
        <v>47500</v>
      </c>
      <c r="N477" s="15">
        <f t="shared" si="207"/>
        <v>6650</v>
      </c>
      <c r="O477" s="40">
        <f t="shared" si="194"/>
        <v>54150</v>
      </c>
      <c r="P477" s="107"/>
      <c r="Q477" s="3" t="s">
        <v>399</v>
      </c>
      <c r="R477" s="37"/>
      <c r="S477" s="37">
        <f t="shared" si="197"/>
        <v>54150</v>
      </c>
      <c r="T477" s="37">
        <f t="shared" si="191"/>
        <v>77357.142857142855</v>
      </c>
      <c r="U477" s="41">
        <f t="shared" si="192"/>
        <v>88408.163265306124</v>
      </c>
      <c r="V477" s="42">
        <f t="shared" si="198"/>
        <v>0.12500000000000003</v>
      </c>
      <c r="W477" s="41">
        <f t="shared" si="199"/>
        <v>88500</v>
      </c>
      <c r="X477" s="43">
        <f t="shared" si="193"/>
        <v>0.3</v>
      </c>
      <c r="Y477" s="46">
        <v>76738</v>
      </c>
      <c r="Z477" s="47">
        <f>T477-Y477</f>
        <v>619.14285714285506</v>
      </c>
      <c r="AA477" s="48">
        <f>Z477/Y477</f>
        <v>8.0682693990311843E-3</v>
      </c>
    </row>
    <row r="478" spans="2:27" ht="14.4" customHeight="1">
      <c r="B478" s="4">
        <v>474</v>
      </c>
      <c r="C478" s="5" t="s">
        <v>175</v>
      </c>
      <c r="D478" s="5" t="str">
        <f t="shared" si="168"/>
        <v xml:space="preserve"> 743</v>
      </c>
      <c r="E478" s="6" t="s">
        <v>175</v>
      </c>
      <c r="F478" s="7">
        <f t="shared" si="169"/>
        <v>0</v>
      </c>
      <c r="G478" s="11" t="s">
        <v>299</v>
      </c>
      <c r="H478" s="11" t="s">
        <v>308</v>
      </c>
      <c r="I478" s="11" t="s">
        <v>342</v>
      </c>
      <c r="J478" s="12">
        <v>52500</v>
      </c>
      <c r="K478" s="13">
        <f t="shared" si="190"/>
        <v>6650</v>
      </c>
      <c r="L478" s="7" t="s">
        <v>24</v>
      </c>
      <c r="M478" s="14">
        <f t="shared" si="206"/>
        <v>45850</v>
      </c>
      <c r="N478" s="14">
        <f t="shared" si="207"/>
        <v>6650</v>
      </c>
      <c r="O478" s="40">
        <f t="shared" si="194"/>
        <v>52500</v>
      </c>
      <c r="P478" s="106"/>
      <c r="Q478" s="3" t="s">
        <v>399</v>
      </c>
      <c r="R478" s="37"/>
      <c r="S478" s="37">
        <f t="shared" si="197"/>
        <v>52500</v>
      </c>
      <c r="T478" s="37">
        <f t="shared" si="191"/>
        <v>75000</v>
      </c>
      <c r="U478" s="41">
        <f t="shared" si="192"/>
        <v>85714.28571428571</v>
      </c>
      <c r="V478" s="42">
        <f t="shared" si="198"/>
        <v>0.12499999999999996</v>
      </c>
      <c r="W478" s="41">
        <f t="shared" si="199"/>
        <v>85800</v>
      </c>
      <c r="X478" s="43">
        <f t="shared" si="193"/>
        <v>0.3</v>
      </c>
      <c r="Y478" s="44"/>
      <c r="Z478" s="44"/>
      <c r="AA478" s="45"/>
    </row>
    <row r="479" spans="2:27" ht="14.4" customHeight="1">
      <c r="B479" s="4">
        <v>475</v>
      </c>
      <c r="C479" s="39" t="s">
        <v>782</v>
      </c>
      <c r="D479" s="5" t="str">
        <f t="shared" si="168"/>
        <v xml:space="preserve"> 771</v>
      </c>
      <c r="E479" s="6" t="s">
        <v>782</v>
      </c>
      <c r="F479" s="7">
        <f t="shared" si="169"/>
        <v>0</v>
      </c>
      <c r="G479" s="8" t="s">
        <v>21</v>
      </c>
      <c r="H479" s="8" t="s">
        <v>308</v>
      </c>
      <c r="I479" s="8" t="s">
        <v>783</v>
      </c>
      <c r="J479" s="98">
        <v>50000</v>
      </c>
      <c r="K479" s="98">
        <f t="shared" si="190"/>
        <v>0</v>
      </c>
      <c r="L479" s="115" t="s">
        <v>1438</v>
      </c>
      <c r="M479" s="97">
        <f t="shared" ref="M479" si="208">J479</f>
        <v>50000</v>
      </c>
      <c r="N479" s="98">
        <f t="shared" ref="N479" si="209">2000+3450+800+200+250</f>
        <v>6700</v>
      </c>
      <c r="O479" s="112">
        <f t="shared" si="194"/>
        <v>56700</v>
      </c>
      <c r="P479" s="106"/>
      <c r="Q479" s="99" t="s">
        <v>1412</v>
      </c>
      <c r="R479" s="37"/>
      <c r="S479" s="37">
        <f t="shared" si="197"/>
        <v>56700</v>
      </c>
      <c r="T479" s="37">
        <f t="shared" si="191"/>
        <v>81000</v>
      </c>
      <c r="U479" s="41">
        <f t="shared" si="192"/>
        <v>92571.428571428565</v>
      </c>
      <c r="V479" s="42">
        <f t="shared" si="198"/>
        <v>0.12499999999999994</v>
      </c>
      <c r="W479" s="41">
        <f t="shared" si="199"/>
        <v>92600</v>
      </c>
      <c r="X479" s="43">
        <f t="shared" si="193"/>
        <v>0.3</v>
      </c>
      <c r="Y479" s="46">
        <v>81025</v>
      </c>
      <c r="Z479" s="47">
        <f>T479-Y479</f>
        <v>-25</v>
      </c>
      <c r="AA479" s="48">
        <f>Z479/Y479</f>
        <v>-3.0854674483184202E-4</v>
      </c>
    </row>
    <row r="480" spans="2:27" ht="14.4" customHeight="1">
      <c r="B480" s="4">
        <v>476</v>
      </c>
      <c r="C480" s="39" t="s">
        <v>784</v>
      </c>
      <c r="D480" s="5" t="str">
        <f t="shared" si="168"/>
        <v xml:space="preserve"> 277</v>
      </c>
      <c r="E480" s="6" t="s">
        <v>784</v>
      </c>
      <c r="F480" s="7">
        <f t="shared" si="169"/>
        <v>0</v>
      </c>
      <c r="G480" s="8" t="s">
        <v>299</v>
      </c>
      <c r="H480" s="8" t="s">
        <v>308</v>
      </c>
      <c r="I480" s="8" t="s">
        <v>785</v>
      </c>
      <c r="J480" s="12"/>
      <c r="K480" s="13">
        <f t="shared" si="190"/>
        <v>0</v>
      </c>
      <c r="L480" s="7"/>
      <c r="M480" s="14">
        <f t="shared" si="206"/>
        <v>0</v>
      </c>
      <c r="N480" s="14"/>
      <c r="O480" s="40">
        <f t="shared" si="194"/>
        <v>0</v>
      </c>
      <c r="P480" s="106"/>
      <c r="Q480" s="3"/>
      <c r="R480" s="37"/>
      <c r="S480" s="37">
        <f t="shared" si="197"/>
        <v>0</v>
      </c>
      <c r="T480" s="37">
        <f t="shared" si="191"/>
        <v>0</v>
      </c>
      <c r="U480" s="41">
        <f t="shared" si="192"/>
        <v>0</v>
      </c>
      <c r="V480" s="42" t="e">
        <f t="shared" si="198"/>
        <v>#DIV/0!</v>
      </c>
      <c r="W480" s="41">
        <f t="shared" si="199"/>
        <v>0</v>
      </c>
      <c r="X480" s="43" t="e">
        <f t="shared" si="193"/>
        <v>#DIV/0!</v>
      </c>
      <c r="Y480" s="44"/>
      <c r="Z480" s="44"/>
      <c r="AA480" s="45"/>
    </row>
    <row r="481" spans="2:27" ht="14.4" customHeight="1">
      <c r="B481" s="4">
        <v>477</v>
      </c>
      <c r="C481" s="5" t="s">
        <v>72</v>
      </c>
      <c r="D481" s="5" t="str">
        <f t="shared" si="168"/>
        <v xml:space="preserve"> 786</v>
      </c>
      <c r="E481" s="6" t="s">
        <v>72</v>
      </c>
      <c r="F481" s="7">
        <f t="shared" si="169"/>
        <v>0</v>
      </c>
      <c r="G481" s="11" t="s">
        <v>21</v>
      </c>
      <c r="H481" s="11" t="s">
        <v>308</v>
      </c>
      <c r="I481" s="11" t="s">
        <v>358</v>
      </c>
      <c r="J481" s="12">
        <v>51650</v>
      </c>
      <c r="K481" s="13">
        <f t="shared" si="190"/>
        <v>6650</v>
      </c>
      <c r="L481" s="7" t="s">
        <v>24</v>
      </c>
      <c r="M481" s="14">
        <f t="shared" si="206"/>
        <v>45000</v>
      </c>
      <c r="N481" s="15">
        <f t="shared" si="207"/>
        <v>6650</v>
      </c>
      <c r="O481" s="40">
        <f t="shared" si="194"/>
        <v>51650</v>
      </c>
      <c r="P481" s="106"/>
      <c r="Q481" s="3" t="s">
        <v>399</v>
      </c>
      <c r="R481" s="37"/>
      <c r="S481" s="37">
        <f t="shared" si="197"/>
        <v>51650</v>
      </c>
      <c r="T481" s="37">
        <f t="shared" si="191"/>
        <v>73785.71428571429</v>
      </c>
      <c r="U481" s="41">
        <f t="shared" si="192"/>
        <v>84326.530612244896</v>
      </c>
      <c r="V481" s="42">
        <f t="shared" si="198"/>
        <v>0.12499999999999993</v>
      </c>
      <c r="W481" s="41">
        <f t="shared" si="199"/>
        <v>84400</v>
      </c>
      <c r="X481" s="43">
        <f t="shared" si="193"/>
        <v>0.30000000000000004</v>
      </c>
      <c r="Y481" s="46">
        <v>78225</v>
      </c>
      <c r="Z481" s="47">
        <f>T481-Y481</f>
        <v>-4439.2857142857101</v>
      </c>
      <c r="AA481" s="48">
        <f>Z481/Y481</f>
        <v>-5.6750216865269543E-2</v>
      </c>
    </row>
    <row r="482" spans="2:27" ht="14.4" customHeight="1">
      <c r="B482" s="4">
        <v>478</v>
      </c>
      <c r="C482" s="39" t="s">
        <v>786</v>
      </c>
      <c r="D482" s="5" t="str">
        <f t="shared" si="168"/>
        <v xml:space="preserve"> 808</v>
      </c>
      <c r="E482" s="6" t="s">
        <v>786</v>
      </c>
      <c r="F482" s="7">
        <f t="shared" si="169"/>
        <v>0</v>
      </c>
      <c r="G482" s="8" t="s">
        <v>21</v>
      </c>
      <c r="H482" s="8" t="s">
        <v>320</v>
      </c>
      <c r="I482" s="8" t="s">
        <v>496</v>
      </c>
      <c r="J482" s="12"/>
      <c r="K482" s="13">
        <f t="shared" si="190"/>
        <v>0</v>
      </c>
      <c r="L482" s="7"/>
      <c r="M482" s="14">
        <f t="shared" si="206"/>
        <v>0</v>
      </c>
      <c r="N482" s="15"/>
      <c r="O482" s="40">
        <f t="shared" si="194"/>
        <v>0</v>
      </c>
      <c r="P482" s="106"/>
      <c r="Q482" s="3"/>
      <c r="R482" s="37"/>
      <c r="S482" s="37">
        <f t="shared" si="197"/>
        <v>0</v>
      </c>
      <c r="T482" s="37">
        <f t="shared" si="191"/>
        <v>0</v>
      </c>
      <c r="U482" s="41">
        <f t="shared" si="192"/>
        <v>0</v>
      </c>
      <c r="V482" s="42" t="e">
        <f t="shared" si="198"/>
        <v>#DIV/0!</v>
      </c>
      <c r="W482" s="41">
        <f t="shared" si="199"/>
        <v>0</v>
      </c>
      <c r="X482" s="43" t="e">
        <f t="shared" si="193"/>
        <v>#DIV/0!</v>
      </c>
      <c r="Y482" s="46">
        <v>110075</v>
      </c>
      <c r="Z482" s="47">
        <f>T482-Y482</f>
        <v>-110075</v>
      </c>
      <c r="AA482" s="48">
        <f>Z482/Y482</f>
        <v>-1</v>
      </c>
    </row>
    <row r="483" spans="2:27" ht="14.4" customHeight="1">
      <c r="B483" s="4">
        <v>479</v>
      </c>
      <c r="C483" s="5" t="s">
        <v>108</v>
      </c>
      <c r="D483" s="5" t="str">
        <f t="shared" si="168"/>
        <v xml:space="preserve"> 976</v>
      </c>
      <c r="E483" s="6" t="s">
        <v>108</v>
      </c>
      <c r="F483" s="7">
        <f t="shared" si="169"/>
        <v>0</v>
      </c>
      <c r="G483" s="11" t="s">
        <v>21</v>
      </c>
      <c r="H483" s="11" t="s">
        <v>320</v>
      </c>
      <c r="I483" s="11" t="s">
        <v>367</v>
      </c>
      <c r="J483" s="12">
        <f>M483</f>
        <v>63000</v>
      </c>
      <c r="K483" s="13">
        <f t="shared" si="190"/>
        <v>0</v>
      </c>
      <c r="L483" s="17" t="s">
        <v>23</v>
      </c>
      <c r="M483" s="18">
        <v>63000</v>
      </c>
      <c r="N483" s="15">
        <f>2000+200+350+600+3000</f>
        <v>6150</v>
      </c>
      <c r="O483" s="40">
        <f t="shared" si="194"/>
        <v>69150</v>
      </c>
      <c r="P483" s="106"/>
      <c r="Q483" s="3" t="s">
        <v>461</v>
      </c>
      <c r="R483" s="37"/>
      <c r="S483" s="37">
        <f t="shared" si="197"/>
        <v>69150</v>
      </c>
      <c r="T483" s="37">
        <f t="shared" si="191"/>
        <v>98785.71428571429</v>
      </c>
      <c r="U483" s="41">
        <f t="shared" si="192"/>
        <v>112897.95918367348</v>
      </c>
      <c r="V483" s="42">
        <f t="shared" si="198"/>
        <v>0.12500000000000003</v>
      </c>
      <c r="W483" s="41">
        <f t="shared" si="199"/>
        <v>112900</v>
      </c>
      <c r="X483" s="43">
        <f t="shared" si="193"/>
        <v>0.30000000000000004</v>
      </c>
      <c r="Y483" s="46">
        <v>91700</v>
      </c>
      <c r="Z483" s="47">
        <f>T483-Y483</f>
        <v>7085.7142857142899</v>
      </c>
      <c r="AA483" s="48">
        <f>Z483/Y483</f>
        <v>7.7270602897647658E-2</v>
      </c>
    </row>
    <row r="484" spans="2:27" ht="14.4" customHeight="1">
      <c r="B484" s="4">
        <v>480</v>
      </c>
      <c r="C484" s="5" t="s">
        <v>1316</v>
      </c>
      <c r="D484" s="5" t="str">
        <f t="shared" si="168"/>
        <v xml:space="preserve"> 422</v>
      </c>
      <c r="E484" s="6" t="s">
        <v>1316</v>
      </c>
      <c r="F484" s="7">
        <f t="shared" si="169"/>
        <v>0</v>
      </c>
      <c r="G484" s="11" t="s">
        <v>21</v>
      </c>
      <c r="H484" s="11" t="s">
        <v>320</v>
      </c>
      <c r="I484" s="11" t="s">
        <v>496</v>
      </c>
      <c r="J484" s="12"/>
      <c r="K484" s="13">
        <f t="shared" si="190"/>
        <v>0</v>
      </c>
      <c r="L484" s="7"/>
      <c r="M484" s="14">
        <f t="shared" ref="M484:M500" si="210">J484-N484</f>
        <v>0</v>
      </c>
      <c r="N484" s="15"/>
      <c r="O484" s="40">
        <f t="shared" si="194"/>
        <v>0</v>
      </c>
      <c r="P484" s="106"/>
      <c r="Q484" s="3"/>
      <c r="R484" s="37"/>
      <c r="S484" s="37">
        <f t="shared" si="197"/>
        <v>0</v>
      </c>
      <c r="T484" s="37">
        <f t="shared" si="191"/>
        <v>0</v>
      </c>
      <c r="U484" s="41">
        <f t="shared" si="192"/>
        <v>0</v>
      </c>
      <c r="V484" s="42" t="e">
        <f t="shared" si="198"/>
        <v>#DIV/0!</v>
      </c>
      <c r="W484" s="41">
        <f t="shared" si="199"/>
        <v>0</v>
      </c>
      <c r="X484" s="43" t="e">
        <f t="shared" si="193"/>
        <v>#DIV/0!</v>
      </c>
      <c r="Y484" s="46">
        <v>110075</v>
      </c>
      <c r="Z484" s="47">
        <f>T484-Y484</f>
        <v>-110075</v>
      </c>
      <c r="AA484" s="48">
        <f>Z484/Y484</f>
        <v>-1</v>
      </c>
    </row>
    <row r="485" spans="2:27" ht="14.4" customHeight="1">
      <c r="B485" s="4">
        <v>481</v>
      </c>
      <c r="C485" s="5" t="s">
        <v>109</v>
      </c>
      <c r="D485" s="5" t="str">
        <f t="shared" si="168"/>
        <v xml:space="preserve"> 117</v>
      </c>
      <c r="E485" s="6" t="s">
        <v>109</v>
      </c>
      <c r="F485" s="7">
        <f t="shared" si="169"/>
        <v>0</v>
      </c>
      <c r="G485" s="11" t="s">
        <v>21</v>
      </c>
      <c r="H485" s="11" t="s">
        <v>320</v>
      </c>
      <c r="I485" s="11" t="s">
        <v>354</v>
      </c>
      <c r="J485" s="12">
        <v>68500</v>
      </c>
      <c r="K485" s="13">
        <f t="shared" si="190"/>
        <v>6150</v>
      </c>
      <c r="L485" s="7" t="s">
        <v>24</v>
      </c>
      <c r="M485" s="14">
        <f t="shared" si="210"/>
        <v>62350</v>
      </c>
      <c r="N485" s="15">
        <v>6150</v>
      </c>
      <c r="O485" s="40">
        <f t="shared" si="194"/>
        <v>68500</v>
      </c>
      <c r="P485" s="106"/>
      <c r="Q485" s="3" t="s">
        <v>419</v>
      </c>
      <c r="R485" s="37"/>
      <c r="S485" s="37">
        <f t="shared" si="197"/>
        <v>68500</v>
      </c>
      <c r="T485" s="37">
        <f t="shared" si="191"/>
        <v>97857.14285714287</v>
      </c>
      <c r="U485" s="41">
        <f t="shared" si="192"/>
        <v>111836.73469387756</v>
      </c>
      <c r="V485" s="42">
        <f t="shared" si="198"/>
        <v>0.12499999999999994</v>
      </c>
      <c r="W485" s="41">
        <f t="shared" si="199"/>
        <v>111900</v>
      </c>
      <c r="X485" s="43">
        <f t="shared" si="193"/>
        <v>0.3000000000000001</v>
      </c>
      <c r="Y485" s="46">
        <v>97913</v>
      </c>
      <c r="Z485" s="47">
        <f>T485-Y485</f>
        <v>-55.857142857130384</v>
      </c>
      <c r="AA485" s="48">
        <f>Z485/Y485</f>
        <v>-5.7047728960536791E-4</v>
      </c>
    </row>
    <row r="486" spans="2:27" ht="14.4" customHeight="1">
      <c r="B486" s="4">
        <v>482</v>
      </c>
      <c r="C486" s="5" t="s">
        <v>219</v>
      </c>
      <c r="D486" s="5" t="str">
        <f t="shared" si="168"/>
        <v xml:space="preserve"> 606</v>
      </c>
      <c r="E486" s="6" t="s">
        <v>219</v>
      </c>
      <c r="F486" s="7">
        <f t="shared" si="169"/>
        <v>0</v>
      </c>
      <c r="G486" s="11" t="s">
        <v>299</v>
      </c>
      <c r="H486" s="11" t="s">
        <v>320</v>
      </c>
      <c r="I486" s="11" t="s">
        <v>354</v>
      </c>
      <c r="J486" s="12">
        <v>74000</v>
      </c>
      <c r="K486" s="13">
        <f t="shared" si="190"/>
        <v>4250</v>
      </c>
      <c r="L486" s="7" t="s">
        <v>24</v>
      </c>
      <c r="M486" s="14">
        <f t="shared" si="210"/>
        <v>69750</v>
      </c>
      <c r="N486" s="15">
        <f>2000+200+350+600+300+800</f>
        <v>4250</v>
      </c>
      <c r="O486" s="40">
        <f t="shared" si="194"/>
        <v>74000</v>
      </c>
      <c r="P486" s="107"/>
      <c r="Q486" s="3" t="s">
        <v>421</v>
      </c>
      <c r="R486" s="37"/>
      <c r="S486" s="37">
        <f t="shared" si="197"/>
        <v>74000</v>
      </c>
      <c r="T486" s="37">
        <f t="shared" si="191"/>
        <v>105714.28571428572</v>
      </c>
      <c r="U486" s="41">
        <f t="shared" si="192"/>
        <v>120816.32653061226</v>
      </c>
      <c r="V486" s="42">
        <f t="shared" si="198"/>
        <v>0.12500000000000006</v>
      </c>
      <c r="W486" s="41">
        <f t="shared" si="199"/>
        <v>120900</v>
      </c>
      <c r="X486" s="43">
        <f t="shared" si="193"/>
        <v>0.30000000000000004</v>
      </c>
      <c r="Y486" s="44"/>
      <c r="Z486" s="44"/>
      <c r="AA486" s="44"/>
    </row>
    <row r="487" spans="2:27" ht="14.4" customHeight="1">
      <c r="B487" s="4">
        <v>483</v>
      </c>
      <c r="C487" s="39" t="s">
        <v>787</v>
      </c>
      <c r="D487" s="5" t="str">
        <f t="shared" si="168"/>
        <v xml:space="preserve"> 513</v>
      </c>
      <c r="E487" s="6" t="s">
        <v>787</v>
      </c>
      <c r="F487" s="7">
        <f t="shared" si="169"/>
        <v>0</v>
      </c>
      <c r="G487" s="8" t="s">
        <v>299</v>
      </c>
      <c r="H487" s="8" t="s">
        <v>320</v>
      </c>
      <c r="I487" s="8" t="s">
        <v>693</v>
      </c>
      <c r="J487" s="12">
        <v>68000</v>
      </c>
      <c r="K487" s="13">
        <f t="shared" si="190"/>
        <v>4250</v>
      </c>
      <c r="L487" s="7"/>
      <c r="M487" s="14">
        <f t="shared" si="210"/>
        <v>63750</v>
      </c>
      <c r="N487" s="15">
        <f>2000+200+350+600+300+800</f>
        <v>4250</v>
      </c>
      <c r="O487" s="40">
        <f t="shared" si="194"/>
        <v>68000</v>
      </c>
      <c r="P487" s="107"/>
      <c r="Q487" s="78" t="s">
        <v>1377</v>
      </c>
      <c r="R487" s="37"/>
      <c r="S487" s="37">
        <f t="shared" si="197"/>
        <v>68000</v>
      </c>
      <c r="T487" s="37">
        <f t="shared" si="191"/>
        <v>97142.857142857145</v>
      </c>
      <c r="U487" s="41">
        <f t="shared" si="192"/>
        <v>111020.40816326531</v>
      </c>
      <c r="V487" s="42">
        <f t="shared" si="198"/>
        <v>0.12500000000000003</v>
      </c>
      <c r="W487" s="41">
        <f t="shared" si="199"/>
        <v>111100</v>
      </c>
      <c r="X487" s="43">
        <f t="shared" si="193"/>
        <v>0.3</v>
      </c>
      <c r="Y487" s="44"/>
      <c r="Z487" s="44"/>
      <c r="AA487" s="44"/>
    </row>
    <row r="488" spans="2:27" ht="14.4" customHeight="1">
      <c r="B488" s="4">
        <v>484</v>
      </c>
      <c r="C488" s="39" t="s">
        <v>788</v>
      </c>
      <c r="D488" s="5" t="str">
        <f t="shared" si="168"/>
        <v xml:space="preserve"> 584</v>
      </c>
      <c r="E488" s="6" t="s">
        <v>788</v>
      </c>
      <c r="F488" s="7">
        <f t="shared" si="169"/>
        <v>0</v>
      </c>
      <c r="G488" s="8" t="s">
        <v>299</v>
      </c>
      <c r="H488" s="8" t="s">
        <v>320</v>
      </c>
      <c r="I488" s="8" t="s">
        <v>693</v>
      </c>
      <c r="J488" s="12">
        <v>70000</v>
      </c>
      <c r="K488" s="13">
        <f t="shared" si="190"/>
        <v>4250</v>
      </c>
      <c r="L488" s="7"/>
      <c r="M488" s="14">
        <f t="shared" si="210"/>
        <v>65750</v>
      </c>
      <c r="N488" s="15">
        <f>2000+200+350+600+300+800</f>
        <v>4250</v>
      </c>
      <c r="O488" s="40">
        <f t="shared" si="194"/>
        <v>70000</v>
      </c>
      <c r="P488" s="107"/>
      <c r="Q488" s="78" t="s">
        <v>1377</v>
      </c>
      <c r="R488" s="37"/>
      <c r="S488" s="37">
        <f t="shared" si="197"/>
        <v>70000</v>
      </c>
      <c r="T488" s="37">
        <f t="shared" si="191"/>
        <v>100000</v>
      </c>
      <c r="U488" s="41">
        <f t="shared" si="192"/>
        <v>114285.71428571429</v>
      </c>
      <c r="V488" s="42">
        <f t="shared" si="198"/>
        <v>0.12500000000000003</v>
      </c>
      <c r="W488" s="41">
        <f t="shared" si="199"/>
        <v>114300</v>
      </c>
      <c r="X488" s="43">
        <f t="shared" si="193"/>
        <v>0.3</v>
      </c>
      <c r="Y488" s="44"/>
      <c r="Z488" s="44"/>
      <c r="AA488" s="44"/>
    </row>
    <row r="489" spans="2:27" ht="14.4" customHeight="1">
      <c r="B489" s="4">
        <v>485</v>
      </c>
      <c r="C489" s="5" t="s">
        <v>217</v>
      </c>
      <c r="D489" s="5" t="str">
        <f t="shared" si="168"/>
        <v xml:space="preserve"> 589</v>
      </c>
      <c r="E489" s="6" t="s">
        <v>217</v>
      </c>
      <c r="F489" s="7">
        <f t="shared" si="169"/>
        <v>0</v>
      </c>
      <c r="G489" s="11" t="s">
        <v>299</v>
      </c>
      <c r="H489" s="11" t="s">
        <v>320</v>
      </c>
      <c r="I489" s="11" t="s">
        <v>354</v>
      </c>
      <c r="J489" s="12">
        <v>72500</v>
      </c>
      <c r="K489" s="13">
        <f t="shared" si="190"/>
        <v>4250</v>
      </c>
      <c r="L489" s="7" t="s">
        <v>24</v>
      </c>
      <c r="M489" s="14">
        <f t="shared" si="210"/>
        <v>68250</v>
      </c>
      <c r="N489" s="15">
        <f>2000+200+350+600+300+800</f>
        <v>4250</v>
      </c>
      <c r="O489" s="40">
        <f t="shared" si="194"/>
        <v>72500</v>
      </c>
      <c r="P489" s="106"/>
      <c r="Q489" s="3" t="s">
        <v>421</v>
      </c>
      <c r="R489" s="37"/>
      <c r="S489" s="37">
        <f t="shared" si="197"/>
        <v>72500</v>
      </c>
      <c r="T489" s="37">
        <f t="shared" si="191"/>
        <v>103571.42857142858</v>
      </c>
      <c r="U489" s="41">
        <f t="shared" si="192"/>
        <v>118367.34693877552</v>
      </c>
      <c r="V489" s="42">
        <f t="shared" si="198"/>
        <v>0.12499999999999999</v>
      </c>
      <c r="W489" s="41">
        <f t="shared" si="199"/>
        <v>118400</v>
      </c>
      <c r="X489" s="43">
        <f t="shared" si="193"/>
        <v>0.30000000000000004</v>
      </c>
      <c r="Y489" s="44"/>
      <c r="Z489" s="44"/>
      <c r="AA489" s="44"/>
    </row>
    <row r="490" spans="2:27" ht="14.4" customHeight="1">
      <c r="B490" s="4">
        <v>486</v>
      </c>
      <c r="C490" s="5" t="s">
        <v>218</v>
      </c>
      <c r="D490" s="5" t="str">
        <f t="shared" si="168"/>
        <v xml:space="preserve"> 992</v>
      </c>
      <c r="E490" s="6" t="s">
        <v>218</v>
      </c>
      <c r="F490" s="7">
        <f t="shared" si="169"/>
        <v>0</v>
      </c>
      <c r="G490" s="11" t="s">
        <v>299</v>
      </c>
      <c r="H490" s="11" t="s">
        <v>320</v>
      </c>
      <c r="I490" s="11" t="s">
        <v>354</v>
      </c>
      <c r="J490" s="12">
        <v>72500</v>
      </c>
      <c r="K490" s="13">
        <f t="shared" si="190"/>
        <v>4250</v>
      </c>
      <c r="L490" s="7" t="s">
        <v>24</v>
      </c>
      <c r="M490" s="14">
        <f t="shared" si="210"/>
        <v>68250</v>
      </c>
      <c r="N490" s="15">
        <f>2000+200+350+600+300+800</f>
        <v>4250</v>
      </c>
      <c r="O490" s="40">
        <f t="shared" si="194"/>
        <v>72500</v>
      </c>
      <c r="P490" s="106"/>
      <c r="Q490" s="3" t="s">
        <v>421</v>
      </c>
      <c r="R490" s="37"/>
      <c r="S490" s="37">
        <f t="shared" si="197"/>
        <v>72500</v>
      </c>
      <c r="T490" s="37">
        <f t="shared" si="191"/>
        <v>103571.42857142858</v>
      </c>
      <c r="U490" s="41">
        <f t="shared" si="192"/>
        <v>118367.34693877552</v>
      </c>
      <c r="V490" s="42">
        <f t="shared" si="198"/>
        <v>0.12499999999999999</v>
      </c>
      <c r="W490" s="41">
        <f t="shared" si="199"/>
        <v>118400</v>
      </c>
      <c r="X490" s="43">
        <f t="shared" si="193"/>
        <v>0.30000000000000004</v>
      </c>
      <c r="Y490" s="44"/>
      <c r="Z490" s="44"/>
      <c r="AA490" s="44"/>
    </row>
    <row r="491" spans="2:27" ht="14.4" customHeight="1">
      <c r="B491" s="4">
        <v>487</v>
      </c>
      <c r="C491" s="5" t="s">
        <v>73</v>
      </c>
      <c r="D491" s="5" t="str">
        <f t="shared" si="168"/>
        <v xml:space="preserve"> 229</v>
      </c>
      <c r="E491" s="6" t="s">
        <v>73</v>
      </c>
      <c r="F491" s="7">
        <f t="shared" si="169"/>
        <v>0</v>
      </c>
      <c r="G491" s="11" t="s">
        <v>21</v>
      </c>
      <c r="H491" s="11" t="s">
        <v>478</v>
      </c>
      <c r="I491" s="11" t="s">
        <v>367</v>
      </c>
      <c r="J491" s="12"/>
      <c r="K491" s="13">
        <f t="shared" si="190"/>
        <v>0</v>
      </c>
      <c r="L491" s="7"/>
      <c r="M491" s="14">
        <f t="shared" si="210"/>
        <v>0</v>
      </c>
      <c r="N491" s="15"/>
      <c r="O491" s="40">
        <f t="shared" si="194"/>
        <v>0</v>
      </c>
      <c r="P491" s="106"/>
      <c r="Q491" s="3"/>
      <c r="R491" s="37"/>
      <c r="S491" s="37">
        <f t="shared" si="197"/>
        <v>0</v>
      </c>
      <c r="T491" s="37">
        <f t="shared" si="191"/>
        <v>0</v>
      </c>
      <c r="U491" s="41">
        <f t="shared" si="192"/>
        <v>0</v>
      </c>
      <c r="V491" s="42" t="e">
        <f t="shared" si="198"/>
        <v>#DIV/0!</v>
      </c>
      <c r="W491" s="41">
        <f t="shared" si="199"/>
        <v>0</v>
      </c>
      <c r="X491" s="43" t="e">
        <f t="shared" si="193"/>
        <v>#DIV/0!</v>
      </c>
      <c r="Y491" s="46">
        <v>103075</v>
      </c>
      <c r="Z491" s="47">
        <f>T491-Y491</f>
        <v>-103075</v>
      </c>
      <c r="AA491" s="48">
        <f>Z491/Y491</f>
        <v>-1</v>
      </c>
    </row>
    <row r="492" spans="2:27" ht="14.4" customHeight="1">
      <c r="B492" s="4">
        <v>488</v>
      </c>
      <c r="C492" s="39" t="s">
        <v>789</v>
      </c>
      <c r="D492" s="5" t="str">
        <f t="shared" si="168"/>
        <v xml:space="preserve"> 966</v>
      </c>
      <c r="E492" s="6" t="s">
        <v>789</v>
      </c>
      <c r="F492" s="7">
        <f t="shared" si="169"/>
        <v>0</v>
      </c>
      <c r="G492" s="8" t="s">
        <v>299</v>
      </c>
      <c r="H492" s="8" t="s">
        <v>320</v>
      </c>
      <c r="I492" s="8" t="s">
        <v>673</v>
      </c>
      <c r="J492" s="12"/>
      <c r="K492" s="13">
        <f t="shared" si="190"/>
        <v>0</v>
      </c>
      <c r="L492" s="7"/>
      <c r="M492" s="14">
        <f t="shared" si="210"/>
        <v>0</v>
      </c>
      <c r="N492" s="15"/>
      <c r="O492" s="40">
        <f t="shared" si="194"/>
        <v>0</v>
      </c>
      <c r="P492" s="106"/>
      <c r="Q492" s="3"/>
      <c r="R492" s="37"/>
      <c r="S492" s="37">
        <f t="shared" si="197"/>
        <v>0</v>
      </c>
      <c r="T492" s="37">
        <f t="shared" si="191"/>
        <v>0</v>
      </c>
      <c r="U492" s="41">
        <f t="shared" si="192"/>
        <v>0</v>
      </c>
      <c r="V492" s="42" t="e">
        <f t="shared" si="198"/>
        <v>#DIV/0!</v>
      </c>
      <c r="W492" s="41">
        <f t="shared" si="199"/>
        <v>0</v>
      </c>
      <c r="X492" s="43" t="e">
        <f t="shared" si="193"/>
        <v>#DIV/0!</v>
      </c>
      <c r="Y492" s="46"/>
      <c r="Z492" s="47"/>
      <c r="AA492" s="48"/>
    </row>
    <row r="493" spans="2:27" ht="14.4" customHeight="1">
      <c r="B493" s="4">
        <v>489</v>
      </c>
      <c r="C493" s="39" t="s">
        <v>790</v>
      </c>
      <c r="D493" s="5" t="str">
        <f t="shared" si="168"/>
        <v xml:space="preserve"> 197</v>
      </c>
      <c r="E493" s="6" t="s">
        <v>790</v>
      </c>
      <c r="F493" s="7">
        <f t="shared" si="169"/>
        <v>0</v>
      </c>
      <c r="G493" s="8" t="s">
        <v>299</v>
      </c>
      <c r="H493" s="8" t="s">
        <v>791</v>
      </c>
      <c r="I493" s="8" t="s">
        <v>517</v>
      </c>
      <c r="J493" s="12"/>
      <c r="K493" s="13">
        <f t="shared" si="190"/>
        <v>0</v>
      </c>
      <c r="L493" s="7"/>
      <c r="M493" s="14">
        <f t="shared" si="210"/>
        <v>0</v>
      </c>
      <c r="N493" s="15"/>
      <c r="O493" s="40">
        <f t="shared" si="194"/>
        <v>0</v>
      </c>
      <c r="P493" s="106"/>
      <c r="Q493" s="3"/>
      <c r="R493" s="37"/>
      <c r="S493" s="37">
        <f t="shared" si="197"/>
        <v>0</v>
      </c>
      <c r="T493" s="37">
        <f t="shared" si="191"/>
        <v>0</v>
      </c>
      <c r="U493" s="41">
        <f t="shared" si="192"/>
        <v>0</v>
      </c>
      <c r="V493" s="42" t="e">
        <f t="shared" si="198"/>
        <v>#DIV/0!</v>
      </c>
      <c r="W493" s="41">
        <f t="shared" si="199"/>
        <v>0</v>
      </c>
      <c r="X493" s="43" t="e">
        <f t="shared" si="193"/>
        <v>#DIV/0!</v>
      </c>
      <c r="Y493" s="46"/>
      <c r="Z493" s="47"/>
      <c r="AA493" s="48"/>
    </row>
    <row r="494" spans="2:27" ht="14.4" customHeight="1">
      <c r="B494" s="4">
        <v>490</v>
      </c>
      <c r="C494" s="39" t="s">
        <v>792</v>
      </c>
      <c r="D494" s="5" t="str">
        <f t="shared" si="168"/>
        <v xml:space="preserve"> 353</v>
      </c>
      <c r="E494" s="6" t="s">
        <v>792</v>
      </c>
      <c r="F494" s="7">
        <f t="shared" si="169"/>
        <v>0</v>
      </c>
      <c r="G494" s="8" t="s">
        <v>21</v>
      </c>
      <c r="H494" s="8" t="s">
        <v>303</v>
      </c>
      <c r="I494" s="8" t="s">
        <v>686</v>
      </c>
      <c r="J494" s="98">
        <v>70000</v>
      </c>
      <c r="K494" s="98">
        <f t="shared" si="190"/>
        <v>4450</v>
      </c>
      <c r="L494" s="99" t="s">
        <v>24</v>
      </c>
      <c r="M494" s="98">
        <f>J494-N494</f>
        <v>65550</v>
      </c>
      <c r="N494" s="98">
        <f>2000+650+800+200+300+500</f>
        <v>4450</v>
      </c>
      <c r="O494" s="113">
        <f t="shared" si="194"/>
        <v>70000</v>
      </c>
      <c r="P494" s="106"/>
      <c r="Q494" s="99" t="s">
        <v>1436</v>
      </c>
      <c r="R494" s="37"/>
      <c r="S494" s="37">
        <f t="shared" si="197"/>
        <v>70000</v>
      </c>
      <c r="T494" s="37">
        <f t="shared" si="191"/>
        <v>100000</v>
      </c>
      <c r="U494" s="41">
        <f t="shared" si="192"/>
        <v>114285.71428571429</v>
      </c>
      <c r="V494" s="42">
        <f t="shared" si="198"/>
        <v>0.12500000000000003</v>
      </c>
      <c r="W494" s="41">
        <f t="shared" si="199"/>
        <v>114300</v>
      </c>
      <c r="X494" s="43">
        <f t="shared" si="193"/>
        <v>0.3</v>
      </c>
      <c r="Y494" s="46">
        <v>101500</v>
      </c>
      <c r="Z494" s="47">
        <f>T494-Y494</f>
        <v>-1500</v>
      </c>
      <c r="AA494" s="48">
        <f>Z494/Y494</f>
        <v>-1.4778325123152709E-2</v>
      </c>
    </row>
    <row r="495" spans="2:27" ht="14.4" customHeight="1">
      <c r="B495" s="4">
        <v>491</v>
      </c>
      <c r="C495" s="5" t="s">
        <v>74</v>
      </c>
      <c r="D495" s="5" t="str">
        <f t="shared" si="168"/>
        <v xml:space="preserve"> 974</v>
      </c>
      <c r="E495" s="6" t="s">
        <v>74</v>
      </c>
      <c r="F495" s="7">
        <f t="shared" si="169"/>
        <v>0</v>
      </c>
      <c r="G495" s="7" t="s">
        <v>21</v>
      </c>
      <c r="H495" s="11" t="s">
        <v>303</v>
      </c>
      <c r="I495" s="11" t="s">
        <v>331</v>
      </c>
      <c r="J495" s="12">
        <v>71000</v>
      </c>
      <c r="K495" s="13">
        <f t="shared" si="190"/>
        <v>3900</v>
      </c>
      <c r="L495" s="7" t="s">
        <v>24</v>
      </c>
      <c r="M495" s="14">
        <f t="shared" si="210"/>
        <v>67100</v>
      </c>
      <c r="N495" s="14">
        <f>2000+200+350+600+750</f>
        <v>3900</v>
      </c>
      <c r="O495" s="40">
        <f t="shared" si="194"/>
        <v>71000</v>
      </c>
      <c r="P495" s="106"/>
      <c r="Q495" s="3" t="s">
        <v>373</v>
      </c>
      <c r="R495" s="37">
        <v>5000</v>
      </c>
      <c r="S495" s="37">
        <f t="shared" si="197"/>
        <v>76000</v>
      </c>
      <c r="T495" s="37">
        <f t="shared" si="191"/>
        <v>108571.42857142858</v>
      </c>
      <c r="U495" s="41">
        <f t="shared" si="192"/>
        <v>124081.63265306123</v>
      </c>
      <c r="V495" s="42">
        <f t="shared" si="198"/>
        <v>0.12499999999999996</v>
      </c>
      <c r="W495" s="41">
        <f t="shared" si="199"/>
        <v>124100</v>
      </c>
      <c r="X495" s="43">
        <f t="shared" si="193"/>
        <v>0.34605263157894744</v>
      </c>
      <c r="Y495" s="46">
        <v>101500</v>
      </c>
      <c r="Z495" s="47">
        <f>T495-Y495</f>
        <v>7071.4285714285797</v>
      </c>
      <c r="AA495" s="48">
        <f>Z495/Y495</f>
        <v>6.9669247009148574E-2</v>
      </c>
    </row>
    <row r="496" spans="2:27" ht="14.4" customHeight="1">
      <c r="B496" s="4">
        <v>492</v>
      </c>
      <c r="C496" s="5" t="s">
        <v>216</v>
      </c>
      <c r="D496" s="5" t="str">
        <f t="shared" si="168"/>
        <v xml:space="preserve"> 469</v>
      </c>
      <c r="E496" s="6" t="s">
        <v>216</v>
      </c>
      <c r="F496" s="7">
        <f t="shared" si="169"/>
        <v>0</v>
      </c>
      <c r="G496" s="11" t="s">
        <v>299</v>
      </c>
      <c r="H496" s="11" t="s">
        <v>303</v>
      </c>
      <c r="I496" s="11" t="s">
        <v>354</v>
      </c>
      <c r="J496" s="12">
        <v>74000</v>
      </c>
      <c r="K496" s="13">
        <f t="shared" si="190"/>
        <v>4250</v>
      </c>
      <c r="L496" s="7" t="s">
        <v>24</v>
      </c>
      <c r="M496" s="14">
        <f t="shared" si="210"/>
        <v>69750</v>
      </c>
      <c r="N496" s="15">
        <f>2000+200+350+600+300+800</f>
        <v>4250</v>
      </c>
      <c r="O496" s="40">
        <f t="shared" si="194"/>
        <v>74000</v>
      </c>
      <c r="P496" s="107"/>
      <c r="Q496" s="3" t="s">
        <v>421</v>
      </c>
      <c r="R496" s="37"/>
      <c r="S496" s="37">
        <f t="shared" si="197"/>
        <v>74000</v>
      </c>
      <c r="T496" s="37">
        <f t="shared" si="191"/>
        <v>105714.28571428572</v>
      </c>
      <c r="U496" s="41">
        <f t="shared" si="192"/>
        <v>120816.32653061226</v>
      </c>
      <c r="V496" s="42">
        <f t="shared" si="198"/>
        <v>0.12500000000000006</v>
      </c>
      <c r="W496" s="41">
        <f t="shared" si="199"/>
        <v>120900</v>
      </c>
      <c r="X496" s="43">
        <f t="shared" si="193"/>
        <v>0.30000000000000004</v>
      </c>
      <c r="Y496" s="44"/>
      <c r="Z496" s="44"/>
      <c r="AA496" s="45"/>
    </row>
    <row r="497" spans="2:27" ht="14.4" customHeight="1">
      <c r="B497" s="4">
        <v>493</v>
      </c>
      <c r="C497" s="39" t="s">
        <v>793</v>
      </c>
      <c r="D497" s="5" t="str">
        <f t="shared" si="168"/>
        <v xml:space="preserve"> 715</v>
      </c>
      <c r="E497" s="6" t="s">
        <v>793</v>
      </c>
      <c r="F497" s="7">
        <f t="shared" si="169"/>
        <v>0</v>
      </c>
      <c r="G497" s="8" t="s">
        <v>299</v>
      </c>
      <c r="H497" s="8" t="s">
        <v>794</v>
      </c>
      <c r="I497" s="8" t="s">
        <v>517</v>
      </c>
      <c r="J497" s="12"/>
      <c r="K497" s="13">
        <f t="shared" si="190"/>
        <v>0</v>
      </c>
      <c r="L497" s="7"/>
      <c r="M497" s="14">
        <f t="shared" si="210"/>
        <v>0</v>
      </c>
      <c r="N497" s="15"/>
      <c r="O497" s="40">
        <f t="shared" si="194"/>
        <v>0</v>
      </c>
      <c r="P497" s="107"/>
      <c r="Q497" s="3"/>
      <c r="R497" s="37"/>
      <c r="S497" s="37">
        <f t="shared" si="197"/>
        <v>0</v>
      </c>
      <c r="T497" s="37">
        <f t="shared" si="191"/>
        <v>0</v>
      </c>
      <c r="U497" s="41">
        <f t="shared" si="192"/>
        <v>0</v>
      </c>
      <c r="V497" s="42" t="e">
        <f t="shared" si="198"/>
        <v>#DIV/0!</v>
      </c>
      <c r="W497" s="41">
        <f t="shared" si="199"/>
        <v>0</v>
      </c>
      <c r="X497" s="43" t="e">
        <f t="shared" si="193"/>
        <v>#DIV/0!</v>
      </c>
      <c r="Y497" s="44"/>
      <c r="Z497" s="44"/>
      <c r="AA497" s="45"/>
    </row>
    <row r="498" spans="2:27" ht="14.4" customHeight="1">
      <c r="B498" s="4">
        <v>494</v>
      </c>
      <c r="C498" s="39" t="s">
        <v>795</v>
      </c>
      <c r="D498" s="5" t="str">
        <f t="shared" si="168"/>
        <v xml:space="preserve"> 181</v>
      </c>
      <c r="E498" s="6" t="s">
        <v>795</v>
      </c>
      <c r="F498" s="7">
        <f t="shared" si="169"/>
        <v>0</v>
      </c>
      <c r="G498" s="8" t="s">
        <v>21</v>
      </c>
      <c r="H498" s="8" t="s">
        <v>796</v>
      </c>
      <c r="I498" s="8" t="s">
        <v>633</v>
      </c>
      <c r="J498" s="98">
        <v>48000</v>
      </c>
      <c r="K498" s="98">
        <f t="shared" si="190"/>
        <v>0</v>
      </c>
      <c r="L498" s="99" t="s">
        <v>23</v>
      </c>
      <c r="M498" s="97">
        <f t="shared" ref="M498" si="211">J498</f>
        <v>48000</v>
      </c>
      <c r="N498" s="98">
        <f>2000+650+800+200+300</f>
        <v>3950</v>
      </c>
      <c r="O498" s="112">
        <f t="shared" si="194"/>
        <v>51950</v>
      </c>
      <c r="P498" s="106"/>
      <c r="Q498" s="99" t="s">
        <v>1432</v>
      </c>
      <c r="R498" s="37"/>
      <c r="S498" s="37">
        <f t="shared" si="197"/>
        <v>51950</v>
      </c>
      <c r="T498" s="37">
        <f t="shared" si="191"/>
        <v>74214.285714285725</v>
      </c>
      <c r="U498" s="41">
        <f t="shared" si="192"/>
        <v>84816.326530612263</v>
      </c>
      <c r="V498" s="42">
        <f t="shared" si="198"/>
        <v>0.12500000000000006</v>
      </c>
      <c r="W498" s="41">
        <f t="shared" si="199"/>
        <v>84900</v>
      </c>
      <c r="X498" s="43">
        <f t="shared" si="193"/>
        <v>0.3000000000000001</v>
      </c>
      <c r="Y498" s="46">
        <v>74288</v>
      </c>
      <c r="Z498" s="47">
        <f>T498-Y498</f>
        <v>-73.71428571427532</v>
      </c>
      <c r="AA498" s="48">
        <f>Z498/Y498</f>
        <v>-9.9227716070260765E-4</v>
      </c>
    </row>
    <row r="499" spans="2:27" ht="14.4" customHeight="1">
      <c r="B499" s="4">
        <v>495</v>
      </c>
      <c r="C499" s="39" t="s">
        <v>797</v>
      </c>
      <c r="D499" s="5" t="str">
        <f t="shared" si="168"/>
        <v xml:space="preserve"> 911</v>
      </c>
      <c r="E499" s="6" t="s">
        <v>797</v>
      </c>
      <c r="F499" s="7">
        <f t="shared" si="169"/>
        <v>0</v>
      </c>
      <c r="G499" s="8" t="s">
        <v>21</v>
      </c>
      <c r="H499" s="8" t="s">
        <v>303</v>
      </c>
      <c r="I499" s="8" t="s">
        <v>496</v>
      </c>
      <c r="J499" s="12"/>
      <c r="K499" s="13">
        <f t="shared" si="190"/>
        <v>0</v>
      </c>
      <c r="L499" s="7"/>
      <c r="M499" s="14">
        <f t="shared" si="210"/>
        <v>0</v>
      </c>
      <c r="N499" s="15"/>
      <c r="O499" s="40">
        <f t="shared" si="194"/>
        <v>0</v>
      </c>
      <c r="P499" s="107"/>
      <c r="Q499" s="3"/>
      <c r="R499" s="37"/>
      <c r="S499" s="37">
        <f t="shared" si="197"/>
        <v>0</v>
      </c>
      <c r="T499" s="37">
        <f t="shared" si="191"/>
        <v>0</v>
      </c>
      <c r="U499" s="41">
        <f t="shared" si="192"/>
        <v>0</v>
      </c>
      <c r="V499" s="42" t="e">
        <f t="shared" si="198"/>
        <v>#DIV/0!</v>
      </c>
      <c r="W499" s="41">
        <f t="shared" si="199"/>
        <v>0</v>
      </c>
      <c r="X499" s="43" t="e">
        <f t="shared" si="193"/>
        <v>#DIV/0!</v>
      </c>
      <c r="Y499" s="46">
        <v>110075</v>
      </c>
      <c r="Z499" s="47">
        <f>T499-Y499</f>
        <v>-110075</v>
      </c>
      <c r="AA499" s="48">
        <f>Z499/Y499</f>
        <v>-1</v>
      </c>
    </row>
    <row r="500" spans="2:27" ht="14.4" customHeight="1">
      <c r="B500" s="4">
        <v>496</v>
      </c>
      <c r="C500" s="5" t="s">
        <v>126</v>
      </c>
      <c r="D500" s="5" t="str">
        <f t="shared" si="168"/>
        <v xml:space="preserve"> 253</v>
      </c>
      <c r="E500" s="6" t="s">
        <v>126</v>
      </c>
      <c r="F500" s="7">
        <f t="shared" si="169"/>
        <v>0</v>
      </c>
      <c r="G500" s="7" t="s">
        <v>299</v>
      </c>
      <c r="H500" s="11" t="s">
        <v>304</v>
      </c>
      <c r="I500" s="11" t="s">
        <v>331</v>
      </c>
      <c r="J500" s="12">
        <v>60000</v>
      </c>
      <c r="K500" s="13">
        <f t="shared" si="190"/>
        <v>3900</v>
      </c>
      <c r="L500" s="7" t="s">
        <v>24</v>
      </c>
      <c r="M500" s="14">
        <f t="shared" si="210"/>
        <v>56100</v>
      </c>
      <c r="N500" s="14">
        <f>2000+200+350+600+750</f>
        <v>3900</v>
      </c>
      <c r="O500" s="40">
        <f t="shared" si="194"/>
        <v>60000</v>
      </c>
      <c r="P500" s="105"/>
      <c r="Q500" s="3" t="s">
        <v>373</v>
      </c>
      <c r="R500" s="37"/>
      <c r="S500" s="37">
        <f t="shared" si="197"/>
        <v>60000</v>
      </c>
      <c r="T500" s="37">
        <f t="shared" si="191"/>
        <v>85714.285714285725</v>
      </c>
      <c r="U500" s="41">
        <f t="shared" si="192"/>
        <v>97959.183673469393</v>
      </c>
      <c r="V500" s="42">
        <f t="shared" si="198"/>
        <v>0.12499999999999994</v>
      </c>
      <c r="W500" s="41">
        <f t="shared" si="199"/>
        <v>98000</v>
      </c>
      <c r="X500" s="43">
        <f t="shared" si="193"/>
        <v>0.3000000000000001</v>
      </c>
      <c r="Y500" s="44"/>
      <c r="Z500" s="44"/>
      <c r="AA500" s="45"/>
    </row>
    <row r="501" spans="2:27" ht="14.4" customHeight="1">
      <c r="B501" s="4">
        <v>497</v>
      </c>
      <c r="C501" s="5" t="s">
        <v>252</v>
      </c>
      <c r="D501" s="5" t="str">
        <f t="shared" si="168"/>
        <v xml:space="preserve"> 346</v>
      </c>
      <c r="E501" s="6" t="s">
        <v>252</v>
      </c>
      <c r="F501" s="7">
        <f t="shared" si="169"/>
        <v>0</v>
      </c>
      <c r="G501" s="11" t="s">
        <v>299</v>
      </c>
      <c r="H501" s="11" t="s">
        <v>303</v>
      </c>
      <c r="I501" s="11" t="s">
        <v>361</v>
      </c>
      <c r="J501" s="12">
        <f>M501</f>
        <v>79000</v>
      </c>
      <c r="K501" s="13">
        <f t="shared" si="190"/>
        <v>0</v>
      </c>
      <c r="L501" s="17" t="s">
        <v>23</v>
      </c>
      <c r="M501" s="18">
        <v>79000</v>
      </c>
      <c r="N501" s="15">
        <f>2000+200+350+600+300+800</f>
        <v>4250</v>
      </c>
      <c r="O501" s="40">
        <f t="shared" si="194"/>
        <v>83250</v>
      </c>
      <c r="P501" s="106"/>
      <c r="Q501" s="3" t="s">
        <v>445</v>
      </c>
      <c r="R501" s="37"/>
      <c r="S501" s="37">
        <f t="shared" si="197"/>
        <v>83250</v>
      </c>
      <c r="T501" s="37">
        <f t="shared" si="191"/>
        <v>118928.57142857143</v>
      </c>
      <c r="U501" s="41">
        <f t="shared" si="192"/>
        <v>135918.36734693879</v>
      </c>
      <c r="V501" s="42">
        <f t="shared" si="198"/>
        <v>0.12500000000000003</v>
      </c>
      <c r="W501" s="41">
        <f t="shared" si="199"/>
        <v>136000</v>
      </c>
      <c r="X501" s="43">
        <f t="shared" si="193"/>
        <v>0.30000000000000004</v>
      </c>
      <c r="Y501" s="44"/>
      <c r="Z501" s="44"/>
      <c r="AA501" s="45"/>
    </row>
    <row r="502" spans="2:27" ht="14.4" customHeight="1">
      <c r="B502" s="4">
        <v>498</v>
      </c>
      <c r="C502" s="5" t="s">
        <v>1380</v>
      </c>
      <c r="D502" s="5" t="str">
        <f t="shared" si="168"/>
        <v xml:space="preserve"> 189</v>
      </c>
      <c r="E502" s="6" t="s">
        <v>1380</v>
      </c>
      <c r="F502" s="7">
        <f t="shared" si="169"/>
        <v>0</v>
      </c>
      <c r="G502" s="7" t="s">
        <v>299</v>
      </c>
      <c r="H502" s="11" t="s">
        <v>304</v>
      </c>
      <c r="I502" s="11" t="s">
        <v>331</v>
      </c>
      <c r="J502" s="12">
        <v>60000</v>
      </c>
      <c r="K502" s="13">
        <f t="shared" si="190"/>
        <v>3900</v>
      </c>
      <c r="L502" s="7" t="s">
        <v>24</v>
      </c>
      <c r="M502" s="14">
        <f t="shared" ref="M502:M505" si="212">J502-N502</f>
        <v>56100</v>
      </c>
      <c r="N502" s="14">
        <f>2000+200+350+600+750</f>
        <v>3900</v>
      </c>
      <c r="O502" s="40">
        <f t="shared" si="194"/>
        <v>60000</v>
      </c>
      <c r="P502" s="106"/>
      <c r="Q502" s="3" t="s">
        <v>373</v>
      </c>
      <c r="R502" s="37"/>
      <c r="S502" s="37">
        <f t="shared" si="197"/>
        <v>60000</v>
      </c>
      <c r="T502" s="37">
        <f t="shared" si="191"/>
        <v>85714.285714285725</v>
      </c>
      <c r="U502" s="41">
        <f t="shared" si="192"/>
        <v>97959.183673469393</v>
      </c>
      <c r="V502" s="42">
        <f t="shared" si="198"/>
        <v>0.12499999999999994</v>
      </c>
      <c r="W502" s="41">
        <f t="shared" si="199"/>
        <v>98000</v>
      </c>
      <c r="X502" s="43">
        <f t="shared" si="193"/>
        <v>0.3000000000000001</v>
      </c>
      <c r="Y502" s="44"/>
      <c r="Z502" s="44"/>
      <c r="AA502" s="45"/>
    </row>
    <row r="503" spans="2:27" ht="14.4" customHeight="1">
      <c r="B503" s="4">
        <v>499</v>
      </c>
      <c r="C503" s="5" t="s">
        <v>483</v>
      </c>
      <c r="D503" s="5" t="str">
        <f t="shared" si="168"/>
        <v xml:space="preserve"> 340</v>
      </c>
      <c r="E503" s="6" t="s">
        <v>483</v>
      </c>
      <c r="F503" s="7">
        <f t="shared" si="169"/>
        <v>0</v>
      </c>
      <c r="G503" s="11" t="s">
        <v>299</v>
      </c>
      <c r="H503" s="11" t="s">
        <v>303</v>
      </c>
      <c r="I503" s="11" t="s">
        <v>356</v>
      </c>
      <c r="J503" s="12"/>
      <c r="K503" s="13">
        <f t="shared" si="190"/>
        <v>0</v>
      </c>
      <c r="L503" s="7"/>
      <c r="M503" s="14">
        <f t="shared" si="212"/>
        <v>0</v>
      </c>
      <c r="N503" s="15"/>
      <c r="O503" s="40">
        <f t="shared" si="194"/>
        <v>0</v>
      </c>
      <c r="P503" s="106"/>
      <c r="Q503" s="3"/>
      <c r="R503" s="37"/>
      <c r="S503" s="37">
        <f t="shared" si="197"/>
        <v>0</v>
      </c>
      <c r="T503" s="37">
        <f t="shared" si="191"/>
        <v>0</v>
      </c>
      <c r="U503" s="41">
        <f t="shared" si="192"/>
        <v>0</v>
      </c>
      <c r="V503" s="42" t="e">
        <f t="shared" si="198"/>
        <v>#DIV/0!</v>
      </c>
      <c r="W503" s="41">
        <f t="shared" si="199"/>
        <v>0</v>
      </c>
      <c r="X503" s="43" t="e">
        <f t="shared" si="193"/>
        <v>#DIV/0!</v>
      </c>
      <c r="Y503" s="44"/>
      <c r="Z503" s="44"/>
      <c r="AA503" s="44"/>
    </row>
    <row r="504" spans="2:27" ht="14.4" customHeight="1">
      <c r="B504" s="4">
        <v>500</v>
      </c>
      <c r="C504" s="5" t="s">
        <v>487</v>
      </c>
      <c r="D504" s="5" t="str">
        <f t="shared" si="168"/>
        <v xml:space="preserve"> 423</v>
      </c>
      <c r="E504" s="6" t="s">
        <v>487</v>
      </c>
      <c r="F504" s="7">
        <f t="shared" si="169"/>
        <v>0</v>
      </c>
      <c r="G504" s="11" t="s">
        <v>21</v>
      </c>
      <c r="H504" s="11" t="s">
        <v>303</v>
      </c>
      <c r="I504" s="11" t="s">
        <v>354</v>
      </c>
      <c r="J504" s="12"/>
      <c r="K504" s="13">
        <f t="shared" si="190"/>
        <v>0</v>
      </c>
      <c r="L504" s="7"/>
      <c r="M504" s="14">
        <f t="shared" si="212"/>
        <v>0</v>
      </c>
      <c r="N504" s="15"/>
      <c r="O504" s="40">
        <f t="shared" si="194"/>
        <v>0</v>
      </c>
      <c r="P504" s="107"/>
      <c r="Q504" s="3"/>
      <c r="R504" s="37"/>
      <c r="S504" s="37">
        <f t="shared" si="197"/>
        <v>0</v>
      </c>
      <c r="T504" s="37">
        <f t="shared" si="191"/>
        <v>0</v>
      </c>
      <c r="U504" s="41">
        <f t="shared" si="192"/>
        <v>0</v>
      </c>
      <c r="V504" s="42" t="e">
        <f t="shared" si="198"/>
        <v>#DIV/0!</v>
      </c>
      <c r="W504" s="41">
        <f t="shared" si="199"/>
        <v>0</v>
      </c>
      <c r="X504" s="43" t="e">
        <f t="shared" si="193"/>
        <v>#DIV/0!</v>
      </c>
      <c r="Y504" s="46">
        <v>86713</v>
      </c>
      <c r="Z504" s="47">
        <f>T504-Y504</f>
        <v>-86713</v>
      </c>
      <c r="AA504" s="48">
        <f>Z504/Y504</f>
        <v>-1</v>
      </c>
    </row>
    <row r="505" spans="2:27" ht="14.4" customHeight="1">
      <c r="B505" s="4">
        <v>501</v>
      </c>
      <c r="C505" s="5" t="s">
        <v>486</v>
      </c>
      <c r="D505" s="5" t="str">
        <f t="shared" si="168"/>
        <v xml:space="preserve"> 688</v>
      </c>
      <c r="E505" s="6" t="s">
        <v>486</v>
      </c>
      <c r="F505" s="7">
        <f t="shared" si="169"/>
        <v>0</v>
      </c>
      <c r="G505" s="11" t="s">
        <v>21</v>
      </c>
      <c r="H505" s="11" t="s">
        <v>303</v>
      </c>
      <c r="I505" s="11" t="s">
        <v>354</v>
      </c>
      <c r="J505" s="12"/>
      <c r="K505" s="13">
        <f t="shared" si="190"/>
        <v>0</v>
      </c>
      <c r="L505" s="7"/>
      <c r="M505" s="14">
        <f t="shared" si="212"/>
        <v>0</v>
      </c>
      <c r="N505" s="15"/>
      <c r="O505" s="40">
        <f t="shared" si="194"/>
        <v>0</v>
      </c>
      <c r="P505" s="107"/>
      <c r="Q505" s="3"/>
      <c r="R505" s="37"/>
      <c r="S505" s="37">
        <f t="shared" si="197"/>
        <v>0</v>
      </c>
      <c r="T505" s="37">
        <f t="shared" si="191"/>
        <v>0</v>
      </c>
      <c r="U505" s="41">
        <f t="shared" si="192"/>
        <v>0</v>
      </c>
      <c r="V505" s="42" t="e">
        <f t="shared" si="198"/>
        <v>#DIV/0!</v>
      </c>
      <c r="W505" s="41">
        <f t="shared" si="199"/>
        <v>0</v>
      </c>
      <c r="X505" s="43" t="e">
        <f t="shared" si="193"/>
        <v>#DIV/0!</v>
      </c>
      <c r="Y505" s="46">
        <v>101500</v>
      </c>
      <c r="Z505" s="47">
        <f>T505-Y505</f>
        <v>-101500</v>
      </c>
      <c r="AA505" s="48">
        <f>Z505/Y505</f>
        <v>-1</v>
      </c>
    </row>
    <row r="506" spans="2:27" ht="14.4" customHeight="1">
      <c r="B506" s="4">
        <v>502</v>
      </c>
      <c r="C506" s="5" t="s">
        <v>110</v>
      </c>
      <c r="D506" s="5" t="str">
        <f t="shared" si="168"/>
        <v xml:space="preserve"> 119</v>
      </c>
      <c r="E506" s="6" t="s">
        <v>110</v>
      </c>
      <c r="F506" s="7">
        <f t="shared" si="169"/>
        <v>0</v>
      </c>
      <c r="G506" s="11" t="s">
        <v>21</v>
      </c>
      <c r="H506" s="11" t="s">
        <v>326</v>
      </c>
      <c r="I506" s="11" t="s">
        <v>370</v>
      </c>
      <c r="J506" s="12">
        <f>M506</f>
        <v>37500</v>
      </c>
      <c r="K506" s="13">
        <f t="shared" si="190"/>
        <v>0</v>
      </c>
      <c r="L506" s="17" t="s">
        <v>23</v>
      </c>
      <c r="M506" s="18">
        <v>37500</v>
      </c>
      <c r="N506" s="15">
        <f>2000+200+600</f>
        <v>2800</v>
      </c>
      <c r="O506" s="40">
        <f t="shared" si="194"/>
        <v>40300</v>
      </c>
      <c r="P506" s="106"/>
      <c r="Q506" s="3" t="s">
        <v>392</v>
      </c>
      <c r="R506" s="37"/>
      <c r="S506" s="37">
        <f t="shared" si="197"/>
        <v>40300</v>
      </c>
      <c r="T506" s="37">
        <f t="shared" si="191"/>
        <v>57571.428571428572</v>
      </c>
      <c r="U506" s="41">
        <f t="shared" si="192"/>
        <v>65795.918367346938</v>
      </c>
      <c r="V506" s="42">
        <f t="shared" si="198"/>
        <v>0.12499999999999997</v>
      </c>
      <c r="W506" s="41">
        <f t="shared" si="199"/>
        <v>65800</v>
      </c>
      <c r="X506" s="43">
        <f t="shared" si="193"/>
        <v>0.3</v>
      </c>
      <c r="Y506" s="46">
        <v>56000</v>
      </c>
      <c r="Z506" s="47">
        <f t="shared" ref="Z506:Z511" si="213">T506-Y506</f>
        <v>1571.4285714285725</v>
      </c>
      <c r="AA506" s="48">
        <f t="shared" ref="AA506:AA511" si="214">Z506/Y506</f>
        <v>2.8061224489795936E-2</v>
      </c>
    </row>
    <row r="507" spans="2:27" ht="14.4" customHeight="1">
      <c r="B507" s="4">
        <v>503</v>
      </c>
      <c r="C507" s="5" t="s">
        <v>111</v>
      </c>
      <c r="D507" s="5" t="str">
        <f t="shared" si="168"/>
        <v xml:space="preserve"> 311</v>
      </c>
      <c r="E507" s="6" t="s">
        <v>111</v>
      </c>
      <c r="F507" s="7">
        <f t="shared" si="169"/>
        <v>0</v>
      </c>
      <c r="G507" s="11" t="s">
        <v>21</v>
      </c>
      <c r="H507" s="11" t="s">
        <v>326</v>
      </c>
      <c r="I507" s="11" t="s">
        <v>370</v>
      </c>
      <c r="J507" s="12"/>
      <c r="K507" s="13">
        <f t="shared" si="190"/>
        <v>0</v>
      </c>
      <c r="L507" s="7"/>
      <c r="M507" s="14">
        <f t="shared" ref="M507" si="215">J507-N507</f>
        <v>0</v>
      </c>
      <c r="N507" s="15"/>
      <c r="O507" s="40">
        <f t="shared" si="194"/>
        <v>0</v>
      </c>
      <c r="P507" s="106"/>
      <c r="Q507" s="3"/>
      <c r="R507" s="37"/>
      <c r="S507" s="37">
        <f t="shared" si="197"/>
        <v>0</v>
      </c>
      <c r="T507" s="37">
        <f t="shared" si="191"/>
        <v>0</v>
      </c>
      <c r="U507" s="41">
        <f t="shared" si="192"/>
        <v>0</v>
      </c>
      <c r="V507" s="42" t="e">
        <f t="shared" si="198"/>
        <v>#DIV/0!</v>
      </c>
      <c r="W507" s="41">
        <f t="shared" si="199"/>
        <v>0</v>
      </c>
      <c r="X507" s="43" t="e">
        <f t="shared" si="193"/>
        <v>#DIV/0!</v>
      </c>
      <c r="Y507" s="46">
        <v>59588</v>
      </c>
      <c r="Z507" s="47">
        <f t="shared" si="213"/>
        <v>-59588</v>
      </c>
      <c r="AA507" s="48">
        <f t="shared" si="214"/>
        <v>-1</v>
      </c>
    </row>
    <row r="508" spans="2:27" ht="14.4" customHeight="1">
      <c r="B508" s="4">
        <v>504</v>
      </c>
      <c r="C508" s="5" t="s">
        <v>75</v>
      </c>
      <c r="D508" s="5" t="str">
        <f t="shared" si="168"/>
        <v xml:space="preserve"> 215</v>
      </c>
      <c r="E508" s="6" t="s">
        <v>75</v>
      </c>
      <c r="F508" s="7">
        <f t="shared" si="169"/>
        <v>0</v>
      </c>
      <c r="G508" s="11" t="s">
        <v>21</v>
      </c>
      <c r="H508" s="11" t="s">
        <v>326</v>
      </c>
      <c r="I508" s="11" t="s">
        <v>370</v>
      </c>
      <c r="J508" s="12">
        <f>M508</f>
        <v>39000</v>
      </c>
      <c r="K508" s="13">
        <f t="shared" si="190"/>
        <v>0</v>
      </c>
      <c r="L508" s="17" t="s">
        <v>23</v>
      </c>
      <c r="M508" s="18">
        <v>39000</v>
      </c>
      <c r="N508" s="15">
        <f>2000+200+600</f>
        <v>2800</v>
      </c>
      <c r="O508" s="40">
        <f t="shared" si="194"/>
        <v>41800</v>
      </c>
      <c r="P508" s="106"/>
      <c r="Q508" s="3" t="s">
        <v>392</v>
      </c>
      <c r="R508" s="37"/>
      <c r="S508" s="37">
        <f t="shared" si="197"/>
        <v>41800</v>
      </c>
      <c r="T508" s="37">
        <f t="shared" si="191"/>
        <v>59714.285714285717</v>
      </c>
      <c r="U508" s="41">
        <f t="shared" si="192"/>
        <v>68244.897959183683</v>
      </c>
      <c r="V508" s="42">
        <f t="shared" si="198"/>
        <v>0.12500000000000008</v>
      </c>
      <c r="W508" s="41">
        <f t="shared" si="199"/>
        <v>68300</v>
      </c>
      <c r="X508" s="43">
        <f t="shared" si="193"/>
        <v>0.30000000000000004</v>
      </c>
      <c r="Y508" s="46">
        <v>56000</v>
      </c>
      <c r="Z508" s="47">
        <f t="shared" si="213"/>
        <v>3714.2857142857174</v>
      </c>
      <c r="AA508" s="48">
        <f t="shared" si="214"/>
        <v>6.6326530612244958E-2</v>
      </c>
    </row>
    <row r="509" spans="2:27" ht="14.4" customHeight="1">
      <c r="B509" s="4">
        <v>505</v>
      </c>
      <c r="C509" s="5" t="s">
        <v>76</v>
      </c>
      <c r="D509" s="5" t="str">
        <f t="shared" si="168"/>
        <v xml:space="preserve"> 243</v>
      </c>
      <c r="E509" s="6" t="s">
        <v>76</v>
      </c>
      <c r="F509" s="7">
        <f t="shared" si="169"/>
        <v>0</v>
      </c>
      <c r="G509" s="11" t="s">
        <v>21</v>
      </c>
      <c r="H509" s="11" t="s">
        <v>326</v>
      </c>
      <c r="I509" s="11" t="s">
        <v>370</v>
      </c>
      <c r="J509" s="12">
        <f>M509</f>
        <v>37500</v>
      </c>
      <c r="K509" s="13">
        <f t="shared" si="190"/>
        <v>0</v>
      </c>
      <c r="L509" s="17" t="s">
        <v>23</v>
      </c>
      <c r="M509" s="18">
        <v>37500</v>
      </c>
      <c r="N509" s="15">
        <f>2000+200+600</f>
        <v>2800</v>
      </c>
      <c r="O509" s="40">
        <f t="shared" si="194"/>
        <v>40300</v>
      </c>
      <c r="P509" s="106"/>
      <c r="Q509" s="3" t="s">
        <v>392</v>
      </c>
      <c r="R509" s="37"/>
      <c r="S509" s="37">
        <f t="shared" si="197"/>
        <v>40300</v>
      </c>
      <c r="T509" s="37">
        <f t="shared" si="191"/>
        <v>57571.428571428572</v>
      </c>
      <c r="U509" s="41">
        <f t="shared" si="192"/>
        <v>65795.918367346938</v>
      </c>
      <c r="V509" s="42">
        <f t="shared" si="198"/>
        <v>0.12499999999999997</v>
      </c>
      <c r="W509" s="41">
        <f t="shared" si="199"/>
        <v>65800</v>
      </c>
      <c r="X509" s="43">
        <f t="shared" si="193"/>
        <v>0.3</v>
      </c>
      <c r="Y509" s="46">
        <v>56000</v>
      </c>
      <c r="Z509" s="47">
        <f t="shared" si="213"/>
        <v>1571.4285714285725</v>
      </c>
      <c r="AA509" s="48">
        <f t="shared" si="214"/>
        <v>2.8061224489795936E-2</v>
      </c>
    </row>
    <row r="510" spans="2:27" ht="14.4" customHeight="1">
      <c r="B510" s="4">
        <v>506</v>
      </c>
      <c r="C510" s="6" t="s">
        <v>1383</v>
      </c>
      <c r="D510" s="5" t="str">
        <f t="shared" si="168"/>
        <v xml:space="preserve"> 262</v>
      </c>
      <c r="E510" s="6" t="s">
        <v>1383</v>
      </c>
      <c r="F510" s="7">
        <f t="shared" si="169"/>
        <v>0</v>
      </c>
      <c r="G510" s="11" t="s">
        <v>21</v>
      </c>
      <c r="H510" s="11" t="s">
        <v>326</v>
      </c>
      <c r="I510" s="11" t="s">
        <v>370</v>
      </c>
      <c r="J510" s="12"/>
      <c r="K510" s="13">
        <f t="shared" si="190"/>
        <v>0</v>
      </c>
      <c r="L510" s="7"/>
      <c r="M510" s="14">
        <f t="shared" ref="M510" si="216">J510-N510</f>
        <v>0</v>
      </c>
      <c r="N510" s="15"/>
      <c r="O510" s="40">
        <f t="shared" si="194"/>
        <v>0</v>
      </c>
      <c r="P510" s="106"/>
      <c r="Q510" s="3"/>
      <c r="R510" s="37"/>
      <c r="S510" s="37">
        <f t="shared" si="197"/>
        <v>0</v>
      </c>
      <c r="T510" s="37">
        <f t="shared" si="191"/>
        <v>0</v>
      </c>
      <c r="U510" s="41">
        <f t="shared" si="192"/>
        <v>0</v>
      </c>
      <c r="V510" s="42" t="e">
        <f t="shared" si="198"/>
        <v>#DIV/0!</v>
      </c>
      <c r="W510" s="41">
        <f t="shared" si="199"/>
        <v>0</v>
      </c>
      <c r="X510" s="43" t="e">
        <f t="shared" si="193"/>
        <v>#DIV/0!</v>
      </c>
      <c r="Y510" s="46">
        <v>59588</v>
      </c>
      <c r="Z510" s="47">
        <f t="shared" si="213"/>
        <v>-59588</v>
      </c>
      <c r="AA510" s="48">
        <f t="shared" si="214"/>
        <v>-1</v>
      </c>
    </row>
    <row r="511" spans="2:27" ht="14.4" customHeight="1">
      <c r="B511" s="4">
        <v>507</v>
      </c>
      <c r="C511" s="5" t="s">
        <v>112</v>
      </c>
      <c r="D511" s="5" t="str">
        <f t="shared" ref="D511" si="217">REPLACE(C511,1,3, )</f>
        <v xml:space="preserve"> 491</v>
      </c>
      <c r="E511" s="6" t="s">
        <v>112</v>
      </c>
      <c r="F511" s="7">
        <f t="shared" ref="F511" si="218">IF(C511=E511,0,1)</f>
        <v>0</v>
      </c>
      <c r="G511" s="11" t="s">
        <v>21</v>
      </c>
      <c r="H511" s="11" t="s">
        <v>326</v>
      </c>
      <c r="I511" s="11" t="s">
        <v>370</v>
      </c>
      <c r="J511" s="12">
        <f>M511</f>
        <v>39000</v>
      </c>
      <c r="K511" s="13">
        <f t="shared" si="190"/>
        <v>0</v>
      </c>
      <c r="L511" s="17" t="s">
        <v>23</v>
      </c>
      <c r="M511" s="18">
        <v>39000</v>
      </c>
      <c r="N511" s="15">
        <f>2000+200+600</f>
        <v>2800</v>
      </c>
      <c r="O511" s="40">
        <f t="shared" si="194"/>
        <v>41800</v>
      </c>
      <c r="P511" s="106"/>
      <c r="Q511" s="3" t="s">
        <v>392</v>
      </c>
      <c r="R511" s="37"/>
      <c r="S511" s="37">
        <f t="shared" si="197"/>
        <v>41800</v>
      </c>
      <c r="T511" s="37">
        <f t="shared" si="191"/>
        <v>59714.285714285717</v>
      </c>
      <c r="U511" s="41">
        <f t="shared" si="192"/>
        <v>68244.897959183683</v>
      </c>
      <c r="V511" s="42">
        <f t="shared" si="198"/>
        <v>0.12500000000000008</v>
      </c>
      <c r="W511" s="41">
        <f t="shared" si="199"/>
        <v>68300</v>
      </c>
      <c r="X511" s="43">
        <f t="shared" si="193"/>
        <v>0.30000000000000004</v>
      </c>
      <c r="Y511" s="46">
        <v>56000</v>
      </c>
      <c r="Z511" s="47">
        <f t="shared" si="213"/>
        <v>3714.2857142857174</v>
      </c>
      <c r="AA511" s="48">
        <f t="shared" si="214"/>
        <v>6.6326530612244958E-2</v>
      </c>
    </row>
    <row r="512" spans="2:27" ht="14.4" customHeight="1">
      <c r="B512" s="21"/>
      <c r="C512" s="51"/>
      <c r="D512" s="22"/>
      <c r="E512" s="21"/>
      <c r="F512" s="21"/>
      <c r="G512" s="23"/>
      <c r="H512" s="23"/>
      <c r="I512" s="23"/>
      <c r="J512" s="52"/>
      <c r="K512" s="53"/>
      <c r="L512" s="21"/>
      <c r="M512" s="54"/>
      <c r="N512" s="54"/>
      <c r="O512" s="55"/>
      <c r="P512" s="109"/>
      <c r="Q512" s="23"/>
      <c r="R512" s="56"/>
      <c r="S512" s="56"/>
      <c r="T512" s="56"/>
      <c r="U512" s="57"/>
      <c r="V512" s="58"/>
      <c r="W512" s="57"/>
      <c r="X512" s="59"/>
      <c r="Y512" s="60"/>
      <c r="Z512" s="60"/>
      <c r="AA512" s="61"/>
    </row>
    <row r="513" spans="1:27" ht="14.4" customHeight="1">
      <c r="B513" s="21"/>
      <c r="C513" s="51"/>
      <c r="D513" s="22"/>
      <c r="E513" s="21"/>
      <c r="F513" s="21"/>
      <c r="G513" s="23"/>
      <c r="H513" s="23"/>
      <c r="I513" s="23"/>
      <c r="J513" s="52"/>
      <c r="K513" s="53"/>
      <c r="L513" s="21"/>
      <c r="M513" s="54"/>
      <c r="N513" s="54"/>
      <c r="O513" s="55"/>
      <c r="P513" s="109"/>
      <c r="Q513" s="23"/>
      <c r="R513" s="56"/>
      <c r="S513" s="56"/>
      <c r="T513" s="56"/>
      <c r="U513" s="57"/>
      <c r="V513" s="58"/>
      <c r="W513" s="57"/>
      <c r="X513" s="59"/>
      <c r="Y513" s="60"/>
      <c r="Z513" s="60"/>
      <c r="AA513" s="61"/>
    </row>
    <row r="514" spans="1:27" ht="14.4" customHeight="1">
      <c r="A514" s="62"/>
      <c r="B514" s="1" t="s">
        <v>80</v>
      </c>
      <c r="C514" s="2"/>
      <c r="D514" s="2"/>
      <c r="E514" s="63"/>
      <c r="F514" s="64"/>
      <c r="G514" s="63"/>
      <c r="H514" s="2"/>
      <c r="I514" s="63"/>
      <c r="J514" s="65"/>
      <c r="K514" s="64"/>
      <c r="L514" s="64"/>
      <c r="M514" s="66"/>
      <c r="N514" s="64"/>
      <c r="O514" s="64"/>
      <c r="P514" s="110"/>
      <c r="Q514" s="67"/>
      <c r="R514" s="68"/>
      <c r="S514" s="63"/>
      <c r="T514" s="63"/>
      <c r="U514" s="63"/>
      <c r="V514" s="63"/>
      <c r="W514" s="63"/>
      <c r="X514" s="69"/>
      <c r="Y514" s="63"/>
      <c r="Z514" s="63"/>
      <c r="AA514" s="63"/>
    </row>
    <row r="515" spans="1:27" ht="14.4" customHeight="1">
      <c r="A515" s="62"/>
      <c r="B515" s="1" t="s">
        <v>78</v>
      </c>
      <c r="C515" s="70"/>
      <c r="D515" s="63"/>
      <c r="E515" s="63"/>
      <c r="F515" s="64"/>
      <c r="G515" s="63"/>
      <c r="H515" s="2"/>
      <c r="I515" s="63"/>
      <c r="J515" s="65"/>
      <c r="K515" s="64"/>
      <c r="L515" s="64"/>
      <c r="M515" s="66"/>
      <c r="N515" s="64"/>
      <c r="O515" s="64"/>
      <c r="P515" s="110"/>
      <c r="Q515" s="64"/>
      <c r="R515" s="68"/>
      <c r="S515" s="63"/>
      <c r="T515" s="63"/>
      <c r="U515" s="63"/>
      <c r="V515" s="63"/>
      <c r="W515" s="63"/>
      <c r="X515" s="69"/>
      <c r="Y515" s="63"/>
      <c r="Z515" s="63"/>
      <c r="AA515" s="63"/>
    </row>
    <row r="516" spans="1:27" ht="14.4" customHeight="1">
      <c r="A516" s="62"/>
      <c r="B516" s="1" t="s">
        <v>79</v>
      </c>
      <c r="C516" s="2"/>
      <c r="D516" s="63"/>
      <c r="E516" s="63"/>
      <c r="F516" s="64"/>
      <c r="G516" s="63"/>
      <c r="H516" s="2"/>
      <c r="I516" s="63"/>
      <c r="J516" s="65"/>
      <c r="K516" s="64"/>
      <c r="L516" s="64"/>
      <c r="M516" s="66"/>
      <c r="N516" s="64"/>
      <c r="O516" s="64"/>
      <c r="P516" s="110"/>
      <c r="Q516" s="64"/>
      <c r="R516" s="68"/>
      <c r="S516" s="63"/>
      <c r="T516" s="63"/>
      <c r="U516" s="63"/>
      <c r="V516" s="63"/>
      <c r="W516" s="63"/>
      <c r="X516" s="69"/>
      <c r="Y516" s="63"/>
      <c r="Z516" s="63"/>
      <c r="AA516" s="63"/>
    </row>
    <row r="517" spans="1:27" s="63" customFormat="1" ht="14.4" customHeight="1">
      <c r="A517" s="62"/>
      <c r="B517" s="1" t="s">
        <v>77</v>
      </c>
      <c r="C517" s="70"/>
      <c r="D517" s="2"/>
      <c r="F517" s="64"/>
      <c r="H517" s="2"/>
      <c r="J517" s="65"/>
      <c r="K517" s="64"/>
      <c r="L517" s="64"/>
      <c r="M517" s="66"/>
      <c r="N517" s="64"/>
      <c r="O517" s="64"/>
      <c r="P517" s="110"/>
      <c r="Q517" s="64"/>
      <c r="R517" s="68"/>
      <c r="X517" s="69"/>
    </row>
    <row r="518" spans="1:27" s="63" customFormat="1" ht="14.4" customHeight="1">
      <c r="A518" s="24"/>
      <c r="B518" s="25"/>
      <c r="C518" s="26"/>
      <c r="D518" s="26"/>
      <c r="E518" s="26"/>
      <c r="F518" s="25"/>
      <c r="G518" s="26"/>
      <c r="H518" s="26"/>
      <c r="I518" s="26"/>
      <c r="J518" s="27"/>
      <c r="K518" s="26"/>
      <c r="L518" s="84"/>
      <c r="M518" s="26"/>
      <c r="N518" s="26"/>
      <c r="O518" s="26"/>
      <c r="P518" s="103"/>
      <c r="Q518" s="84"/>
      <c r="R518" s="28"/>
      <c r="S518" s="26"/>
      <c r="T518" s="26"/>
      <c r="U518" s="26"/>
      <c r="V518" s="26"/>
      <c r="W518" s="26"/>
      <c r="X518" s="71"/>
      <c r="Y518" s="26"/>
      <c r="Z518" s="26"/>
      <c r="AA518" s="26"/>
    </row>
    <row r="519" spans="1:27" s="63" customFormat="1" ht="14.4" customHeight="1">
      <c r="A519" s="24"/>
      <c r="B519" s="25"/>
      <c r="C519" s="26"/>
      <c r="D519" s="26"/>
      <c r="E519" s="26"/>
      <c r="F519" s="25"/>
      <c r="G519" s="26"/>
      <c r="H519" s="26"/>
      <c r="I519" s="26"/>
      <c r="J519" s="72">
        <f>SUM(J36:J518)</f>
        <v>24468450</v>
      </c>
      <c r="K519" s="73">
        <f>SUM(K36:K518)</f>
        <v>1255950</v>
      </c>
      <c r="L519" s="84"/>
      <c r="M519" s="73">
        <f>SUM(M36:M518)</f>
        <v>23212500</v>
      </c>
      <c r="N519" s="73">
        <f>SUM(N36:N518)</f>
        <v>2022700</v>
      </c>
      <c r="O519" s="73">
        <f>SUM(O36:O518)</f>
        <v>25235200</v>
      </c>
      <c r="P519" s="111"/>
      <c r="Q519" s="84"/>
      <c r="R519" s="28"/>
      <c r="S519" s="26"/>
      <c r="T519" s="26"/>
      <c r="U519" s="26"/>
      <c r="V519" s="26"/>
      <c r="W519" s="26"/>
      <c r="X519" s="71"/>
      <c r="Y519" s="26"/>
      <c r="Z519" s="26"/>
      <c r="AA519" s="26"/>
    </row>
    <row r="522" spans="1:27">
      <c r="H522" s="74" t="s">
        <v>114</v>
      </c>
      <c r="P522" s="111"/>
    </row>
    <row r="523" spans="1:27">
      <c r="H523" s="74" t="s">
        <v>115</v>
      </c>
    </row>
    <row r="524" spans="1:27">
      <c r="H524" s="74" t="s">
        <v>116</v>
      </c>
    </row>
    <row r="525" spans="1:27">
      <c r="H525" s="74" t="s">
        <v>117</v>
      </c>
    </row>
    <row r="527" spans="1:27">
      <c r="H527" s="26" t="s">
        <v>118</v>
      </c>
    </row>
    <row r="528" spans="1:27">
      <c r="H528" s="26" t="s">
        <v>119</v>
      </c>
    </row>
    <row r="529" spans="8:8">
      <c r="H529" s="26" t="s">
        <v>120</v>
      </c>
    </row>
    <row r="531" spans="8:8">
      <c r="H531" s="26" t="s">
        <v>121</v>
      </c>
    </row>
  </sheetData>
  <autoFilter ref="A4:AA519">
    <filterColumn colId="6"/>
    <filterColumn colId="7"/>
    <filterColumn colId="8"/>
    <sortState ref="A5:AA271">
      <sortCondition ref="B4:B271"/>
    </sortState>
  </autoFilter>
  <mergeCells count="3">
    <mergeCell ref="R3:X3"/>
    <mergeCell ref="AD3:AE3"/>
    <mergeCell ref="AG3:AH3"/>
  </mergeCells>
  <conditionalFormatting sqref="AA189:AA190 AA192:AA197 AA5 AA11 AA14 AA16 AA21:AA23 AA25:AA26 AA28:AA187 AA199:AA514">
    <cfRule type="cellIs" dxfId="3" priority="29" operator="greaterThan">
      <formula>0.7</formula>
    </cfRule>
    <cfRule type="cellIs" dxfId="2" priority="30" operator="greaterThan">
      <formula>7</formula>
    </cfRule>
  </conditionalFormatting>
  <conditionalFormatting sqref="D5:D514">
    <cfRule type="duplicateValues" dxfId="1" priority="352"/>
    <cfRule type="duplicateValues" dxfId="0" priority="35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09"/>
  <sheetViews>
    <sheetView workbookViewId="0">
      <selection activeCell="C3" sqref="C3:C509"/>
    </sheetView>
  </sheetViews>
  <sheetFormatPr defaultRowHeight="14.4"/>
  <sheetData>
    <row r="3" spans="1:8">
      <c r="A3" t="s">
        <v>798</v>
      </c>
      <c r="B3" t="s">
        <v>488</v>
      </c>
      <c r="C3" t="s">
        <v>488</v>
      </c>
      <c r="D3" t="s">
        <v>489</v>
      </c>
      <c r="E3">
        <v>55.65</v>
      </c>
      <c r="F3">
        <v>0</v>
      </c>
      <c r="G3" t="s">
        <v>799</v>
      </c>
    </row>
    <row r="4" spans="1:8">
      <c r="A4">
        <v>2</v>
      </c>
      <c r="B4" t="s">
        <v>800</v>
      </c>
      <c r="C4" t="s">
        <v>490</v>
      </c>
      <c r="D4" t="s">
        <v>491</v>
      </c>
      <c r="E4" t="s">
        <v>492</v>
      </c>
      <c r="F4">
        <v>150</v>
      </c>
      <c r="G4">
        <v>0</v>
      </c>
      <c r="H4" t="s">
        <v>801</v>
      </c>
    </row>
    <row r="5" spans="1:8">
      <c r="A5">
        <v>3</v>
      </c>
      <c r="B5" t="s">
        <v>802</v>
      </c>
      <c r="C5" t="s">
        <v>493</v>
      </c>
      <c r="D5" t="s">
        <v>328</v>
      </c>
      <c r="E5" t="s">
        <v>494</v>
      </c>
      <c r="F5">
        <v>75</v>
      </c>
      <c r="G5">
        <v>0</v>
      </c>
      <c r="H5" t="s">
        <v>801</v>
      </c>
    </row>
    <row r="6" spans="1:8">
      <c r="A6">
        <v>4</v>
      </c>
      <c r="B6" t="s">
        <v>803</v>
      </c>
      <c r="C6" t="s">
        <v>495</v>
      </c>
      <c r="D6" t="s">
        <v>491</v>
      </c>
      <c r="E6" t="s">
        <v>496</v>
      </c>
      <c r="F6">
        <v>0</v>
      </c>
      <c r="G6">
        <v>0</v>
      </c>
      <c r="H6" t="s">
        <v>801</v>
      </c>
    </row>
    <row r="7" spans="1:8">
      <c r="A7">
        <v>5</v>
      </c>
      <c r="B7" t="s">
        <v>804</v>
      </c>
      <c r="C7" t="s">
        <v>502</v>
      </c>
      <c r="D7" t="s">
        <v>491</v>
      </c>
      <c r="E7" t="s">
        <v>498</v>
      </c>
      <c r="F7">
        <v>70</v>
      </c>
      <c r="G7">
        <v>0</v>
      </c>
      <c r="H7" t="s">
        <v>801</v>
      </c>
    </row>
    <row r="8" spans="1:8">
      <c r="A8">
        <v>6</v>
      </c>
      <c r="B8" t="s">
        <v>805</v>
      </c>
      <c r="C8" t="s">
        <v>497</v>
      </c>
      <c r="D8" t="s">
        <v>491</v>
      </c>
      <c r="E8" t="s">
        <v>498</v>
      </c>
      <c r="F8">
        <v>65</v>
      </c>
      <c r="G8">
        <v>0</v>
      </c>
      <c r="H8" t="s">
        <v>801</v>
      </c>
    </row>
    <row r="9" spans="1:8">
      <c r="A9">
        <v>7</v>
      </c>
      <c r="B9" t="s">
        <v>806</v>
      </c>
      <c r="C9" t="s">
        <v>499</v>
      </c>
      <c r="D9" t="s">
        <v>328</v>
      </c>
      <c r="E9" t="s">
        <v>500</v>
      </c>
      <c r="F9">
        <v>58</v>
      </c>
      <c r="G9">
        <v>0</v>
      </c>
      <c r="H9" t="s">
        <v>799</v>
      </c>
    </row>
    <row r="10" spans="1:8">
      <c r="A10">
        <v>8</v>
      </c>
      <c r="B10" t="s">
        <v>807</v>
      </c>
      <c r="C10" t="s">
        <v>501</v>
      </c>
      <c r="D10" t="s">
        <v>491</v>
      </c>
      <c r="E10" t="s">
        <v>492</v>
      </c>
      <c r="F10">
        <v>150</v>
      </c>
      <c r="G10">
        <v>0</v>
      </c>
      <c r="H10" t="s">
        <v>801</v>
      </c>
    </row>
    <row r="11" spans="1:8">
      <c r="A11">
        <v>9</v>
      </c>
      <c r="B11" t="s">
        <v>808</v>
      </c>
      <c r="C11" t="s">
        <v>176</v>
      </c>
      <c r="D11" t="s">
        <v>313</v>
      </c>
      <c r="E11" t="s">
        <v>343</v>
      </c>
      <c r="F11">
        <v>75</v>
      </c>
      <c r="G11">
        <v>65</v>
      </c>
      <c r="H11" t="s">
        <v>801</v>
      </c>
    </row>
    <row r="12" spans="1:8">
      <c r="A12">
        <v>10</v>
      </c>
      <c r="B12" t="s">
        <v>809</v>
      </c>
      <c r="C12" t="s">
        <v>503</v>
      </c>
      <c r="D12" t="s">
        <v>491</v>
      </c>
      <c r="E12" t="s">
        <v>504</v>
      </c>
      <c r="F12">
        <v>71.150000000000006</v>
      </c>
      <c r="G12">
        <v>0</v>
      </c>
      <c r="H12" t="s">
        <v>799</v>
      </c>
    </row>
    <row r="13" spans="1:8">
      <c r="A13">
        <v>11</v>
      </c>
      <c r="B13" t="s">
        <v>810</v>
      </c>
      <c r="C13" t="s">
        <v>505</v>
      </c>
      <c r="D13" t="s">
        <v>491</v>
      </c>
      <c r="E13" t="s">
        <v>492</v>
      </c>
      <c r="F13">
        <v>150</v>
      </c>
      <c r="G13">
        <v>0</v>
      </c>
      <c r="H13" t="s">
        <v>801</v>
      </c>
    </row>
    <row r="14" spans="1:8">
      <c r="A14">
        <v>12</v>
      </c>
      <c r="B14" t="s">
        <v>811</v>
      </c>
      <c r="C14" t="s">
        <v>506</v>
      </c>
      <c r="D14" t="s">
        <v>491</v>
      </c>
      <c r="E14" t="s">
        <v>496</v>
      </c>
      <c r="F14">
        <v>75</v>
      </c>
      <c r="G14">
        <v>0</v>
      </c>
      <c r="H14" t="s">
        <v>799</v>
      </c>
    </row>
    <row r="15" spans="1:8">
      <c r="A15">
        <v>13</v>
      </c>
      <c r="B15" t="s">
        <v>812</v>
      </c>
      <c r="C15" t="s">
        <v>507</v>
      </c>
      <c r="D15" t="s">
        <v>491</v>
      </c>
      <c r="E15" t="s">
        <v>492</v>
      </c>
      <c r="F15">
        <v>150</v>
      </c>
      <c r="G15">
        <v>0</v>
      </c>
      <c r="H15" t="s">
        <v>801</v>
      </c>
    </row>
    <row r="16" spans="1:8">
      <c r="A16">
        <v>14</v>
      </c>
      <c r="B16" t="s">
        <v>813</v>
      </c>
      <c r="C16" t="s">
        <v>508</v>
      </c>
      <c r="D16" t="s">
        <v>491</v>
      </c>
      <c r="E16" t="s">
        <v>498</v>
      </c>
      <c r="F16">
        <v>75</v>
      </c>
      <c r="G16">
        <v>0</v>
      </c>
      <c r="H16" t="s">
        <v>801</v>
      </c>
    </row>
    <row r="17" spans="1:8">
      <c r="A17">
        <v>15</v>
      </c>
      <c r="B17" t="s">
        <v>814</v>
      </c>
      <c r="C17" t="s">
        <v>509</v>
      </c>
      <c r="D17" t="s">
        <v>491</v>
      </c>
      <c r="E17" t="s">
        <v>492</v>
      </c>
      <c r="F17">
        <v>150</v>
      </c>
      <c r="G17">
        <v>0</v>
      </c>
      <c r="H17" t="s">
        <v>801</v>
      </c>
    </row>
    <row r="18" spans="1:8">
      <c r="A18">
        <v>16</v>
      </c>
      <c r="B18" t="s">
        <v>815</v>
      </c>
      <c r="C18" t="s">
        <v>510</v>
      </c>
      <c r="D18" t="s">
        <v>313</v>
      </c>
      <c r="E18" t="s">
        <v>492</v>
      </c>
      <c r="F18">
        <v>150</v>
      </c>
      <c r="G18">
        <v>0</v>
      </c>
      <c r="H18" t="s">
        <v>801</v>
      </c>
    </row>
    <row r="19" spans="1:8">
      <c r="A19">
        <v>17</v>
      </c>
      <c r="B19" t="s">
        <v>816</v>
      </c>
      <c r="C19" t="s">
        <v>511</v>
      </c>
      <c r="D19" t="s">
        <v>491</v>
      </c>
      <c r="E19" t="s">
        <v>496</v>
      </c>
      <c r="F19">
        <v>65</v>
      </c>
      <c r="G19">
        <v>0</v>
      </c>
      <c r="H19" t="s">
        <v>799</v>
      </c>
    </row>
    <row r="20" spans="1:8">
      <c r="A20">
        <v>18</v>
      </c>
      <c r="B20" t="s">
        <v>817</v>
      </c>
      <c r="C20" t="s">
        <v>512</v>
      </c>
      <c r="D20" t="s">
        <v>313</v>
      </c>
      <c r="E20" t="s">
        <v>496</v>
      </c>
      <c r="F20">
        <v>65</v>
      </c>
      <c r="G20">
        <v>0</v>
      </c>
      <c r="H20" t="s">
        <v>799</v>
      </c>
    </row>
    <row r="21" spans="1:8">
      <c r="A21">
        <v>19</v>
      </c>
      <c r="B21" t="s">
        <v>818</v>
      </c>
      <c r="C21" t="s">
        <v>513</v>
      </c>
      <c r="D21" t="s">
        <v>491</v>
      </c>
      <c r="E21" t="s">
        <v>496</v>
      </c>
      <c r="F21">
        <v>75</v>
      </c>
      <c r="G21">
        <v>0</v>
      </c>
      <c r="H21" t="s">
        <v>799</v>
      </c>
    </row>
    <row r="22" spans="1:8">
      <c r="A22">
        <v>20</v>
      </c>
      <c r="B22" t="s">
        <v>819</v>
      </c>
      <c r="C22" t="s">
        <v>514</v>
      </c>
      <c r="D22" t="s">
        <v>491</v>
      </c>
      <c r="E22" t="s">
        <v>515</v>
      </c>
      <c r="F22">
        <v>0</v>
      </c>
      <c r="G22">
        <v>0</v>
      </c>
      <c r="H22" t="s">
        <v>801</v>
      </c>
    </row>
    <row r="23" spans="1:8">
      <c r="A23">
        <v>21</v>
      </c>
      <c r="B23" t="s">
        <v>820</v>
      </c>
      <c r="C23" t="s">
        <v>516</v>
      </c>
      <c r="D23" t="s">
        <v>313</v>
      </c>
      <c r="E23" t="s">
        <v>517</v>
      </c>
      <c r="F23">
        <v>67.650000000000006</v>
      </c>
      <c r="G23">
        <v>0</v>
      </c>
      <c r="H23" t="s">
        <v>799</v>
      </c>
    </row>
    <row r="24" spans="1:8">
      <c r="A24">
        <v>22</v>
      </c>
      <c r="B24" t="s">
        <v>821</v>
      </c>
      <c r="C24" t="s">
        <v>518</v>
      </c>
      <c r="D24" t="s">
        <v>491</v>
      </c>
      <c r="E24" t="s">
        <v>496</v>
      </c>
      <c r="F24">
        <v>75</v>
      </c>
      <c r="G24">
        <v>0</v>
      </c>
      <c r="H24" t="s">
        <v>799</v>
      </c>
    </row>
    <row r="25" spans="1:8">
      <c r="A25">
        <v>23</v>
      </c>
      <c r="B25" t="s">
        <v>822</v>
      </c>
      <c r="C25" t="s">
        <v>519</v>
      </c>
      <c r="D25" t="s">
        <v>491</v>
      </c>
      <c r="E25" t="s">
        <v>520</v>
      </c>
      <c r="F25">
        <v>85</v>
      </c>
      <c r="G25">
        <v>0</v>
      </c>
      <c r="H25" t="s">
        <v>801</v>
      </c>
    </row>
    <row r="26" spans="1:8">
      <c r="A26">
        <v>24</v>
      </c>
      <c r="B26" t="s">
        <v>823</v>
      </c>
      <c r="C26" t="s">
        <v>191</v>
      </c>
      <c r="D26" t="s">
        <v>491</v>
      </c>
      <c r="E26" t="s">
        <v>347</v>
      </c>
      <c r="F26">
        <v>80</v>
      </c>
      <c r="G26">
        <v>72.5</v>
      </c>
      <c r="H26" t="s">
        <v>801</v>
      </c>
    </row>
    <row r="27" spans="1:8">
      <c r="A27">
        <v>25</v>
      </c>
      <c r="B27" t="s">
        <v>824</v>
      </c>
      <c r="C27" t="s">
        <v>521</v>
      </c>
      <c r="D27" t="s">
        <v>491</v>
      </c>
      <c r="E27" t="s">
        <v>492</v>
      </c>
      <c r="F27">
        <v>150</v>
      </c>
      <c r="G27">
        <v>0</v>
      </c>
      <c r="H27" t="s">
        <v>801</v>
      </c>
    </row>
    <row r="28" spans="1:8">
      <c r="A28">
        <v>26</v>
      </c>
      <c r="B28" t="s">
        <v>825</v>
      </c>
      <c r="C28" t="s">
        <v>192</v>
      </c>
      <c r="D28" t="s">
        <v>491</v>
      </c>
      <c r="E28" t="s">
        <v>347</v>
      </c>
      <c r="F28">
        <v>80</v>
      </c>
      <c r="G28">
        <v>72</v>
      </c>
      <c r="H28" t="s">
        <v>801</v>
      </c>
    </row>
    <row r="29" spans="1:8">
      <c r="A29">
        <v>27</v>
      </c>
      <c r="B29" t="s">
        <v>826</v>
      </c>
      <c r="C29" t="s">
        <v>522</v>
      </c>
      <c r="D29" t="s">
        <v>491</v>
      </c>
      <c r="E29" t="s">
        <v>496</v>
      </c>
      <c r="F29">
        <v>75</v>
      </c>
      <c r="G29">
        <v>0</v>
      </c>
      <c r="H29" t="s">
        <v>799</v>
      </c>
    </row>
    <row r="30" spans="1:8">
      <c r="A30">
        <v>28</v>
      </c>
      <c r="B30" t="s">
        <v>827</v>
      </c>
      <c r="C30" t="s">
        <v>523</v>
      </c>
      <c r="D30" t="s">
        <v>491</v>
      </c>
      <c r="E30" t="s">
        <v>496</v>
      </c>
      <c r="F30">
        <v>0</v>
      </c>
      <c r="G30">
        <v>0</v>
      </c>
      <c r="H30" t="s">
        <v>801</v>
      </c>
    </row>
    <row r="31" spans="1:8">
      <c r="A31">
        <v>29</v>
      </c>
      <c r="B31" t="s">
        <v>828</v>
      </c>
      <c r="C31" t="s">
        <v>524</v>
      </c>
      <c r="D31" t="s">
        <v>313</v>
      </c>
      <c r="E31" t="s">
        <v>492</v>
      </c>
      <c r="F31">
        <v>150</v>
      </c>
      <c r="G31">
        <v>0</v>
      </c>
      <c r="H31" t="s">
        <v>801</v>
      </c>
    </row>
    <row r="32" spans="1:8">
      <c r="A32">
        <v>30</v>
      </c>
      <c r="B32" t="s">
        <v>829</v>
      </c>
      <c r="C32" t="s">
        <v>525</v>
      </c>
      <c r="D32" t="s">
        <v>313</v>
      </c>
      <c r="E32" t="s">
        <v>496</v>
      </c>
      <c r="F32">
        <v>75</v>
      </c>
      <c r="G32">
        <v>0</v>
      </c>
      <c r="H32" t="s">
        <v>799</v>
      </c>
    </row>
    <row r="33" spans="1:8">
      <c r="A33">
        <v>31</v>
      </c>
      <c r="B33" t="s">
        <v>830</v>
      </c>
      <c r="C33" t="s">
        <v>271</v>
      </c>
      <c r="D33" t="s">
        <v>313</v>
      </c>
      <c r="E33" t="s">
        <v>366</v>
      </c>
      <c r="F33">
        <v>75</v>
      </c>
      <c r="G33">
        <v>70</v>
      </c>
      <c r="H33" t="s">
        <v>801</v>
      </c>
    </row>
    <row r="34" spans="1:8">
      <c r="A34">
        <v>32</v>
      </c>
      <c r="B34" t="s">
        <v>831</v>
      </c>
      <c r="C34" t="s">
        <v>190</v>
      </c>
      <c r="D34" t="s">
        <v>491</v>
      </c>
      <c r="E34" t="s">
        <v>346</v>
      </c>
      <c r="F34">
        <v>85</v>
      </c>
      <c r="G34">
        <v>72</v>
      </c>
      <c r="H34" t="s">
        <v>801</v>
      </c>
    </row>
    <row r="35" spans="1:8">
      <c r="A35">
        <v>33</v>
      </c>
      <c r="B35" t="s">
        <v>832</v>
      </c>
      <c r="C35" t="s">
        <v>526</v>
      </c>
      <c r="D35" t="s">
        <v>313</v>
      </c>
      <c r="E35" t="s">
        <v>504</v>
      </c>
      <c r="F35">
        <v>100</v>
      </c>
      <c r="G35">
        <v>0</v>
      </c>
      <c r="H35" t="s">
        <v>801</v>
      </c>
    </row>
    <row r="36" spans="1:8">
      <c r="A36">
        <v>34</v>
      </c>
      <c r="B36" t="s">
        <v>833</v>
      </c>
      <c r="C36" t="s">
        <v>527</v>
      </c>
      <c r="D36" t="s">
        <v>313</v>
      </c>
      <c r="E36" t="s">
        <v>496</v>
      </c>
      <c r="F36">
        <v>75</v>
      </c>
      <c r="G36">
        <v>0</v>
      </c>
      <c r="H36" t="s">
        <v>799</v>
      </c>
    </row>
    <row r="37" spans="1:8">
      <c r="A37">
        <v>35</v>
      </c>
      <c r="B37" t="s">
        <v>834</v>
      </c>
      <c r="C37" t="s">
        <v>528</v>
      </c>
      <c r="D37" t="s">
        <v>313</v>
      </c>
      <c r="E37" t="s">
        <v>529</v>
      </c>
      <c r="F37">
        <v>115</v>
      </c>
      <c r="G37">
        <v>0</v>
      </c>
      <c r="H37" t="s">
        <v>801</v>
      </c>
    </row>
    <row r="38" spans="1:8">
      <c r="A38">
        <v>36</v>
      </c>
      <c r="B38" t="s">
        <v>835</v>
      </c>
      <c r="C38" t="s">
        <v>530</v>
      </c>
      <c r="D38" t="s">
        <v>313</v>
      </c>
      <c r="E38" t="s">
        <v>515</v>
      </c>
      <c r="F38">
        <v>0</v>
      </c>
      <c r="G38">
        <v>0</v>
      </c>
      <c r="H38" t="s">
        <v>801</v>
      </c>
    </row>
    <row r="39" spans="1:8">
      <c r="A39">
        <v>37</v>
      </c>
      <c r="B39" t="s">
        <v>836</v>
      </c>
      <c r="C39" t="s">
        <v>531</v>
      </c>
      <c r="D39" t="s">
        <v>313</v>
      </c>
      <c r="E39" t="s">
        <v>492</v>
      </c>
      <c r="F39">
        <v>0</v>
      </c>
      <c r="G39">
        <v>0</v>
      </c>
      <c r="H39" t="s">
        <v>801</v>
      </c>
    </row>
    <row r="40" spans="1:8">
      <c r="A40">
        <v>38</v>
      </c>
      <c r="B40" t="s">
        <v>837</v>
      </c>
      <c r="C40" t="s">
        <v>537</v>
      </c>
      <c r="D40" t="s">
        <v>491</v>
      </c>
      <c r="E40" t="s">
        <v>496</v>
      </c>
      <c r="F40">
        <v>0</v>
      </c>
      <c r="G40">
        <v>0</v>
      </c>
      <c r="H40" t="s">
        <v>801</v>
      </c>
    </row>
    <row r="41" spans="1:8">
      <c r="A41">
        <v>39</v>
      </c>
      <c r="B41" t="s">
        <v>838</v>
      </c>
      <c r="C41" t="s">
        <v>471</v>
      </c>
      <c r="D41" t="s">
        <v>491</v>
      </c>
      <c r="E41" t="s">
        <v>332</v>
      </c>
      <c r="F41">
        <v>95</v>
      </c>
      <c r="G41">
        <v>0</v>
      </c>
      <c r="H41" t="s">
        <v>801</v>
      </c>
    </row>
    <row r="42" spans="1:8">
      <c r="A42">
        <v>40</v>
      </c>
      <c r="B42" t="s">
        <v>839</v>
      </c>
      <c r="C42" t="s">
        <v>532</v>
      </c>
      <c r="D42" t="s">
        <v>313</v>
      </c>
      <c r="E42" t="s">
        <v>496</v>
      </c>
      <c r="F42">
        <v>90</v>
      </c>
      <c r="G42">
        <v>0</v>
      </c>
      <c r="H42" t="s">
        <v>799</v>
      </c>
    </row>
    <row r="43" spans="1:8">
      <c r="A43">
        <v>41</v>
      </c>
      <c r="B43" t="s">
        <v>840</v>
      </c>
      <c r="C43" t="s">
        <v>533</v>
      </c>
      <c r="D43" t="s">
        <v>491</v>
      </c>
      <c r="E43" t="s">
        <v>496</v>
      </c>
      <c r="F43">
        <v>0</v>
      </c>
      <c r="G43">
        <v>0</v>
      </c>
      <c r="H43" t="s">
        <v>799</v>
      </c>
    </row>
    <row r="44" spans="1:8">
      <c r="A44">
        <v>42</v>
      </c>
      <c r="B44" t="s">
        <v>841</v>
      </c>
      <c r="C44" t="s">
        <v>534</v>
      </c>
      <c r="D44" t="s">
        <v>313</v>
      </c>
      <c r="E44" t="s">
        <v>496</v>
      </c>
      <c r="F44">
        <v>100</v>
      </c>
      <c r="G44">
        <v>0</v>
      </c>
      <c r="H44" t="s">
        <v>799</v>
      </c>
    </row>
    <row r="45" spans="1:8">
      <c r="A45">
        <v>43</v>
      </c>
      <c r="B45" t="s">
        <v>842</v>
      </c>
      <c r="C45" t="s">
        <v>188</v>
      </c>
      <c r="D45" t="s">
        <v>314</v>
      </c>
      <c r="E45" t="s">
        <v>345</v>
      </c>
      <c r="F45">
        <v>85</v>
      </c>
      <c r="G45">
        <v>68</v>
      </c>
      <c r="H45" t="s">
        <v>801</v>
      </c>
    </row>
    <row r="46" spans="1:8">
      <c r="A46">
        <v>44</v>
      </c>
      <c r="B46" t="s">
        <v>843</v>
      </c>
      <c r="C46" t="s">
        <v>187</v>
      </c>
      <c r="D46" t="s">
        <v>314</v>
      </c>
      <c r="E46" t="s">
        <v>345</v>
      </c>
      <c r="F46">
        <v>85</v>
      </c>
      <c r="G46">
        <v>68</v>
      </c>
      <c r="H46" t="s">
        <v>801</v>
      </c>
    </row>
    <row r="47" spans="1:8">
      <c r="A47">
        <v>45</v>
      </c>
      <c r="B47" t="s">
        <v>844</v>
      </c>
      <c r="C47" t="s">
        <v>236</v>
      </c>
      <c r="D47" t="s">
        <v>314</v>
      </c>
      <c r="E47" t="s">
        <v>359</v>
      </c>
      <c r="F47">
        <v>80</v>
      </c>
      <c r="G47">
        <v>72.5</v>
      </c>
      <c r="H47" t="s">
        <v>801</v>
      </c>
    </row>
    <row r="48" spans="1:8">
      <c r="A48">
        <v>46</v>
      </c>
      <c r="B48" t="s">
        <v>845</v>
      </c>
      <c r="C48" t="s">
        <v>235</v>
      </c>
      <c r="D48" t="s">
        <v>314</v>
      </c>
      <c r="E48" t="s">
        <v>359</v>
      </c>
      <c r="F48">
        <v>80</v>
      </c>
      <c r="G48">
        <v>72.5</v>
      </c>
      <c r="H48" t="s">
        <v>801</v>
      </c>
    </row>
    <row r="49" spans="1:8">
      <c r="A49">
        <v>47</v>
      </c>
      <c r="B49" t="s">
        <v>846</v>
      </c>
      <c r="C49" t="s">
        <v>186</v>
      </c>
      <c r="D49" t="s">
        <v>314</v>
      </c>
      <c r="E49" t="s">
        <v>345</v>
      </c>
      <c r="F49">
        <v>85</v>
      </c>
      <c r="G49">
        <v>83</v>
      </c>
      <c r="H49" t="s">
        <v>801</v>
      </c>
    </row>
    <row r="50" spans="1:8">
      <c r="A50">
        <v>48</v>
      </c>
      <c r="B50" t="s">
        <v>847</v>
      </c>
      <c r="C50" t="s">
        <v>183</v>
      </c>
      <c r="D50" t="s">
        <v>314</v>
      </c>
      <c r="E50" t="s">
        <v>345</v>
      </c>
      <c r="F50">
        <v>90</v>
      </c>
      <c r="G50">
        <v>88</v>
      </c>
      <c r="H50" t="s">
        <v>801</v>
      </c>
    </row>
    <row r="51" spans="1:8">
      <c r="A51">
        <v>49</v>
      </c>
      <c r="B51" t="s">
        <v>848</v>
      </c>
      <c r="C51" t="s">
        <v>184</v>
      </c>
      <c r="D51" t="s">
        <v>314</v>
      </c>
      <c r="E51" t="s">
        <v>345</v>
      </c>
      <c r="F51">
        <v>85</v>
      </c>
      <c r="G51">
        <v>83</v>
      </c>
      <c r="H51" t="s">
        <v>801</v>
      </c>
    </row>
    <row r="52" spans="1:8">
      <c r="A52">
        <v>50</v>
      </c>
      <c r="B52" t="s">
        <v>849</v>
      </c>
      <c r="C52" t="s">
        <v>185</v>
      </c>
      <c r="D52" t="s">
        <v>314</v>
      </c>
      <c r="E52" t="s">
        <v>345</v>
      </c>
      <c r="F52">
        <v>90</v>
      </c>
      <c r="G52">
        <v>88</v>
      </c>
      <c r="H52" t="s">
        <v>801</v>
      </c>
    </row>
    <row r="53" spans="1:8">
      <c r="A53">
        <v>51</v>
      </c>
      <c r="B53" t="s">
        <v>850</v>
      </c>
      <c r="C53" t="s">
        <v>26</v>
      </c>
      <c r="D53" t="s">
        <v>314</v>
      </c>
      <c r="E53" t="s">
        <v>345</v>
      </c>
      <c r="F53">
        <v>86.5</v>
      </c>
      <c r="G53">
        <v>87.5</v>
      </c>
      <c r="H53" t="s">
        <v>799</v>
      </c>
    </row>
    <row r="54" spans="1:8">
      <c r="A54">
        <v>52</v>
      </c>
      <c r="B54" t="s">
        <v>851</v>
      </c>
      <c r="C54" t="s">
        <v>27</v>
      </c>
      <c r="D54" t="s">
        <v>315</v>
      </c>
      <c r="E54" t="s">
        <v>345</v>
      </c>
      <c r="F54">
        <v>81.5</v>
      </c>
      <c r="G54">
        <v>82.5</v>
      </c>
      <c r="H54" t="s">
        <v>799</v>
      </c>
    </row>
    <row r="55" spans="1:8">
      <c r="A55">
        <v>53</v>
      </c>
      <c r="B55" t="s">
        <v>852</v>
      </c>
      <c r="C55" t="s">
        <v>83</v>
      </c>
      <c r="D55" t="s">
        <v>314</v>
      </c>
      <c r="E55" t="s">
        <v>345</v>
      </c>
      <c r="F55">
        <v>86.5</v>
      </c>
      <c r="G55">
        <v>87.5</v>
      </c>
      <c r="H55" t="s">
        <v>799</v>
      </c>
    </row>
    <row r="56" spans="1:8">
      <c r="A56">
        <v>54</v>
      </c>
      <c r="B56" t="s">
        <v>853</v>
      </c>
      <c r="C56" t="s">
        <v>84</v>
      </c>
      <c r="D56" t="s">
        <v>315</v>
      </c>
      <c r="E56" t="s">
        <v>345</v>
      </c>
      <c r="F56">
        <v>81.5</v>
      </c>
      <c r="G56">
        <v>82.5</v>
      </c>
      <c r="H56" t="s">
        <v>799</v>
      </c>
    </row>
    <row r="57" spans="1:8">
      <c r="A57">
        <v>55</v>
      </c>
      <c r="B57" t="s">
        <v>854</v>
      </c>
      <c r="C57" t="s">
        <v>535</v>
      </c>
      <c r="D57" t="s">
        <v>316</v>
      </c>
      <c r="E57" t="s">
        <v>536</v>
      </c>
      <c r="F57">
        <v>130</v>
      </c>
      <c r="G57">
        <v>0</v>
      </c>
      <c r="H57" t="s">
        <v>801</v>
      </c>
    </row>
    <row r="58" spans="1:8">
      <c r="A58">
        <v>56</v>
      </c>
      <c r="B58" t="s">
        <v>855</v>
      </c>
      <c r="C58" t="s">
        <v>82</v>
      </c>
      <c r="D58" t="s">
        <v>316</v>
      </c>
      <c r="E58" t="s">
        <v>346</v>
      </c>
      <c r="F58">
        <v>130</v>
      </c>
      <c r="G58">
        <v>132.5</v>
      </c>
      <c r="H58" t="s">
        <v>799</v>
      </c>
    </row>
    <row r="59" spans="1:8">
      <c r="A59">
        <v>57</v>
      </c>
      <c r="B59" t="s">
        <v>856</v>
      </c>
      <c r="C59" t="s">
        <v>538</v>
      </c>
      <c r="D59" t="s">
        <v>316</v>
      </c>
      <c r="E59" t="s">
        <v>517</v>
      </c>
      <c r="F59">
        <v>102</v>
      </c>
      <c r="G59">
        <v>0</v>
      </c>
      <c r="H59" t="s">
        <v>801</v>
      </c>
    </row>
    <row r="60" spans="1:8">
      <c r="A60">
        <v>58</v>
      </c>
      <c r="B60" t="s">
        <v>857</v>
      </c>
      <c r="C60" t="s">
        <v>539</v>
      </c>
      <c r="D60" t="s">
        <v>316</v>
      </c>
      <c r="E60" t="s">
        <v>540</v>
      </c>
      <c r="F60">
        <v>125.5</v>
      </c>
      <c r="G60">
        <v>0</v>
      </c>
      <c r="H60" t="s">
        <v>799</v>
      </c>
    </row>
    <row r="61" spans="1:8">
      <c r="A61">
        <v>59</v>
      </c>
      <c r="B61" t="s">
        <v>858</v>
      </c>
      <c r="C61" t="s">
        <v>541</v>
      </c>
      <c r="D61" t="s">
        <v>316</v>
      </c>
      <c r="E61" t="s">
        <v>496</v>
      </c>
      <c r="F61">
        <v>100</v>
      </c>
      <c r="G61">
        <v>0</v>
      </c>
      <c r="H61" t="s">
        <v>799</v>
      </c>
    </row>
    <row r="62" spans="1:8">
      <c r="A62">
        <v>60</v>
      </c>
      <c r="B62" t="s">
        <v>859</v>
      </c>
      <c r="C62" t="s">
        <v>542</v>
      </c>
      <c r="D62" t="s">
        <v>316</v>
      </c>
      <c r="E62" t="s">
        <v>543</v>
      </c>
      <c r="F62">
        <v>125</v>
      </c>
      <c r="G62">
        <v>0</v>
      </c>
      <c r="H62" t="s">
        <v>801</v>
      </c>
    </row>
    <row r="63" spans="1:8">
      <c r="A63">
        <v>61</v>
      </c>
      <c r="B63" t="s">
        <v>860</v>
      </c>
      <c r="C63" t="s">
        <v>544</v>
      </c>
      <c r="D63" t="s">
        <v>316</v>
      </c>
      <c r="E63" t="s">
        <v>536</v>
      </c>
      <c r="F63">
        <v>160</v>
      </c>
      <c r="G63">
        <v>0</v>
      </c>
      <c r="H63" t="s">
        <v>801</v>
      </c>
    </row>
    <row r="64" spans="1:8">
      <c r="A64">
        <v>62</v>
      </c>
      <c r="B64" t="s">
        <v>861</v>
      </c>
      <c r="C64" t="s">
        <v>545</v>
      </c>
      <c r="D64" t="s">
        <v>316</v>
      </c>
      <c r="E64" t="s">
        <v>496</v>
      </c>
      <c r="F64">
        <v>110</v>
      </c>
      <c r="G64">
        <v>0</v>
      </c>
      <c r="H64" t="s">
        <v>799</v>
      </c>
    </row>
    <row r="65" spans="1:8">
      <c r="A65">
        <v>63</v>
      </c>
      <c r="B65" t="s">
        <v>862</v>
      </c>
      <c r="C65" t="s">
        <v>546</v>
      </c>
      <c r="D65" t="s">
        <v>316</v>
      </c>
      <c r="E65" t="s">
        <v>547</v>
      </c>
      <c r="F65">
        <v>145</v>
      </c>
      <c r="G65">
        <v>0</v>
      </c>
      <c r="H65" t="s">
        <v>801</v>
      </c>
    </row>
    <row r="66" spans="1:8">
      <c r="A66">
        <v>64</v>
      </c>
      <c r="B66" t="s">
        <v>863</v>
      </c>
      <c r="C66" t="s">
        <v>548</v>
      </c>
      <c r="D66" t="s">
        <v>316</v>
      </c>
      <c r="E66" t="s">
        <v>504</v>
      </c>
      <c r="F66">
        <v>130</v>
      </c>
      <c r="G66">
        <v>0</v>
      </c>
      <c r="H66" t="s">
        <v>801</v>
      </c>
    </row>
    <row r="67" spans="1:8">
      <c r="A67">
        <v>65</v>
      </c>
      <c r="B67" t="s">
        <v>864</v>
      </c>
      <c r="C67" t="s">
        <v>549</v>
      </c>
      <c r="D67" t="s">
        <v>316</v>
      </c>
      <c r="E67" t="s">
        <v>536</v>
      </c>
      <c r="F67">
        <v>160</v>
      </c>
      <c r="G67">
        <v>0</v>
      </c>
      <c r="H67" t="s">
        <v>801</v>
      </c>
    </row>
    <row r="68" spans="1:8">
      <c r="A68">
        <v>66</v>
      </c>
      <c r="B68" t="s">
        <v>865</v>
      </c>
      <c r="C68" t="s">
        <v>477</v>
      </c>
      <c r="D68" t="s">
        <v>316</v>
      </c>
      <c r="E68" t="s">
        <v>547</v>
      </c>
      <c r="F68">
        <v>145</v>
      </c>
      <c r="G68">
        <v>0</v>
      </c>
      <c r="H68" t="s">
        <v>801</v>
      </c>
    </row>
    <row r="69" spans="1:8">
      <c r="A69">
        <v>67</v>
      </c>
      <c r="B69" t="s">
        <v>866</v>
      </c>
      <c r="C69" t="s">
        <v>550</v>
      </c>
      <c r="D69" t="s">
        <v>316</v>
      </c>
      <c r="E69" t="s">
        <v>536</v>
      </c>
      <c r="F69">
        <v>160</v>
      </c>
      <c r="G69">
        <v>0</v>
      </c>
      <c r="H69" t="s">
        <v>801</v>
      </c>
    </row>
    <row r="70" spans="1:8">
      <c r="A70">
        <v>68</v>
      </c>
      <c r="B70" t="s">
        <v>867</v>
      </c>
      <c r="C70" t="s">
        <v>551</v>
      </c>
      <c r="D70" t="s">
        <v>316</v>
      </c>
      <c r="E70" t="s">
        <v>496</v>
      </c>
      <c r="F70">
        <v>130</v>
      </c>
      <c r="G70">
        <v>0</v>
      </c>
      <c r="H70" t="s">
        <v>799</v>
      </c>
    </row>
    <row r="71" spans="1:8">
      <c r="A71">
        <v>69</v>
      </c>
      <c r="B71" t="s">
        <v>868</v>
      </c>
      <c r="C71" t="s">
        <v>552</v>
      </c>
      <c r="D71" t="s">
        <v>316</v>
      </c>
      <c r="E71" t="s">
        <v>536</v>
      </c>
      <c r="F71">
        <v>160</v>
      </c>
      <c r="G71">
        <v>0</v>
      </c>
      <c r="H71" t="s">
        <v>801</v>
      </c>
    </row>
    <row r="72" spans="1:8">
      <c r="A72">
        <v>70</v>
      </c>
      <c r="B72" t="s">
        <v>869</v>
      </c>
      <c r="C72" t="s">
        <v>553</v>
      </c>
      <c r="D72" t="s">
        <v>316</v>
      </c>
      <c r="E72" t="s">
        <v>496</v>
      </c>
      <c r="F72">
        <v>130</v>
      </c>
      <c r="G72">
        <v>0</v>
      </c>
      <c r="H72" t="s">
        <v>799</v>
      </c>
    </row>
    <row r="73" spans="1:8">
      <c r="A73">
        <v>71</v>
      </c>
      <c r="B73" t="s">
        <v>870</v>
      </c>
      <c r="C73" t="s">
        <v>554</v>
      </c>
      <c r="D73" t="s">
        <v>316</v>
      </c>
      <c r="E73" t="s">
        <v>555</v>
      </c>
      <c r="F73">
        <v>150</v>
      </c>
      <c r="G73">
        <v>0</v>
      </c>
      <c r="H73" t="s">
        <v>801</v>
      </c>
    </row>
    <row r="74" spans="1:8">
      <c r="A74">
        <v>72</v>
      </c>
      <c r="B74" t="s">
        <v>871</v>
      </c>
      <c r="C74" t="s">
        <v>556</v>
      </c>
      <c r="D74" t="s">
        <v>316</v>
      </c>
      <c r="E74" t="s">
        <v>547</v>
      </c>
      <c r="F74">
        <v>115</v>
      </c>
      <c r="G74">
        <v>0</v>
      </c>
      <c r="H74" t="s">
        <v>799</v>
      </c>
    </row>
    <row r="75" spans="1:8">
      <c r="A75">
        <v>73</v>
      </c>
      <c r="B75" t="s">
        <v>872</v>
      </c>
      <c r="C75" t="s">
        <v>480</v>
      </c>
      <c r="D75" t="s">
        <v>316</v>
      </c>
      <c r="E75" t="s">
        <v>346</v>
      </c>
      <c r="F75">
        <v>0</v>
      </c>
      <c r="G75">
        <v>0</v>
      </c>
      <c r="H75" t="s">
        <v>801</v>
      </c>
    </row>
    <row r="76" spans="1:8">
      <c r="A76">
        <v>74</v>
      </c>
      <c r="B76" t="s">
        <v>873</v>
      </c>
      <c r="C76" t="s">
        <v>189</v>
      </c>
      <c r="D76" t="s">
        <v>316</v>
      </c>
      <c r="E76" t="s">
        <v>346</v>
      </c>
      <c r="F76">
        <v>140</v>
      </c>
      <c r="G76">
        <v>132.5</v>
      </c>
      <c r="H76" t="s">
        <v>801</v>
      </c>
    </row>
    <row r="77" spans="1:8">
      <c r="A77">
        <v>75</v>
      </c>
      <c r="B77" t="s">
        <v>874</v>
      </c>
      <c r="C77" t="s">
        <v>557</v>
      </c>
      <c r="D77" t="s">
        <v>316</v>
      </c>
      <c r="E77" t="s">
        <v>540</v>
      </c>
      <c r="F77">
        <v>0</v>
      </c>
      <c r="G77">
        <v>0</v>
      </c>
      <c r="H77" t="s">
        <v>799</v>
      </c>
    </row>
    <row r="78" spans="1:8">
      <c r="A78">
        <v>76</v>
      </c>
      <c r="B78" t="s">
        <v>875</v>
      </c>
      <c r="C78" t="s">
        <v>558</v>
      </c>
      <c r="D78" t="s">
        <v>316</v>
      </c>
      <c r="E78" t="s">
        <v>559</v>
      </c>
      <c r="F78">
        <v>132</v>
      </c>
      <c r="G78">
        <v>0</v>
      </c>
      <c r="H78" t="s">
        <v>799</v>
      </c>
    </row>
    <row r="79" spans="1:8">
      <c r="A79">
        <v>77</v>
      </c>
      <c r="B79" t="s">
        <v>876</v>
      </c>
      <c r="C79" t="s">
        <v>560</v>
      </c>
      <c r="D79" t="s">
        <v>316</v>
      </c>
      <c r="E79" t="s">
        <v>543</v>
      </c>
      <c r="F79">
        <v>140</v>
      </c>
      <c r="G79">
        <v>0</v>
      </c>
      <c r="H79" t="s">
        <v>801</v>
      </c>
    </row>
    <row r="80" spans="1:8">
      <c r="A80">
        <v>78</v>
      </c>
      <c r="B80" t="s">
        <v>877</v>
      </c>
      <c r="C80" t="s">
        <v>561</v>
      </c>
      <c r="D80" t="s">
        <v>316</v>
      </c>
      <c r="E80" t="s">
        <v>517</v>
      </c>
      <c r="F80">
        <v>0</v>
      </c>
      <c r="G80">
        <v>0</v>
      </c>
      <c r="H80" t="s">
        <v>801</v>
      </c>
    </row>
    <row r="81" spans="1:8">
      <c r="A81">
        <v>79</v>
      </c>
      <c r="B81" t="s">
        <v>878</v>
      </c>
      <c r="C81" t="s">
        <v>476</v>
      </c>
      <c r="D81" t="s">
        <v>319</v>
      </c>
      <c r="E81" t="s">
        <v>352</v>
      </c>
      <c r="F81">
        <v>0</v>
      </c>
      <c r="G81">
        <v>0</v>
      </c>
      <c r="H81" t="s">
        <v>801</v>
      </c>
    </row>
    <row r="82" spans="1:8">
      <c r="A82">
        <v>80</v>
      </c>
      <c r="B82" t="s">
        <v>879</v>
      </c>
      <c r="C82" t="s">
        <v>562</v>
      </c>
      <c r="D82" t="s">
        <v>319</v>
      </c>
      <c r="E82" t="s">
        <v>563</v>
      </c>
      <c r="F82">
        <v>125.75</v>
      </c>
      <c r="G82">
        <v>0</v>
      </c>
      <c r="H82" t="s">
        <v>799</v>
      </c>
    </row>
    <row r="83" spans="1:8">
      <c r="A83">
        <v>81</v>
      </c>
      <c r="B83" t="s">
        <v>880</v>
      </c>
      <c r="C83" t="s">
        <v>25</v>
      </c>
      <c r="D83" t="s">
        <v>319</v>
      </c>
      <c r="E83" t="s">
        <v>352</v>
      </c>
      <c r="F83">
        <v>137.5</v>
      </c>
      <c r="G83">
        <v>140</v>
      </c>
      <c r="H83" t="s">
        <v>799</v>
      </c>
    </row>
    <row r="84" spans="1:8">
      <c r="A84">
        <v>82</v>
      </c>
      <c r="B84" t="s">
        <v>881</v>
      </c>
      <c r="C84" t="s">
        <v>564</v>
      </c>
      <c r="D84" t="s">
        <v>319</v>
      </c>
      <c r="E84" t="s">
        <v>563</v>
      </c>
      <c r="F84">
        <v>0</v>
      </c>
      <c r="G84">
        <v>0</v>
      </c>
      <c r="H84" t="s">
        <v>799</v>
      </c>
    </row>
    <row r="85" spans="1:8">
      <c r="A85">
        <v>83</v>
      </c>
      <c r="B85" t="s">
        <v>882</v>
      </c>
      <c r="C85" t="s">
        <v>207</v>
      </c>
      <c r="D85" t="s">
        <v>319</v>
      </c>
      <c r="E85" t="s">
        <v>352</v>
      </c>
      <c r="F85">
        <v>250</v>
      </c>
      <c r="G85">
        <v>244</v>
      </c>
      <c r="H85" t="s">
        <v>801</v>
      </c>
    </row>
    <row r="86" spans="1:8">
      <c r="A86">
        <v>84</v>
      </c>
      <c r="B86" t="s">
        <v>883</v>
      </c>
      <c r="C86" t="s">
        <v>565</v>
      </c>
      <c r="D86" t="s">
        <v>319</v>
      </c>
      <c r="E86" t="s">
        <v>563</v>
      </c>
      <c r="F86">
        <v>205.75</v>
      </c>
      <c r="G86">
        <v>0</v>
      </c>
      <c r="H86" t="s">
        <v>799</v>
      </c>
    </row>
    <row r="87" spans="1:8">
      <c r="A87">
        <v>85</v>
      </c>
      <c r="B87" t="s">
        <v>884</v>
      </c>
      <c r="C87" t="s">
        <v>206</v>
      </c>
      <c r="D87" t="s">
        <v>319</v>
      </c>
      <c r="E87" t="s">
        <v>352</v>
      </c>
      <c r="F87">
        <v>230</v>
      </c>
      <c r="G87">
        <v>206</v>
      </c>
      <c r="H87" t="s">
        <v>801</v>
      </c>
    </row>
    <row r="88" spans="1:8">
      <c r="A88">
        <v>86</v>
      </c>
      <c r="B88" t="s">
        <v>885</v>
      </c>
      <c r="C88" t="s">
        <v>208</v>
      </c>
      <c r="D88" t="s">
        <v>319</v>
      </c>
      <c r="E88" t="s">
        <v>352</v>
      </c>
      <c r="F88">
        <v>230</v>
      </c>
      <c r="G88">
        <v>214</v>
      </c>
      <c r="H88" t="s">
        <v>801</v>
      </c>
    </row>
    <row r="89" spans="1:8">
      <c r="A89">
        <v>87</v>
      </c>
      <c r="B89" t="s">
        <v>886</v>
      </c>
      <c r="C89" t="s">
        <v>887</v>
      </c>
      <c r="D89" t="s">
        <v>319</v>
      </c>
      <c r="E89" t="s">
        <v>888</v>
      </c>
      <c r="F89">
        <v>135</v>
      </c>
      <c r="G89">
        <v>0</v>
      </c>
      <c r="H89" t="s">
        <v>801</v>
      </c>
    </row>
    <row r="90" spans="1:8">
      <c r="A90">
        <v>88</v>
      </c>
      <c r="B90" t="s">
        <v>889</v>
      </c>
      <c r="C90" t="s">
        <v>151</v>
      </c>
      <c r="D90" t="s">
        <v>311</v>
      </c>
      <c r="E90" t="s">
        <v>337</v>
      </c>
      <c r="F90">
        <v>0</v>
      </c>
      <c r="G90">
        <v>80</v>
      </c>
      <c r="H90" t="s">
        <v>801</v>
      </c>
    </row>
    <row r="91" spans="1:8">
      <c r="A91">
        <v>89</v>
      </c>
      <c r="B91" t="s">
        <v>890</v>
      </c>
      <c r="C91" t="s">
        <v>150</v>
      </c>
      <c r="D91" t="s">
        <v>311</v>
      </c>
      <c r="E91" t="s">
        <v>337</v>
      </c>
      <c r="F91">
        <v>0</v>
      </c>
      <c r="G91">
        <v>80</v>
      </c>
      <c r="H91" t="s">
        <v>801</v>
      </c>
    </row>
    <row r="92" spans="1:8">
      <c r="A92">
        <v>90</v>
      </c>
      <c r="B92" t="s">
        <v>891</v>
      </c>
      <c r="C92" t="s">
        <v>28</v>
      </c>
      <c r="D92" t="s">
        <v>319</v>
      </c>
      <c r="E92" t="s">
        <v>352</v>
      </c>
      <c r="F92">
        <v>75</v>
      </c>
      <c r="G92">
        <v>0</v>
      </c>
      <c r="H92" t="s">
        <v>799</v>
      </c>
    </row>
    <row r="93" spans="1:8">
      <c r="A93">
        <v>91</v>
      </c>
      <c r="B93" t="s">
        <v>892</v>
      </c>
      <c r="C93" t="s">
        <v>566</v>
      </c>
      <c r="D93" t="s">
        <v>567</v>
      </c>
      <c r="E93" t="s">
        <v>517</v>
      </c>
      <c r="F93">
        <v>0</v>
      </c>
      <c r="G93">
        <v>0</v>
      </c>
      <c r="H93" t="s">
        <v>801</v>
      </c>
    </row>
    <row r="94" spans="1:8">
      <c r="A94">
        <v>92</v>
      </c>
      <c r="B94" t="s">
        <v>893</v>
      </c>
      <c r="C94" t="s">
        <v>568</v>
      </c>
      <c r="D94" t="s">
        <v>567</v>
      </c>
      <c r="E94" t="s">
        <v>569</v>
      </c>
      <c r="F94">
        <v>56.2</v>
      </c>
      <c r="G94">
        <v>0</v>
      </c>
      <c r="H94" t="s">
        <v>799</v>
      </c>
    </row>
    <row r="95" spans="1:8">
      <c r="A95">
        <v>93</v>
      </c>
      <c r="B95" t="s">
        <v>894</v>
      </c>
      <c r="C95" t="s">
        <v>570</v>
      </c>
      <c r="D95" t="s">
        <v>567</v>
      </c>
      <c r="E95" t="s">
        <v>517</v>
      </c>
      <c r="F95">
        <v>0</v>
      </c>
      <c r="G95">
        <v>0</v>
      </c>
      <c r="H95" t="s">
        <v>801</v>
      </c>
    </row>
    <row r="96" spans="1:8">
      <c r="A96">
        <v>94</v>
      </c>
      <c r="B96" t="s">
        <v>895</v>
      </c>
      <c r="C96" t="s">
        <v>571</v>
      </c>
      <c r="D96" t="s">
        <v>567</v>
      </c>
      <c r="E96" t="s">
        <v>572</v>
      </c>
      <c r="F96">
        <v>40</v>
      </c>
      <c r="G96">
        <v>0</v>
      </c>
      <c r="H96" t="s">
        <v>801</v>
      </c>
    </row>
    <row r="97" spans="1:8">
      <c r="A97">
        <v>95</v>
      </c>
      <c r="B97" t="s">
        <v>896</v>
      </c>
      <c r="C97" t="s">
        <v>573</v>
      </c>
      <c r="D97" t="s">
        <v>567</v>
      </c>
      <c r="E97" t="s">
        <v>540</v>
      </c>
      <c r="F97">
        <v>66.349999999999994</v>
      </c>
      <c r="G97">
        <v>0</v>
      </c>
      <c r="H97" t="s">
        <v>799</v>
      </c>
    </row>
    <row r="98" spans="1:8">
      <c r="A98">
        <v>96</v>
      </c>
      <c r="B98" t="s">
        <v>897</v>
      </c>
      <c r="C98" t="s">
        <v>574</v>
      </c>
      <c r="D98" t="s">
        <v>567</v>
      </c>
      <c r="E98" t="s">
        <v>572</v>
      </c>
      <c r="F98">
        <v>25</v>
      </c>
      <c r="G98">
        <v>0</v>
      </c>
      <c r="H98" t="s">
        <v>801</v>
      </c>
    </row>
    <row r="99" spans="1:8">
      <c r="A99">
        <v>97</v>
      </c>
      <c r="B99" t="s">
        <v>898</v>
      </c>
      <c r="C99" t="s">
        <v>298</v>
      </c>
      <c r="D99" t="s">
        <v>31</v>
      </c>
      <c r="E99" t="s">
        <v>372</v>
      </c>
      <c r="F99">
        <v>0</v>
      </c>
      <c r="G99">
        <v>70.25</v>
      </c>
      <c r="H99" t="s">
        <v>801</v>
      </c>
    </row>
    <row r="100" spans="1:8">
      <c r="A100">
        <v>98</v>
      </c>
      <c r="B100" t="s">
        <v>899</v>
      </c>
      <c r="C100" t="s">
        <v>575</v>
      </c>
      <c r="D100" t="s">
        <v>31</v>
      </c>
      <c r="E100" t="s">
        <v>515</v>
      </c>
      <c r="F100">
        <v>0</v>
      </c>
      <c r="G100">
        <v>0</v>
      </c>
      <c r="H100" t="s">
        <v>801</v>
      </c>
    </row>
    <row r="101" spans="1:8">
      <c r="A101">
        <v>99</v>
      </c>
      <c r="B101" t="s">
        <v>900</v>
      </c>
      <c r="C101" t="s">
        <v>87</v>
      </c>
      <c r="D101" t="s">
        <v>29</v>
      </c>
      <c r="E101" t="s">
        <v>361</v>
      </c>
      <c r="F101">
        <v>85.65</v>
      </c>
      <c r="G101">
        <v>88.15</v>
      </c>
      <c r="H101" t="s">
        <v>799</v>
      </c>
    </row>
    <row r="102" spans="1:8">
      <c r="A102">
        <v>100</v>
      </c>
      <c r="B102" t="s">
        <v>901</v>
      </c>
      <c r="C102" t="s">
        <v>32</v>
      </c>
      <c r="D102" t="s">
        <v>306</v>
      </c>
      <c r="E102" t="s">
        <v>354</v>
      </c>
      <c r="F102">
        <v>101</v>
      </c>
      <c r="G102">
        <v>103</v>
      </c>
      <c r="H102" t="s">
        <v>799</v>
      </c>
    </row>
    <row r="103" spans="1:8">
      <c r="A103">
        <v>101</v>
      </c>
      <c r="B103" t="s">
        <v>902</v>
      </c>
      <c r="C103" t="s">
        <v>86</v>
      </c>
      <c r="D103" t="s">
        <v>29</v>
      </c>
      <c r="E103" t="s">
        <v>361</v>
      </c>
      <c r="F103">
        <v>91.65</v>
      </c>
      <c r="G103">
        <v>93.65</v>
      </c>
      <c r="H103" t="s">
        <v>799</v>
      </c>
    </row>
    <row r="104" spans="1:8">
      <c r="A104">
        <v>102</v>
      </c>
      <c r="B104" t="s">
        <v>903</v>
      </c>
      <c r="C104" t="s">
        <v>297</v>
      </c>
      <c r="D104" t="s">
        <v>329</v>
      </c>
      <c r="E104" t="s">
        <v>372</v>
      </c>
      <c r="F104">
        <v>0</v>
      </c>
      <c r="G104">
        <v>77.95</v>
      </c>
      <c r="H104" t="s">
        <v>801</v>
      </c>
    </row>
    <row r="105" spans="1:8">
      <c r="A105">
        <v>103</v>
      </c>
      <c r="B105" t="s">
        <v>904</v>
      </c>
      <c r="C105" t="s">
        <v>90</v>
      </c>
      <c r="D105" t="s">
        <v>306</v>
      </c>
      <c r="E105" t="s">
        <v>354</v>
      </c>
      <c r="F105">
        <v>103</v>
      </c>
      <c r="G105">
        <v>104</v>
      </c>
      <c r="H105" t="s">
        <v>799</v>
      </c>
    </row>
    <row r="106" spans="1:8">
      <c r="A106">
        <v>104</v>
      </c>
      <c r="B106" t="s">
        <v>905</v>
      </c>
      <c r="C106" t="s">
        <v>481</v>
      </c>
      <c r="D106" t="s">
        <v>306</v>
      </c>
      <c r="E106" t="s">
        <v>361</v>
      </c>
      <c r="F106">
        <v>105</v>
      </c>
      <c r="G106">
        <v>0</v>
      </c>
      <c r="H106" t="s">
        <v>801</v>
      </c>
    </row>
    <row r="107" spans="1:8">
      <c r="A107">
        <v>105</v>
      </c>
      <c r="B107" t="s">
        <v>906</v>
      </c>
      <c r="C107" t="s">
        <v>85</v>
      </c>
      <c r="D107" t="s">
        <v>29</v>
      </c>
      <c r="E107" t="s">
        <v>361</v>
      </c>
      <c r="F107">
        <v>89.05</v>
      </c>
      <c r="G107">
        <v>94.05</v>
      </c>
      <c r="H107" t="s">
        <v>799</v>
      </c>
    </row>
    <row r="108" spans="1:8">
      <c r="A108">
        <v>106</v>
      </c>
      <c r="B108" t="s">
        <v>907</v>
      </c>
      <c r="C108" t="s">
        <v>576</v>
      </c>
      <c r="D108" t="s">
        <v>29</v>
      </c>
      <c r="E108" t="s">
        <v>577</v>
      </c>
      <c r="F108">
        <v>89.6</v>
      </c>
      <c r="G108">
        <v>0</v>
      </c>
      <c r="H108" t="s">
        <v>799</v>
      </c>
    </row>
    <row r="109" spans="1:8">
      <c r="A109">
        <v>107</v>
      </c>
      <c r="B109" t="s">
        <v>908</v>
      </c>
      <c r="C109" t="s">
        <v>130</v>
      </c>
      <c r="D109" t="s">
        <v>306</v>
      </c>
      <c r="E109" t="s">
        <v>332</v>
      </c>
      <c r="F109">
        <v>95</v>
      </c>
      <c r="G109">
        <v>88</v>
      </c>
      <c r="H109" t="s">
        <v>801</v>
      </c>
    </row>
    <row r="110" spans="1:8">
      <c r="A110">
        <v>108</v>
      </c>
      <c r="B110" t="s">
        <v>909</v>
      </c>
      <c r="C110" t="s">
        <v>910</v>
      </c>
      <c r="D110" t="s">
        <v>582</v>
      </c>
      <c r="E110" t="s">
        <v>583</v>
      </c>
      <c r="F110">
        <v>90</v>
      </c>
      <c r="G110">
        <v>0</v>
      </c>
      <c r="H110" t="s">
        <v>801</v>
      </c>
    </row>
    <row r="111" spans="1:8">
      <c r="A111">
        <v>109</v>
      </c>
      <c r="B111" t="s">
        <v>911</v>
      </c>
      <c r="C111" t="s">
        <v>247</v>
      </c>
      <c r="D111" t="s">
        <v>306</v>
      </c>
      <c r="E111" t="s">
        <v>361</v>
      </c>
      <c r="F111">
        <v>90</v>
      </c>
      <c r="G111">
        <v>81</v>
      </c>
      <c r="H111" t="s">
        <v>801</v>
      </c>
    </row>
    <row r="112" spans="1:8">
      <c r="A112">
        <v>110</v>
      </c>
      <c r="B112" t="s">
        <v>912</v>
      </c>
      <c r="C112" t="s">
        <v>89</v>
      </c>
      <c r="D112" t="s">
        <v>306</v>
      </c>
      <c r="E112" t="s">
        <v>332</v>
      </c>
      <c r="F112">
        <v>105</v>
      </c>
      <c r="G112">
        <v>105</v>
      </c>
      <c r="H112" t="s">
        <v>799</v>
      </c>
    </row>
    <row r="113" spans="1:8">
      <c r="A113">
        <v>111</v>
      </c>
      <c r="B113" t="s">
        <v>913</v>
      </c>
      <c r="C113" t="s">
        <v>225</v>
      </c>
      <c r="D113" t="s">
        <v>29</v>
      </c>
      <c r="E113" t="s">
        <v>356</v>
      </c>
      <c r="F113">
        <v>105</v>
      </c>
      <c r="G113">
        <v>97</v>
      </c>
      <c r="H113" t="s">
        <v>801</v>
      </c>
    </row>
    <row r="114" spans="1:8">
      <c r="A114">
        <v>112</v>
      </c>
      <c r="B114" t="s">
        <v>914</v>
      </c>
      <c r="C114" t="s">
        <v>578</v>
      </c>
      <c r="D114" t="s">
        <v>31</v>
      </c>
      <c r="E114" t="s">
        <v>579</v>
      </c>
      <c r="F114">
        <v>110</v>
      </c>
      <c r="G114">
        <v>0</v>
      </c>
      <c r="H114" t="s">
        <v>801</v>
      </c>
    </row>
    <row r="115" spans="1:8">
      <c r="A115">
        <v>113</v>
      </c>
      <c r="B115" t="s">
        <v>915</v>
      </c>
      <c r="C115" t="s">
        <v>246</v>
      </c>
      <c r="D115" t="s">
        <v>29</v>
      </c>
      <c r="E115" t="s">
        <v>361</v>
      </c>
      <c r="F115">
        <v>0</v>
      </c>
      <c r="G115">
        <v>90.05</v>
      </c>
      <c r="H115" t="s">
        <v>801</v>
      </c>
    </row>
    <row r="116" spans="1:8">
      <c r="A116">
        <v>114</v>
      </c>
      <c r="B116" t="s">
        <v>916</v>
      </c>
      <c r="C116" t="s">
        <v>177</v>
      </c>
      <c r="D116" t="s">
        <v>31</v>
      </c>
      <c r="E116" t="s">
        <v>343</v>
      </c>
      <c r="F116">
        <v>185</v>
      </c>
      <c r="G116">
        <v>128</v>
      </c>
      <c r="H116" t="s">
        <v>801</v>
      </c>
    </row>
    <row r="117" spans="1:8">
      <c r="A117">
        <v>115</v>
      </c>
      <c r="B117" t="s">
        <v>917</v>
      </c>
      <c r="C117" t="s">
        <v>580</v>
      </c>
      <c r="D117" t="s">
        <v>306</v>
      </c>
      <c r="E117" t="s">
        <v>496</v>
      </c>
      <c r="F117">
        <v>98</v>
      </c>
      <c r="G117">
        <v>0</v>
      </c>
      <c r="H117" t="s">
        <v>799</v>
      </c>
    </row>
    <row r="118" spans="1:8">
      <c r="A118">
        <v>116</v>
      </c>
      <c r="B118" t="s">
        <v>918</v>
      </c>
      <c r="C118" t="s">
        <v>581</v>
      </c>
      <c r="D118" t="s">
        <v>582</v>
      </c>
      <c r="E118" t="s">
        <v>583</v>
      </c>
      <c r="F118">
        <v>95</v>
      </c>
      <c r="G118">
        <v>0</v>
      </c>
      <c r="H118" t="s">
        <v>801</v>
      </c>
    </row>
    <row r="119" spans="1:8">
      <c r="A119">
        <v>117</v>
      </c>
      <c r="B119" t="s">
        <v>919</v>
      </c>
      <c r="C119" t="s">
        <v>584</v>
      </c>
      <c r="D119" t="s">
        <v>40</v>
      </c>
      <c r="E119" t="s">
        <v>572</v>
      </c>
      <c r="F119">
        <v>75</v>
      </c>
      <c r="G119">
        <v>0</v>
      </c>
      <c r="H119" t="s">
        <v>801</v>
      </c>
    </row>
    <row r="120" spans="1:8">
      <c r="A120">
        <v>118</v>
      </c>
      <c r="B120" t="s">
        <v>920</v>
      </c>
      <c r="C120" t="s">
        <v>88</v>
      </c>
      <c r="D120" t="s">
        <v>29</v>
      </c>
      <c r="E120" t="s">
        <v>361</v>
      </c>
      <c r="F120">
        <v>85.65</v>
      </c>
      <c r="G120">
        <v>88.15</v>
      </c>
      <c r="H120" t="s">
        <v>799</v>
      </c>
    </row>
    <row r="121" spans="1:8">
      <c r="A121">
        <v>119</v>
      </c>
      <c r="B121" t="s">
        <v>921</v>
      </c>
      <c r="C121" t="s">
        <v>296</v>
      </c>
      <c r="D121" t="s">
        <v>328</v>
      </c>
      <c r="E121" t="s">
        <v>372</v>
      </c>
      <c r="F121">
        <v>0</v>
      </c>
      <c r="G121">
        <v>56.65</v>
      </c>
      <c r="H121" t="s">
        <v>801</v>
      </c>
    </row>
    <row r="122" spans="1:8">
      <c r="A122">
        <v>120</v>
      </c>
      <c r="B122" t="s">
        <v>922</v>
      </c>
      <c r="C122" t="s">
        <v>30</v>
      </c>
      <c r="D122" t="s">
        <v>29</v>
      </c>
      <c r="E122" t="s">
        <v>354</v>
      </c>
      <c r="F122">
        <v>83</v>
      </c>
      <c r="G122">
        <v>85</v>
      </c>
      <c r="H122" t="s">
        <v>799</v>
      </c>
    </row>
    <row r="123" spans="1:8">
      <c r="A123">
        <v>121</v>
      </c>
      <c r="B123" t="s">
        <v>923</v>
      </c>
      <c r="C123" t="s">
        <v>255</v>
      </c>
      <c r="D123" t="s">
        <v>29</v>
      </c>
      <c r="E123" t="s">
        <v>361</v>
      </c>
      <c r="F123">
        <v>0</v>
      </c>
      <c r="G123">
        <v>91.75</v>
      </c>
      <c r="H123" t="s">
        <v>801</v>
      </c>
    </row>
    <row r="124" spans="1:8">
      <c r="A124">
        <v>122</v>
      </c>
      <c r="B124" t="s">
        <v>924</v>
      </c>
      <c r="C124" t="s">
        <v>585</v>
      </c>
      <c r="D124" t="s">
        <v>582</v>
      </c>
      <c r="E124" t="s">
        <v>583</v>
      </c>
      <c r="F124">
        <v>90</v>
      </c>
      <c r="G124">
        <v>0</v>
      </c>
      <c r="H124" t="s">
        <v>801</v>
      </c>
    </row>
    <row r="125" spans="1:8">
      <c r="A125">
        <v>123</v>
      </c>
      <c r="B125" t="s">
        <v>925</v>
      </c>
      <c r="C125" t="s">
        <v>249</v>
      </c>
      <c r="D125" t="s">
        <v>306</v>
      </c>
      <c r="E125" t="s">
        <v>361</v>
      </c>
      <c r="F125">
        <v>0</v>
      </c>
      <c r="G125">
        <v>82.25</v>
      </c>
      <c r="H125" t="s">
        <v>801</v>
      </c>
    </row>
    <row r="126" spans="1:8">
      <c r="A126">
        <v>124</v>
      </c>
      <c r="B126" t="s">
        <v>926</v>
      </c>
      <c r="C126" t="s">
        <v>274</v>
      </c>
      <c r="D126" t="s">
        <v>307</v>
      </c>
      <c r="E126" t="s">
        <v>367</v>
      </c>
      <c r="F126">
        <v>110</v>
      </c>
      <c r="G126">
        <v>116.15</v>
      </c>
      <c r="H126" t="s">
        <v>801</v>
      </c>
    </row>
    <row r="127" spans="1:8">
      <c r="A127">
        <v>125</v>
      </c>
      <c r="B127" t="s">
        <v>927</v>
      </c>
      <c r="C127" t="s">
        <v>586</v>
      </c>
      <c r="D127" t="s">
        <v>31</v>
      </c>
      <c r="E127" t="s">
        <v>587</v>
      </c>
      <c r="F127">
        <v>0</v>
      </c>
      <c r="G127">
        <v>0</v>
      </c>
      <c r="H127" t="s">
        <v>801</v>
      </c>
    </row>
    <row r="128" spans="1:8">
      <c r="A128">
        <v>126</v>
      </c>
      <c r="B128" t="s">
        <v>928</v>
      </c>
      <c r="C128" t="s">
        <v>135</v>
      </c>
      <c r="D128" t="s">
        <v>307</v>
      </c>
      <c r="E128" t="s">
        <v>332</v>
      </c>
      <c r="F128">
        <v>120</v>
      </c>
      <c r="G128">
        <v>112</v>
      </c>
      <c r="H128" t="s">
        <v>801</v>
      </c>
    </row>
    <row r="129" spans="1:8">
      <c r="A129">
        <v>127</v>
      </c>
      <c r="B129" t="s">
        <v>929</v>
      </c>
      <c r="C129" t="s">
        <v>588</v>
      </c>
      <c r="D129" t="s">
        <v>33</v>
      </c>
      <c r="E129" t="s">
        <v>589</v>
      </c>
      <c r="F129">
        <v>97.5</v>
      </c>
      <c r="G129">
        <v>0</v>
      </c>
      <c r="H129" t="s">
        <v>799</v>
      </c>
    </row>
    <row r="130" spans="1:8">
      <c r="A130">
        <v>128</v>
      </c>
      <c r="B130" t="s">
        <v>930</v>
      </c>
      <c r="C130" t="s">
        <v>276</v>
      </c>
      <c r="D130" t="s">
        <v>33</v>
      </c>
      <c r="E130" t="s">
        <v>368</v>
      </c>
      <c r="F130">
        <v>90</v>
      </c>
      <c r="G130">
        <v>94.15</v>
      </c>
      <c r="H130" t="s">
        <v>801</v>
      </c>
    </row>
    <row r="131" spans="1:8">
      <c r="A131">
        <v>129</v>
      </c>
      <c r="B131" t="s">
        <v>931</v>
      </c>
      <c r="C131" t="s">
        <v>179</v>
      </c>
      <c r="D131" t="s">
        <v>33</v>
      </c>
      <c r="E131" t="s">
        <v>343</v>
      </c>
      <c r="F131">
        <v>110</v>
      </c>
      <c r="G131">
        <v>98</v>
      </c>
      <c r="H131" t="s">
        <v>801</v>
      </c>
    </row>
    <row r="132" spans="1:8">
      <c r="A132">
        <v>130</v>
      </c>
      <c r="B132" t="s">
        <v>932</v>
      </c>
      <c r="C132" t="s">
        <v>133</v>
      </c>
      <c r="D132" t="s">
        <v>33</v>
      </c>
      <c r="E132" t="s">
        <v>332</v>
      </c>
      <c r="F132">
        <v>110</v>
      </c>
      <c r="G132">
        <v>104</v>
      </c>
      <c r="H132" t="s">
        <v>801</v>
      </c>
    </row>
    <row r="133" spans="1:8">
      <c r="A133">
        <v>131</v>
      </c>
      <c r="B133" t="s">
        <v>933</v>
      </c>
      <c r="C133" t="s">
        <v>180</v>
      </c>
      <c r="D133" t="s">
        <v>33</v>
      </c>
      <c r="E133" t="s">
        <v>343</v>
      </c>
      <c r="F133">
        <v>110</v>
      </c>
      <c r="G133">
        <v>98</v>
      </c>
      <c r="H133" t="s">
        <v>801</v>
      </c>
    </row>
    <row r="134" spans="1:8">
      <c r="A134">
        <v>132</v>
      </c>
      <c r="B134" t="s">
        <v>934</v>
      </c>
      <c r="C134" t="s">
        <v>590</v>
      </c>
      <c r="D134" t="s">
        <v>33</v>
      </c>
      <c r="E134" t="s">
        <v>496</v>
      </c>
      <c r="F134">
        <v>90</v>
      </c>
      <c r="G134">
        <v>0</v>
      </c>
      <c r="H134" t="s">
        <v>799</v>
      </c>
    </row>
    <row r="135" spans="1:8">
      <c r="A135">
        <v>133</v>
      </c>
      <c r="B135" t="s">
        <v>935</v>
      </c>
      <c r="C135" t="s">
        <v>196</v>
      </c>
      <c r="D135" t="s">
        <v>33</v>
      </c>
      <c r="E135" t="s">
        <v>349</v>
      </c>
      <c r="F135">
        <v>105</v>
      </c>
      <c r="G135">
        <v>104</v>
      </c>
      <c r="H135" t="s">
        <v>801</v>
      </c>
    </row>
    <row r="136" spans="1:8">
      <c r="A136">
        <v>134</v>
      </c>
      <c r="B136" t="s">
        <v>936</v>
      </c>
      <c r="C136" t="s">
        <v>34</v>
      </c>
      <c r="D136" t="s">
        <v>323</v>
      </c>
      <c r="E136" t="s">
        <v>361</v>
      </c>
      <c r="F136">
        <v>0</v>
      </c>
      <c r="G136">
        <v>0</v>
      </c>
      <c r="H136" t="s">
        <v>799</v>
      </c>
    </row>
    <row r="137" spans="1:8">
      <c r="A137">
        <v>135</v>
      </c>
      <c r="B137" t="s">
        <v>937</v>
      </c>
      <c r="C137" t="s">
        <v>277</v>
      </c>
      <c r="D137" t="s">
        <v>33</v>
      </c>
      <c r="E137" t="s">
        <v>368</v>
      </c>
      <c r="F137">
        <v>85</v>
      </c>
      <c r="G137">
        <v>88.65</v>
      </c>
      <c r="H137" t="s">
        <v>801</v>
      </c>
    </row>
    <row r="138" spans="1:8">
      <c r="A138">
        <v>136</v>
      </c>
      <c r="B138" t="s">
        <v>938</v>
      </c>
      <c r="C138" t="s">
        <v>279</v>
      </c>
      <c r="D138" t="s">
        <v>33</v>
      </c>
      <c r="E138" t="s">
        <v>368</v>
      </c>
      <c r="F138">
        <v>90</v>
      </c>
      <c r="G138">
        <v>94.15</v>
      </c>
      <c r="H138" t="s">
        <v>801</v>
      </c>
    </row>
    <row r="139" spans="1:8">
      <c r="A139">
        <v>137</v>
      </c>
      <c r="B139" t="s">
        <v>939</v>
      </c>
      <c r="C139" t="s">
        <v>134</v>
      </c>
      <c r="D139" t="s">
        <v>33</v>
      </c>
      <c r="E139" t="s">
        <v>332</v>
      </c>
      <c r="F139">
        <v>110</v>
      </c>
      <c r="G139">
        <v>104</v>
      </c>
      <c r="H139" t="s">
        <v>801</v>
      </c>
    </row>
    <row r="140" spans="1:8">
      <c r="A140">
        <v>138</v>
      </c>
      <c r="B140" t="s">
        <v>940</v>
      </c>
      <c r="C140" t="s">
        <v>36</v>
      </c>
      <c r="D140" t="s">
        <v>323</v>
      </c>
      <c r="E140" t="s">
        <v>356</v>
      </c>
      <c r="F140">
        <v>84</v>
      </c>
      <c r="G140">
        <v>86.5</v>
      </c>
      <c r="H140" t="s">
        <v>799</v>
      </c>
    </row>
    <row r="141" spans="1:8">
      <c r="A141">
        <v>139</v>
      </c>
      <c r="B141" t="s">
        <v>941</v>
      </c>
      <c r="C141" t="s">
        <v>37</v>
      </c>
      <c r="D141" t="s">
        <v>322</v>
      </c>
      <c r="E141" t="s">
        <v>356</v>
      </c>
      <c r="F141">
        <v>84</v>
      </c>
      <c r="G141">
        <v>86.5</v>
      </c>
      <c r="H141" t="s">
        <v>799</v>
      </c>
    </row>
    <row r="142" spans="1:8">
      <c r="A142">
        <v>140</v>
      </c>
      <c r="B142" t="s">
        <v>942</v>
      </c>
      <c r="C142" t="s">
        <v>591</v>
      </c>
      <c r="D142" t="s">
        <v>35</v>
      </c>
      <c r="E142" t="s">
        <v>496</v>
      </c>
      <c r="F142">
        <v>85</v>
      </c>
      <c r="G142">
        <v>0</v>
      </c>
      <c r="H142" t="s">
        <v>799</v>
      </c>
    </row>
    <row r="143" spans="1:8">
      <c r="A143">
        <v>141</v>
      </c>
      <c r="B143" t="s">
        <v>943</v>
      </c>
      <c r="C143" t="s">
        <v>592</v>
      </c>
      <c r="D143" t="s">
        <v>35</v>
      </c>
      <c r="E143" t="s">
        <v>496</v>
      </c>
      <c r="F143">
        <v>0</v>
      </c>
      <c r="G143">
        <v>0</v>
      </c>
      <c r="H143" t="s">
        <v>801</v>
      </c>
    </row>
    <row r="144" spans="1:8">
      <c r="A144">
        <v>142</v>
      </c>
      <c r="B144" t="s">
        <v>944</v>
      </c>
      <c r="C144" t="s">
        <v>593</v>
      </c>
      <c r="D144" t="s">
        <v>35</v>
      </c>
      <c r="E144" t="s">
        <v>496</v>
      </c>
      <c r="F144">
        <v>0</v>
      </c>
      <c r="G144">
        <v>0</v>
      </c>
      <c r="H144" t="s">
        <v>801</v>
      </c>
    </row>
    <row r="145" spans="1:8">
      <c r="A145">
        <v>143</v>
      </c>
      <c r="B145" t="s">
        <v>945</v>
      </c>
      <c r="C145" t="s">
        <v>178</v>
      </c>
      <c r="D145" t="s">
        <v>35</v>
      </c>
      <c r="E145" t="s">
        <v>343</v>
      </c>
      <c r="F145">
        <v>105</v>
      </c>
      <c r="G145">
        <v>94</v>
      </c>
      <c r="H145" t="s">
        <v>801</v>
      </c>
    </row>
    <row r="146" spans="1:8">
      <c r="A146">
        <v>144</v>
      </c>
      <c r="B146" t="s">
        <v>946</v>
      </c>
      <c r="C146" t="s">
        <v>594</v>
      </c>
      <c r="D146" t="s">
        <v>595</v>
      </c>
      <c r="E146" t="s">
        <v>529</v>
      </c>
      <c r="F146">
        <v>100</v>
      </c>
      <c r="G146">
        <v>0</v>
      </c>
      <c r="H146" t="s">
        <v>801</v>
      </c>
    </row>
    <row r="147" spans="1:8">
      <c r="A147">
        <v>145</v>
      </c>
      <c r="B147" t="s">
        <v>947</v>
      </c>
      <c r="C147" t="s">
        <v>596</v>
      </c>
      <c r="D147" t="s">
        <v>35</v>
      </c>
      <c r="E147" t="s">
        <v>496</v>
      </c>
      <c r="F147">
        <v>82.5</v>
      </c>
      <c r="G147">
        <v>0</v>
      </c>
      <c r="H147" t="s">
        <v>799</v>
      </c>
    </row>
    <row r="148" spans="1:8">
      <c r="A148">
        <v>146</v>
      </c>
      <c r="B148" t="s">
        <v>948</v>
      </c>
      <c r="C148" t="s">
        <v>125</v>
      </c>
      <c r="D148" t="s">
        <v>35</v>
      </c>
      <c r="E148" t="s">
        <v>949</v>
      </c>
      <c r="F148">
        <v>95</v>
      </c>
      <c r="G148">
        <v>93</v>
      </c>
      <c r="H148" t="s">
        <v>801</v>
      </c>
    </row>
    <row r="149" spans="1:8">
      <c r="A149">
        <v>147</v>
      </c>
      <c r="B149" t="s">
        <v>950</v>
      </c>
      <c r="C149" t="s">
        <v>951</v>
      </c>
      <c r="D149" t="s">
        <v>35</v>
      </c>
      <c r="E149" t="s">
        <v>496</v>
      </c>
      <c r="F149">
        <v>0</v>
      </c>
      <c r="G149">
        <v>0</v>
      </c>
      <c r="H149" t="s">
        <v>801</v>
      </c>
    </row>
    <row r="150" spans="1:8">
      <c r="A150">
        <v>148</v>
      </c>
      <c r="B150" t="s">
        <v>952</v>
      </c>
      <c r="C150" t="s">
        <v>124</v>
      </c>
      <c r="D150" t="s">
        <v>35</v>
      </c>
      <c r="E150" t="s">
        <v>949</v>
      </c>
      <c r="F150">
        <v>95</v>
      </c>
      <c r="G150">
        <v>93</v>
      </c>
      <c r="H150" t="s">
        <v>801</v>
      </c>
    </row>
    <row r="151" spans="1:8">
      <c r="A151">
        <v>149</v>
      </c>
      <c r="B151" t="s">
        <v>953</v>
      </c>
      <c r="C151" t="s">
        <v>954</v>
      </c>
      <c r="D151" t="s">
        <v>35</v>
      </c>
      <c r="E151" t="s">
        <v>496</v>
      </c>
      <c r="F151">
        <v>85</v>
      </c>
      <c r="G151">
        <v>0</v>
      </c>
      <c r="H151" t="s">
        <v>799</v>
      </c>
    </row>
    <row r="152" spans="1:8">
      <c r="A152">
        <v>150</v>
      </c>
      <c r="B152" t="s">
        <v>955</v>
      </c>
      <c r="C152" t="s">
        <v>956</v>
      </c>
      <c r="D152" t="s">
        <v>35</v>
      </c>
      <c r="E152" t="s">
        <v>343</v>
      </c>
      <c r="F152">
        <v>195</v>
      </c>
      <c r="G152">
        <v>0</v>
      </c>
      <c r="H152" t="s">
        <v>801</v>
      </c>
    </row>
    <row r="153" spans="1:8">
      <c r="A153">
        <v>151</v>
      </c>
      <c r="B153" t="s">
        <v>957</v>
      </c>
      <c r="C153" t="s">
        <v>958</v>
      </c>
      <c r="D153" t="s">
        <v>35</v>
      </c>
      <c r="E153" t="s">
        <v>496</v>
      </c>
      <c r="F153">
        <v>85</v>
      </c>
      <c r="G153">
        <v>0</v>
      </c>
      <c r="H153" t="s">
        <v>799</v>
      </c>
    </row>
    <row r="154" spans="1:8">
      <c r="A154">
        <v>152</v>
      </c>
      <c r="B154" t="s">
        <v>959</v>
      </c>
      <c r="C154" t="s">
        <v>157</v>
      </c>
      <c r="D154" t="s">
        <v>51</v>
      </c>
      <c r="E154" t="s">
        <v>338</v>
      </c>
      <c r="F154">
        <v>75</v>
      </c>
      <c r="G154">
        <v>67.5</v>
      </c>
      <c r="H154" t="s">
        <v>801</v>
      </c>
    </row>
    <row r="155" spans="1:8">
      <c r="A155">
        <v>153</v>
      </c>
      <c r="B155" t="s">
        <v>960</v>
      </c>
      <c r="C155" t="s">
        <v>203</v>
      </c>
      <c r="D155" t="s">
        <v>51</v>
      </c>
      <c r="E155" t="s">
        <v>351</v>
      </c>
      <c r="F155">
        <v>70</v>
      </c>
      <c r="G155">
        <v>70</v>
      </c>
      <c r="H155" t="s">
        <v>801</v>
      </c>
    </row>
    <row r="156" spans="1:8">
      <c r="A156">
        <v>154</v>
      </c>
      <c r="B156" t="s">
        <v>961</v>
      </c>
      <c r="C156" t="s">
        <v>597</v>
      </c>
      <c r="D156" t="s">
        <v>51</v>
      </c>
      <c r="E156" t="s">
        <v>598</v>
      </c>
      <c r="F156">
        <v>72</v>
      </c>
      <c r="G156">
        <v>0</v>
      </c>
      <c r="H156" t="s">
        <v>799</v>
      </c>
    </row>
    <row r="157" spans="1:8">
      <c r="A157">
        <v>155</v>
      </c>
      <c r="B157" t="s">
        <v>962</v>
      </c>
      <c r="C157" t="s">
        <v>599</v>
      </c>
      <c r="D157" t="s">
        <v>51</v>
      </c>
      <c r="E157" t="s">
        <v>600</v>
      </c>
      <c r="F157">
        <v>45</v>
      </c>
      <c r="G157">
        <v>0</v>
      </c>
      <c r="H157" t="s">
        <v>801</v>
      </c>
    </row>
    <row r="158" spans="1:8">
      <c r="A158">
        <v>156</v>
      </c>
      <c r="B158" t="s">
        <v>963</v>
      </c>
      <c r="C158" t="s">
        <v>156</v>
      </c>
      <c r="D158" t="s">
        <v>51</v>
      </c>
      <c r="E158" t="s">
        <v>338</v>
      </c>
      <c r="F158">
        <v>75</v>
      </c>
      <c r="G158">
        <v>67.5</v>
      </c>
      <c r="H158" t="s">
        <v>801</v>
      </c>
    </row>
    <row r="159" spans="1:8">
      <c r="A159">
        <v>157</v>
      </c>
      <c r="B159" t="s">
        <v>964</v>
      </c>
      <c r="C159" t="s">
        <v>601</v>
      </c>
      <c r="D159" t="s">
        <v>51</v>
      </c>
      <c r="E159" t="s">
        <v>360</v>
      </c>
      <c r="F159">
        <v>89</v>
      </c>
      <c r="G159">
        <v>92</v>
      </c>
      <c r="H159" t="s">
        <v>799</v>
      </c>
    </row>
    <row r="160" spans="1:8">
      <c r="A160">
        <v>158</v>
      </c>
      <c r="B160" t="s">
        <v>965</v>
      </c>
      <c r="C160" t="s">
        <v>602</v>
      </c>
      <c r="D160" t="s">
        <v>51</v>
      </c>
      <c r="E160" t="s">
        <v>598</v>
      </c>
      <c r="F160">
        <v>80</v>
      </c>
      <c r="G160">
        <v>0</v>
      </c>
      <c r="H160" t="s">
        <v>799</v>
      </c>
    </row>
    <row r="161" spans="1:8">
      <c r="A161">
        <v>159</v>
      </c>
      <c r="B161" t="s">
        <v>966</v>
      </c>
      <c r="C161" t="s">
        <v>201</v>
      </c>
      <c r="D161" t="s">
        <v>51</v>
      </c>
      <c r="E161" t="s">
        <v>351</v>
      </c>
      <c r="F161">
        <v>67.5</v>
      </c>
      <c r="G161">
        <v>67.5</v>
      </c>
      <c r="H161" t="s">
        <v>801</v>
      </c>
    </row>
    <row r="162" spans="1:8">
      <c r="A162">
        <v>160</v>
      </c>
      <c r="B162" t="s">
        <v>967</v>
      </c>
      <c r="C162" t="s">
        <v>98</v>
      </c>
      <c r="D162" t="s">
        <v>51</v>
      </c>
      <c r="E162" t="s">
        <v>360</v>
      </c>
      <c r="F162">
        <v>82</v>
      </c>
      <c r="G162">
        <v>84</v>
      </c>
      <c r="H162" t="s">
        <v>799</v>
      </c>
    </row>
    <row r="163" spans="1:8">
      <c r="A163">
        <v>161</v>
      </c>
      <c r="B163" t="s">
        <v>968</v>
      </c>
      <c r="C163" t="s">
        <v>603</v>
      </c>
      <c r="D163" t="s">
        <v>51</v>
      </c>
      <c r="E163" t="s">
        <v>598</v>
      </c>
      <c r="F163">
        <v>77</v>
      </c>
      <c r="G163">
        <v>0</v>
      </c>
      <c r="H163" t="s">
        <v>799</v>
      </c>
    </row>
    <row r="164" spans="1:8">
      <c r="A164">
        <v>162</v>
      </c>
      <c r="B164" t="s">
        <v>969</v>
      </c>
      <c r="C164" t="s">
        <v>604</v>
      </c>
      <c r="D164" t="s">
        <v>51</v>
      </c>
      <c r="E164" t="s">
        <v>605</v>
      </c>
      <c r="F164">
        <v>85</v>
      </c>
      <c r="G164">
        <v>0</v>
      </c>
      <c r="H164" t="s">
        <v>801</v>
      </c>
    </row>
    <row r="165" spans="1:8">
      <c r="A165">
        <v>163</v>
      </c>
      <c r="B165" t="s">
        <v>970</v>
      </c>
      <c r="C165" t="s">
        <v>97</v>
      </c>
      <c r="D165" t="s">
        <v>51</v>
      </c>
      <c r="E165" t="s">
        <v>360</v>
      </c>
      <c r="F165">
        <v>71</v>
      </c>
      <c r="G165">
        <v>73.5</v>
      </c>
      <c r="H165" t="s">
        <v>799</v>
      </c>
    </row>
    <row r="166" spans="1:8">
      <c r="A166">
        <v>164</v>
      </c>
      <c r="B166" t="s">
        <v>971</v>
      </c>
      <c r="C166" t="s">
        <v>56</v>
      </c>
      <c r="D166" t="s">
        <v>51</v>
      </c>
      <c r="E166" t="s">
        <v>360</v>
      </c>
      <c r="F166">
        <v>81</v>
      </c>
      <c r="G166">
        <v>77</v>
      </c>
      <c r="H166" t="s">
        <v>801</v>
      </c>
    </row>
    <row r="167" spans="1:8">
      <c r="A167">
        <v>165</v>
      </c>
      <c r="B167" t="s">
        <v>972</v>
      </c>
      <c r="C167" t="s">
        <v>973</v>
      </c>
      <c r="D167" t="s">
        <v>51</v>
      </c>
      <c r="E167" t="s">
        <v>974</v>
      </c>
      <c r="F167">
        <v>85</v>
      </c>
      <c r="G167">
        <v>0</v>
      </c>
      <c r="H167" t="s">
        <v>801</v>
      </c>
    </row>
    <row r="168" spans="1:8">
      <c r="A168">
        <v>166</v>
      </c>
      <c r="B168" t="s">
        <v>975</v>
      </c>
      <c r="C168" t="s">
        <v>976</v>
      </c>
      <c r="D168" t="s">
        <v>51</v>
      </c>
      <c r="E168" t="s">
        <v>598</v>
      </c>
      <c r="F168">
        <v>0</v>
      </c>
      <c r="G168">
        <v>0</v>
      </c>
      <c r="H168" t="s">
        <v>801</v>
      </c>
    </row>
    <row r="169" spans="1:8">
      <c r="A169">
        <v>167</v>
      </c>
      <c r="B169" t="s">
        <v>977</v>
      </c>
      <c r="C169" t="s">
        <v>55</v>
      </c>
      <c r="D169" t="s">
        <v>51</v>
      </c>
      <c r="E169" t="s">
        <v>360</v>
      </c>
      <c r="F169">
        <v>82</v>
      </c>
      <c r="G169">
        <v>83</v>
      </c>
      <c r="H169" t="s">
        <v>799</v>
      </c>
    </row>
    <row r="170" spans="1:8">
      <c r="A170">
        <v>168</v>
      </c>
      <c r="B170" t="s">
        <v>978</v>
      </c>
      <c r="C170" t="s">
        <v>52</v>
      </c>
      <c r="D170" t="s">
        <v>51</v>
      </c>
      <c r="E170" t="s">
        <v>360</v>
      </c>
      <c r="F170">
        <v>73.05</v>
      </c>
      <c r="G170">
        <v>75.05</v>
      </c>
      <c r="H170" t="s">
        <v>799</v>
      </c>
    </row>
    <row r="171" spans="1:8">
      <c r="A171">
        <v>169</v>
      </c>
      <c r="B171" t="s">
        <v>979</v>
      </c>
      <c r="C171" t="s">
        <v>54</v>
      </c>
      <c r="D171" t="s">
        <v>51</v>
      </c>
      <c r="E171" t="s">
        <v>360</v>
      </c>
      <c r="F171">
        <v>83.8</v>
      </c>
      <c r="G171">
        <v>84.3</v>
      </c>
      <c r="H171" t="s">
        <v>799</v>
      </c>
    </row>
    <row r="172" spans="1:8">
      <c r="A172">
        <v>170</v>
      </c>
      <c r="B172" t="s">
        <v>980</v>
      </c>
      <c r="C172" t="s">
        <v>981</v>
      </c>
      <c r="D172" t="s">
        <v>51</v>
      </c>
      <c r="E172" t="s">
        <v>605</v>
      </c>
      <c r="F172">
        <v>60</v>
      </c>
      <c r="G172">
        <v>0</v>
      </c>
      <c r="H172" t="s">
        <v>801</v>
      </c>
    </row>
    <row r="173" spans="1:8">
      <c r="A173">
        <v>171</v>
      </c>
      <c r="B173" t="s">
        <v>982</v>
      </c>
      <c r="C173" t="s">
        <v>983</v>
      </c>
      <c r="D173" t="s">
        <v>51</v>
      </c>
      <c r="E173" t="s">
        <v>598</v>
      </c>
      <c r="F173">
        <v>77</v>
      </c>
      <c r="G173">
        <v>0</v>
      </c>
      <c r="H173" t="s">
        <v>799</v>
      </c>
    </row>
    <row r="174" spans="1:8">
      <c r="A174">
        <v>172</v>
      </c>
      <c r="B174" t="s">
        <v>984</v>
      </c>
      <c r="C174" t="s">
        <v>241</v>
      </c>
      <c r="D174" t="s">
        <v>51</v>
      </c>
      <c r="E174" t="s">
        <v>360</v>
      </c>
      <c r="F174">
        <v>86</v>
      </c>
      <c r="G174">
        <v>80</v>
      </c>
      <c r="H174" t="s">
        <v>801</v>
      </c>
    </row>
    <row r="175" spans="1:8">
      <c r="A175">
        <v>173</v>
      </c>
      <c r="B175" t="s">
        <v>985</v>
      </c>
      <c r="C175" t="s">
        <v>986</v>
      </c>
      <c r="D175" t="s">
        <v>51</v>
      </c>
      <c r="E175" t="s">
        <v>606</v>
      </c>
      <c r="F175">
        <v>85</v>
      </c>
      <c r="G175">
        <v>0</v>
      </c>
      <c r="H175" t="s">
        <v>799</v>
      </c>
    </row>
    <row r="176" spans="1:8">
      <c r="A176">
        <v>174</v>
      </c>
      <c r="B176" t="s">
        <v>987</v>
      </c>
      <c r="C176" t="s">
        <v>200</v>
      </c>
      <c r="D176" t="s">
        <v>51</v>
      </c>
      <c r="E176" t="s">
        <v>351</v>
      </c>
      <c r="F176">
        <v>70</v>
      </c>
      <c r="G176">
        <v>70</v>
      </c>
      <c r="H176" t="s">
        <v>801</v>
      </c>
    </row>
    <row r="177" spans="1:8">
      <c r="A177">
        <v>175</v>
      </c>
      <c r="B177" t="s">
        <v>988</v>
      </c>
      <c r="C177" t="s">
        <v>202</v>
      </c>
      <c r="D177" t="s">
        <v>51</v>
      </c>
      <c r="E177" t="s">
        <v>351</v>
      </c>
      <c r="F177">
        <v>70</v>
      </c>
      <c r="G177">
        <v>70</v>
      </c>
      <c r="H177" t="s">
        <v>801</v>
      </c>
    </row>
    <row r="178" spans="1:8">
      <c r="A178">
        <v>176</v>
      </c>
      <c r="B178" t="s">
        <v>989</v>
      </c>
      <c r="C178" t="s">
        <v>990</v>
      </c>
      <c r="D178" t="s">
        <v>51</v>
      </c>
      <c r="E178" t="s">
        <v>607</v>
      </c>
      <c r="F178">
        <v>0</v>
      </c>
      <c r="G178">
        <v>0</v>
      </c>
      <c r="H178" t="s">
        <v>799</v>
      </c>
    </row>
    <row r="179" spans="1:8">
      <c r="A179">
        <v>177</v>
      </c>
      <c r="B179" t="s">
        <v>991</v>
      </c>
      <c r="C179" t="s">
        <v>204</v>
      </c>
      <c r="D179" t="s">
        <v>51</v>
      </c>
      <c r="E179" t="s">
        <v>351</v>
      </c>
      <c r="F179">
        <v>70</v>
      </c>
      <c r="G179">
        <v>70</v>
      </c>
      <c r="H179" t="s">
        <v>801</v>
      </c>
    </row>
    <row r="180" spans="1:8">
      <c r="A180">
        <v>178</v>
      </c>
      <c r="B180" t="s">
        <v>992</v>
      </c>
      <c r="C180" t="s">
        <v>993</v>
      </c>
      <c r="D180" t="s">
        <v>51</v>
      </c>
      <c r="E180" t="s">
        <v>598</v>
      </c>
      <c r="F180">
        <v>80</v>
      </c>
      <c r="G180">
        <v>0</v>
      </c>
      <c r="H180" t="s">
        <v>799</v>
      </c>
    </row>
    <row r="181" spans="1:8">
      <c r="A181">
        <v>179</v>
      </c>
      <c r="B181" t="s">
        <v>994</v>
      </c>
      <c r="C181" t="s">
        <v>53</v>
      </c>
      <c r="D181" t="s">
        <v>51</v>
      </c>
      <c r="E181" t="s">
        <v>360</v>
      </c>
      <c r="F181">
        <v>75.2</v>
      </c>
      <c r="G181">
        <v>70.5</v>
      </c>
      <c r="H181" t="s">
        <v>799</v>
      </c>
    </row>
    <row r="182" spans="1:8">
      <c r="A182">
        <v>180</v>
      </c>
      <c r="B182" t="s">
        <v>995</v>
      </c>
      <c r="C182" t="s">
        <v>205</v>
      </c>
      <c r="D182" t="s">
        <v>51</v>
      </c>
      <c r="E182" t="s">
        <v>351</v>
      </c>
      <c r="F182">
        <v>70</v>
      </c>
      <c r="G182">
        <v>70</v>
      </c>
      <c r="H182" t="s">
        <v>801</v>
      </c>
    </row>
    <row r="183" spans="1:8">
      <c r="A183">
        <v>181</v>
      </c>
      <c r="B183" t="s">
        <v>996</v>
      </c>
      <c r="C183" t="s">
        <v>57</v>
      </c>
      <c r="D183" t="s">
        <v>51</v>
      </c>
      <c r="E183" t="s">
        <v>365</v>
      </c>
      <c r="F183">
        <v>81.55</v>
      </c>
      <c r="G183">
        <v>84.95</v>
      </c>
      <c r="H183" t="s">
        <v>799</v>
      </c>
    </row>
    <row r="184" spans="1:8">
      <c r="A184">
        <v>182</v>
      </c>
      <c r="B184" t="s">
        <v>997</v>
      </c>
      <c r="C184" t="s">
        <v>998</v>
      </c>
      <c r="D184" t="s">
        <v>51</v>
      </c>
      <c r="E184" t="s">
        <v>598</v>
      </c>
      <c r="F184">
        <v>80</v>
      </c>
      <c r="G184">
        <v>0</v>
      </c>
      <c r="H184" t="s">
        <v>801</v>
      </c>
    </row>
    <row r="185" spans="1:8">
      <c r="A185">
        <v>183</v>
      </c>
      <c r="B185" t="s">
        <v>999</v>
      </c>
      <c r="C185" t="s">
        <v>258</v>
      </c>
      <c r="D185" t="s">
        <v>51</v>
      </c>
      <c r="E185" t="s">
        <v>363</v>
      </c>
      <c r="F185">
        <v>75</v>
      </c>
      <c r="G185">
        <v>85</v>
      </c>
      <c r="H185" t="s">
        <v>801</v>
      </c>
    </row>
    <row r="186" spans="1:8">
      <c r="A186">
        <v>184</v>
      </c>
      <c r="B186" t="s">
        <v>1000</v>
      </c>
      <c r="C186" t="s">
        <v>1001</v>
      </c>
      <c r="D186" t="s">
        <v>51</v>
      </c>
      <c r="E186" t="s">
        <v>1002</v>
      </c>
      <c r="F186">
        <v>54.75</v>
      </c>
      <c r="G186">
        <v>0</v>
      </c>
      <c r="H186" t="s">
        <v>799</v>
      </c>
    </row>
    <row r="187" spans="1:8">
      <c r="A187">
        <v>185</v>
      </c>
      <c r="B187" t="s">
        <v>1003</v>
      </c>
      <c r="C187" t="s">
        <v>137</v>
      </c>
      <c r="D187" t="s">
        <v>51</v>
      </c>
      <c r="E187" t="s">
        <v>333</v>
      </c>
      <c r="F187">
        <v>72.5</v>
      </c>
      <c r="G187">
        <v>71.900000000000006</v>
      </c>
      <c r="H187" t="s">
        <v>801</v>
      </c>
    </row>
    <row r="188" spans="1:8">
      <c r="A188">
        <v>186</v>
      </c>
      <c r="B188" t="s">
        <v>1004</v>
      </c>
      <c r="C188" t="s">
        <v>260</v>
      </c>
      <c r="D188" t="s">
        <v>51</v>
      </c>
      <c r="E188" t="s">
        <v>363</v>
      </c>
      <c r="F188">
        <v>80</v>
      </c>
      <c r="G188">
        <v>88</v>
      </c>
      <c r="H188" t="s">
        <v>801</v>
      </c>
    </row>
    <row r="189" spans="1:8">
      <c r="A189">
        <v>187</v>
      </c>
      <c r="B189" t="s">
        <v>1005</v>
      </c>
      <c r="C189" t="s">
        <v>1006</v>
      </c>
      <c r="D189" t="s">
        <v>51</v>
      </c>
      <c r="E189" t="s">
        <v>1002</v>
      </c>
      <c r="F189">
        <v>53.95</v>
      </c>
      <c r="G189">
        <v>0</v>
      </c>
      <c r="H189" t="s">
        <v>799</v>
      </c>
    </row>
    <row r="190" spans="1:8">
      <c r="A190">
        <v>188</v>
      </c>
      <c r="B190" t="s">
        <v>1007</v>
      </c>
      <c r="C190" t="s">
        <v>160</v>
      </c>
      <c r="D190" t="s">
        <v>51</v>
      </c>
      <c r="E190" t="s">
        <v>338</v>
      </c>
      <c r="F190">
        <v>70</v>
      </c>
      <c r="G190">
        <v>58.4</v>
      </c>
      <c r="H190" t="s">
        <v>801</v>
      </c>
    </row>
    <row r="191" spans="1:8">
      <c r="A191">
        <v>189</v>
      </c>
      <c r="B191" t="s">
        <v>1008</v>
      </c>
      <c r="C191" t="s">
        <v>167</v>
      </c>
      <c r="D191" t="s">
        <v>51</v>
      </c>
      <c r="E191" t="s">
        <v>340</v>
      </c>
      <c r="F191">
        <v>85</v>
      </c>
      <c r="G191">
        <v>74</v>
      </c>
      <c r="H191" t="s">
        <v>801</v>
      </c>
    </row>
    <row r="192" spans="1:8">
      <c r="A192">
        <v>190</v>
      </c>
      <c r="B192" t="s">
        <v>1009</v>
      </c>
      <c r="C192" t="s">
        <v>165</v>
      </c>
      <c r="D192" t="s">
        <v>51</v>
      </c>
      <c r="E192" t="s">
        <v>339</v>
      </c>
      <c r="F192">
        <v>70</v>
      </c>
      <c r="G192">
        <v>60</v>
      </c>
      <c r="H192" t="s">
        <v>801</v>
      </c>
    </row>
    <row r="193" spans="1:8">
      <c r="A193">
        <v>191</v>
      </c>
      <c r="B193" t="s">
        <v>1010</v>
      </c>
      <c r="C193" t="s">
        <v>259</v>
      </c>
      <c r="D193" t="s">
        <v>51</v>
      </c>
      <c r="E193" t="s">
        <v>363</v>
      </c>
      <c r="F193">
        <v>67</v>
      </c>
      <c r="G193">
        <v>77</v>
      </c>
      <c r="H193" t="s">
        <v>801</v>
      </c>
    </row>
    <row r="194" spans="1:8">
      <c r="A194">
        <v>192</v>
      </c>
      <c r="B194" t="s">
        <v>1011</v>
      </c>
      <c r="C194" t="s">
        <v>163</v>
      </c>
      <c r="D194" t="s">
        <v>51</v>
      </c>
      <c r="E194" t="s">
        <v>339</v>
      </c>
      <c r="F194">
        <v>75</v>
      </c>
      <c r="G194">
        <v>60</v>
      </c>
      <c r="H194" t="s">
        <v>801</v>
      </c>
    </row>
    <row r="195" spans="1:8">
      <c r="A195">
        <v>193</v>
      </c>
      <c r="B195" t="s">
        <v>1012</v>
      </c>
      <c r="C195" t="s">
        <v>164</v>
      </c>
      <c r="D195" t="s">
        <v>51</v>
      </c>
      <c r="E195" t="s">
        <v>339</v>
      </c>
      <c r="F195">
        <v>75</v>
      </c>
      <c r="G195">
        <v>69</v>
      </c>
      <c r="H195" t="s">
        <v>801</v>
      </c>
    </row>
    <row r="196" spans="1:8">
      <c r="A196">
        <v>194</v>
      </c>
      <c r="B196" t="s">
        <v>1013</v>
      </c>
      <c r="C196" t="s">
        <v>1014</v>
      </c>
      <c r="D196" t="s">
        <v>51</v>
      </c>
      <c r="E196" t="s">
        <v>606</v>
      </c>
      <c r="F196">
        <v>65</v>
      </c>
      <c r="G196">
        <v>0</v>
      </c>
      <c r="H196" t="s">
        <v>799</v>
      </c>
    </row>
    <row r="197" spans="1:8">
      <c r="A197">
        <v>195</v>
      </c>
      <c r="B197" t="s">
        <v>1015</v>
      </c>
      <c r="C197" t="s">
        <v>100</v>
      </c>
      <c r="D197" t="s">
        <v>51</v>
      </c>
      <c r="E197" t="s">
        <v>360</v>
      </c>
      <c r="F197">
        <v>70</v>
      </c>
      <c r="G197">
        <v>72</v>
      </c>
      <c r="H197" t="s">
        <v>799</v>
      </c>
    </row>
    <row r="198" spans="1:8">
      <c r="A198">
        <v>196</v>
      </c>
      <c r="B198" t="s">
        <v>1016</v>
      </c>
      <c r="C198" t="s">
        <v>1017</v>
      </c>
      <c r="D198" t="s">
        <v>51</v>
      </c>
      <c r="E198" t="s">
        <v>1002</v>
      </c>
      <c r="F198">
        <v>58.95</v>
      </c>
      <c r="G198">
        <v>0</v>
      </c>
      <c r="H198" t="s">
        <v>799</v>
      </c>
    </row>
    <row r="199" spans="1:8">
      <c r="A199">
        <v>197</v>
      </c>
      <c r="B199" t="s">
        <v>1018</v>
      </c>
      <c r="C199" t="s">
        <v>264</v>
      </c>
      <c r="D199" t="s">
        <v>51</v>
      </c>
      <c r="E199" t="s">
        <v>365</v>
      </c>
      <c r="F199">
        <v>82</v>
      </c>
      <c r="G199">
        <v>81</v>
      </c>
      <c r="H199" t="s">
        <v>801</v>
      </c>
    </row>
    <row r="200" spans="1:8">
      <c r="A200">
        <v>198</v>
      </c>
      <c r="B200" t="s">
        <v>1019</v>
      </c>
      <c r="C200" t="s">
        <v>1020</v>
      </c>
      <c r="D200" t="s">
        <v>51</v>
      </c>
      <c r="E200" t="s">
        <v>1021</v>
      </c>
      <c r="F200">
        <v>0</v>
      </c>
      <c r="G200">
        <v>0</v>
      </c>
      <c r="H200" t="s">
        <v>801</v>
      </c>
    </row>
    <row r="201" spans="1:8">
      <c r="A201">
        <v>199</v>
      </c>
      <c r="B201" t="s">
        <v>1022</v>
      </c>
      <c r="C201" t="s">
        <v>240</v>
      </c>
      <c r="D201" t="s">
        <v>51</v>
      </c>
      <c r="E201" t="s">
        <v>360</v>
      </c>
      <c r="F201">
        <v>65</v>
      </c>
      <c r="G201">
        <v>59.5</v>
      </c>
      <c r="H201" t="s">
        <v>801</v>
      </c>
    </row>
    <row r="202" spans="1:8">
      <c r="A202">
        <v>200</v>
      </c>
      <c r="B202" t="s">
        <v>1023</v>
      </c>
      <c r="C202" t="s">
        <v>154</v>
      </c>
      <c r="D202" t="s">
        <v>51</v>
      </c>
      <c r="E202" t="s">
        <v>338</v>
      </c>
      <c r="F202">
        <v>75</v>
      </c>
      <c r="G202">
        <v>50.9</v>
      </c>
      <c r="H202" t="s">
        <v>801</v>
      </c>
    </row>
    <row r="203" spans="1:8">
      <c r="A203">
        <v>201</v>
      </c>
      <c r="B203" t="s">
        <v>1024</v>
      </c>
      <c r="C203" t="s">
        <v>1025</v>
      </c>
      <c r="D203" t="s">
        <v>60</v>
      </c>
      <c r="E203" t="s">
        <v>1026</v>
      </c>
      <c r="F203">
        <v>56</v>
      </c>
      <c r="G203">
        <v>0</v>
      </c>
      <c r="H203" t="s">
        <v>799</v>
      </c>
    </row>
    <row r="204" spans="1:8">
      <c r="A204">
        <v>202</v>
      </c>
      <c r="B204" t="s">
        <v>1027</v>
      </c>
      <c r="C204" t="s">
        <v>1028</v>
      </c>
      <c r="D204" t="s">
        <v>51</v>
      </c>
      <c r="E204" t="s">
        <v>1029</v>
      </c>
      <c r="F204">
        <v>37.35</v>
      </c>
      <c r="G204">
        <v>0</v>
      </c>
      <c r="H204" t="s">
        <v>799</v>
      </c>
    </row>
    <row r="205" spans="1:8">
      <c r="A205">
        <v>203</v>
      </c>
      <c r="B205" t="s">
        <v>1030</v>
      </c>
      <c r="C205" t="s">
        <v>193</v>
      </c>
      <c r="D205" t="s">
        <v>51</v>
      </c>
      <c r="E205" t="s">
        <v>348</v>
      </c>
      <c r="F205">
        <v>40</v>
      </c>
      <c r="G205">
        <v>44</v>
      </c>
      <c r="H205" t="s">
        <v>801</v>
      </c>
    </row>
    <row r="206" spans="1:8">
      <c r="A206">
        <v>204</v>
      </c>
      <c r="B206" t="s">
        <v>1031</v>
      </c>
      <c r="C206" t="s">
        <v>1032</v>
      </c>
      <c r="D206" t="s">
        <v>51</v>
      </c>
      <c r="E206" t="s">
        <v>600</v>
      </c>
      <c r="F206">
        <v>20</v>
      </c>
      <c r="G206">
        <v>0</v>
      </c>
      <c r="H206" t="s">
        <v>801</v>
      </c>
    </row>
    <row r="207" spans="1:8">
      <c r="A207">
        <v>205</v>
      </c>
      <c r="B207" t="s">
        <v>1033</v>
      </c>
      <c r="C207" t="s">
        <v>1034</v>
      </c>
      <c r="D207" t="s">
        <v>51</v>
      </c>
      <c r="E207" t="s">
        <v>742</v>
      </c>
      <c r="F207">
        <v>0</v>
      </c>
      <c r="G207">
        <v>0</v>
      </c>
      <c r="H207" t="s">
        <v>801</v>
      </c>
    </row>
    <row r="208" spans="1:8">
      <c r="A208">
        <v>206</v>
      </c>
      <c r="B208" t="s">
        <v>1035</v>
      </c>
      <c r="C208" t="s">
        <v>195</v>
      </c>
      <c r="D208" t="s">
        <v>51</v>
      </c>
      <c r="E208" t="s">
        <v>348</v>
      </c>
      <c r="F208">
        <v>50</v>
      </c>
      <c r="G208">
        <v>50</v>
      </c>
      <c r="H208" t="s">
        <v>801</v>
      </c>
    </row>
    <row r="209" spans="1:8">
      <c r="A209">
        <v>207</v>
      </c>
      <c r="B209" t="s">
        <v>1036</v>
      </c>
      <c r="C209" t="s">
        <v>140</v>
      </c>
      <c r="D209" t="s">
        <v>51</v>
      </c>
      <c r="E209" t="s">
        <v>334</v>
      </c>
      <c r="F209">
        <v>77.5</v>
      </c>
      <c r="G209">
        <v>75</v>
      </c>
      <c r="H209" t="s">
        <v>801</v>
      </c>
    </row>
    <row r="210" spans="1:8">
      <c r="A210">
        <v>208</v>
      </c>
      <c r="B210" t="s">
        <v>1037</v>
      </c>
      <c r="C210" t="s">
        <v>138</v>
      </c>
      <c r="D210" t="s">
        <v>51</v>
      </c>
      <c r="E210" t="s">
        <v>333</v>
      </c>
      <c r="F210">
        <v>72.5</v>
      </c>
      <c r="G210">
        <v>71.900000000000006</v>
      </c>
      <c r="H210" t="s">
        <v>801</v>
      </c>
    </row>
    <row r="211" spans="1:8">
      <c r="A211">
        <v>209</v>
      </c>
      <c r="B211" t="s">
        <v>1038</v>
      </c>
      <c r="C211" t="s">
        <v>1039</v>
      </c>
      <c r="D211" t="s">
        <v>51</v>
      </c>
      <c r="E211" t="s">
        <v>1040</v>
      </c>
      <c r="F211">
        <v>0</v>
      </c>
      <c r="G211">
        <v>0</v>
      </c>
      <c r="H211" t="s">
        <v>799</v>
      </c>
    </row>
    <row r="212" spans="1:8">
      <c r="A212">
        <v>210</v>
      </c>
      <c r="B212" t="s">
        <v>1041</v>
      </c>
      <c r="C212" t="s">
        <v>141</v>
      </c>
      <c r="D212" t="s">
        <v>51</v>
      </c>
      <c r="E212" t="s">
        <v>334</v>
      </c>
      <c r="F212">
        <v>83.5</v>
      </c>
      <c r="G212">
        <v>82</v>
      </c>
      <c r="H212" t="s">
        <v>801</v>
      </c>
    </row>
    <row r="213" spans="1:8">
      <c r="A213">
        <v>211</v>
      </c>
      <c r="B213" t="s">
        <v>1042</v>
      </c>
      <c r="C213" t="s">
        <v>99</v>
      </c>
      <c r="D213" t="s">
        <v>51</v>
      </c>
      <c r="E213" t="s">
        <v>360</v>
      </c>
      <c r="F213">
        <v>0</v>
      </c>
      <c r="G213">
        <v>0</v>
      </c>
      <c r="H213" t="s">
        <v>799</v>
      </c>
    </row>
    <row r="214" spans="1:8">
      <c r="A214">
        <v>212</v>
      </c>
      <c r="B214" t="s">
        <v>1043</v>
      </c>
      <c r="C214" t="s">
        <v>257</v>
      </c>
      <c r="D214" t="s">
        <v>51</v>
      </c>
      <c r="E214" t="s">
        <v>362</v>
      </c>
      <c r="F214">
        <v>75</v>
      </c>
      <c r="G214">
        <v>71.55</v>
      </c>
      <c r="H214" t="s">
        <v>801</v>
      </c>
    </row>
    <row r="215" spans="1:8">
      <c r="A215">
        <v>213</v>
      </c>
      <c r="B215" t="s">
        <v>1044</v>
      </c>
      <c r="C215" t="s">
        <v>139</v>
      </c>
      <c r="D215" t="s">
        <v>51</v>
      </c>
      <c r="E215" t="s">
        <v>334</v>
      </c>
      <c r="F215">
        <v>80</v>
      </c>
      <c r="G215">
        <v>80</v>
      </c>
      <c r="H215" t="s">
        <v>801</v>
      </c>
    </row>
    <row r="216" spans="1:8">
      <c r="A216">
        <v>214</v>
      </c>
      <c r="B216" t="s">
        <v>1045</v>
      </c>
      <c r="C216" t="s">
        <v>142</v>
      </c>
      <c r="D216" t="s">
        <v>51</v>
      </c>
      <c r="E216" t="s">
        <v>334</v>
      </c>
      <c r="F216">
        <v>87.5</v>
      </c>
      <c r="G216">
        <v>82</v>
      </c>
      <c r="H216" t="s">
        <v>801</v>
      </c>
    </row>
    <row r="217" spans="1:8">
      <c r="A217">
        <v>215</v>
      </c>
      <c r="B217" t="s">
        <v>1046</v>
      </c>
      <c r="C217" t="s">
        <v>58</v>
      </c>
      <c r="D217" t="s">
        <v>51</v>
      </c>
      <c r="E217" t="s">
        <v>365</v>
      </c>
      <c r="F217">
        <v>56.35</v>
      </c>
      <c r="G217">
        <v>56.45</v>
      </c>
      <c r="H217" t="s">
        <v>799</v>
      </c>
    </row>
    <row r="218" spans="1:8">
      <c r="A218">
        <v>216</v>
      </c>
      <c r="B218" t="s">
        <v>1047</v>
      </c>
      <c r="C218" t="s">
        <v>263</v>
      </c>
      <c r="D218" t="s">
        <v>51</v>
      </c>
      <c r="E218" t="s">
        <v>365</v>
      </c>
      <c r="F218">
        <v>88.5</v>
      </c>
      <c r="G218">
        <v>87</v>
      </c>
      <c r="H218" t="s">
        <v>801</v>
      </c>
    </row>
    <row r="219" spans="1:8">
      <c r="A219">
        <v>217</v>
      </c>
      <c r="B219" t="s">
        <v>1048</v>
      </c>
      <c r="C219" t="s">
        <v>1049</v>
      </c>
      <c r="D219" t="s">
        <v>51</v>
      </c>
      <c r="E219" t="s">
        <v>607</v>
      </c>
      <c r="F219">
        <v>0</v>
      </c>
      <c r="G219">
        <v>0</v>
      </c>
      <c r="H219" t="s">
        <v>799</v>
      </c>
    </row>
    <row r="220" spans="1:8">
      <c r="A220">
        <v>218</v>
      </c>
      <c r="B220" t="s">
        <v>1050</v>
      </c>
      <c r="C220" t="s">
        <v>242</v>
      </c>
      <c r="D220" t="s">
        <v>51</v>
      </c>
      <c r="E220" t="s">
        <v>360</v>
      </c>
      <c r="F220">
        <v>92</v>
      </c>
      <c r="G220">
        <v>87</v>
      </c>
      <c r="H220" t="s">
        <v>801</v>
      </c>
    </row>
    <row r="221" spans="1:8">
      <c r="A221">
        <v>219</v>
      </c>
      <c r="B221" t="s">
        <v>1051</v>
      </c>
      <c r="C221" t="s">
        <v>608</v>
      </c>
      <c r="D221" t="s">
        <v>309</v>
      </c>
      <c r="E221" t="s">
        <v>609</v>
      </c>
      <c r="F221">
        <v>68.2</v>
      </c>
      <c r="G221">
        <v>0</v>
      </c>
      <c r="H221" t="s">
        <v>799</v>
      </c>
    </row>
    <row r="222" spans="1:8">
      <c r="A222">
        <v>220</v>
      </c>
      <c r="B222" t="s">
        <v>1052</v>
      </c>
      <c r="C222" t="s">
        <v>168</v>
      </c>
      <c r="D222" t="s">
        <v>51</v>
      </c>
      <c r="E222" t="s">
        <v>340</v>
      </c>
      <c r="F222">
        <v>0</v>
      </c>
      <c r="G222">
        <v>77</v>
      </c>
      <c r="H222" t="s">
        <v>801</v>
      </c>
    </row>
    <row r="223" spans="1:8">
      <c r="A223">
        <v>221</v>
      </c>
      <c r="B223" t="s">
        <v>1053</v>
      </c>
      <c r="C223" t="s">
        <v>256</v>
      </c>
      <c r="D223" t="s">
        <v>309</v>
      </c>
      <c r="E223" t="s">
        <v>362</v>
      </c>
      <c r="F223">
        <v>77.5</v>
      </c>
      <c r="G223">
        <v>74.400000000000006</v>
      </c>
      <c r="H223" t="s">
        <v>801</v>
      </c>
    </row>
    <row r="224" spans="1:8">
      <c r="A224">
        <v>222</v>
      </c>
      <c r="B224" t="s">
        <v>1054</v>
      </c>
      <c r="C224" t="s">
        <v>238</v>
      </c>
      <c r="D224" t="s">
        <v>51</v>
      </c>
      <c r="E224" t="s">
        <v>360</v>
      </c>
      <c r="F224">
        <v>80</v>
      </c>
      <c r="G224">
        <v>75</v>
      </c>
      <c r="H224" t="s">
        <v>801</v>
      </c>
    </row>
    <row r="225" spans="1:8">
      <c r="A225">
        <v>223</v>
      </c>
      <c r="B225" t="s">
        <v>1055</v>
      </c>
      <c r="C225" t="s">
        <v>610</v>
      </c>
      <c r="D225" t="s">
        <v>309</v>
      </c>
      <c r="E225" t="s">
        <v>600</v>
      </c>
      <c r="F225">
        <v>35</v>
      </c>
      <c r="G225">
        <v>0</v>
      </c>
      <c r="H225" t="s">
        <v>801</v>
      </c>
    </row>
    <row r="226" spans="1:8">
      <c r="A226">
        <v>224</v>
      </c>
      <c r="B226" t="s">
        <v>1056</v>
      </c>
      <c r="C226" t="s">
        <v>611</v>
      </c>
      <c r="D226" t="s">
        <v>51</v>
      </c>
      <c r="E226" t="s">
        <v>612</v>
      </c>
      <c r="F226">
        <v>77.5</v>
      </c>
      <c r="G226">
        <v>0</v>
      </c>
      <c r="H226" t="s">
        <v>801</v>
      </c>
    </row>
    <row r="227" spans="1:8">
      <c r="A227">
        <v>225</v>
      </c>
      <c r="B227" t="s">
        <v>1057</v>
      </c>
      <c r="C227" t="s">
        <v>166</v>
      </c>
      <c r="D227" t="s">
        <v>51</v>
      </c>
      <c r="E227" t="s">
        <v>340</v>
      </c>
      <c r="F227">
        <v>95</v>
      </c>
      <c r="G227">
        <v>77</v>
      </c>
      <c r="H227" t="s">
        <v>801</v>
      </c>
    </row>
    <row r="228" spans="1:8">
      <c r="A228">
        <v>226</v>
      </c>
      <c r="B228" t="s">
        <v>1058</v>
      </c>
      <c r="C228" t="s">
        <v>268</v>
      </c>
      <c r="D228" t="s">
        <v>51</v>
      </c>
      <c r="E228" t="s">
        <v>365</v>
      </c>
      <c r="F228">
        <v>82</v>
      </c>
      <c r="G228">
        <v>81</v>
      </c>
      <c r="H228" t="s">
        <v>801</v>
      </c>
    </row>
    <row r="229" spans="1:8">
      <c r="A229">
        <v>227</v>
      </c>
      <c r="B229" t="s">
        <v>1059</v>
      </c>
      <c r="C229" t="s">
        <v>104</v>
      </c>
      <c r="D229" t="s">
        <v>309</v>
      </c>
      <c r="E229" t="s">
        <v>360</v>
      </c>
      <c r="F229">
        <v>77.5</v>
      </c>
      <c r="G229">
        <v>79.5</v>
      </c>
      <c r="H229" t="s">
        <v>799</v>
      </c>
    </row>
    <row r="230" spans="1:8">
      <c r="A230">
        <v>228</v>
      </c>
      <c r="B230" t="s">
        <v>1060</v>
      </c>
      <c r="C230" t="s">
        <v>59</v>
      </c>
      <c r="D230" t="s">
        <v>309</v>
      </c>
      <c r="E230" t="s">
        <v>365</v>
      </c>
      <c r="F230">
        <v>90.05</v>
      </c>
      <c r="G230">
        <v>90.05</v>
      </c>
      <c r="H230" t="s">
        <v>799</v>
      </c>
    </row>
    <row r="231" spans="1:8">
      <c r="A231">
        <v>229</v>
      </c>
      <c r="B231" t="s">
        <v>1061</v>
      </c>
      <c r="C231" t="s">
        <v>105</v>
      </c>
      <c r="D231" t="s">
        <v>309</v>
      </c>
      <c r="E231" t="s">
        <v>333</v>
      </c>
      <c r="F231">
        <v>71.05</v>
      </c>
      <c r="G231">
        <v>75.5</v>
      </c>
      <c r="H231" t="s">
        <v>799</v>
      </c>
    </row>
    <row r="232" spans="1:8">
      <c r="A232">
        <v>230</v>
      </c>
      <c r="B232" t="s">
        <v>1062</v>
      </c>
      <c r="C232" t="s">
        <v>267</v>
      </c>
      <c r="D232" t="s">
        <v>51</v>
      </c>
      <c r="E232" t="s">
        <v>365</v>
      </c>
      <c r="F232">
        <v>80</v>
      </c>
      <c r="G232">
        <v>79</v>
      </c>
      <c r="H232" t="s">
        <v>801</v>
      </c>
    </row>
    <row r="233" spans="1:8">
      <c r="A233">
        <v>231</v>
      </c>
      <c r="B233" t="s">
        <v>1063</v>
      </c>
      <c r="C233" t="s">
        <v>269</v>
      </c>
      <c r="D233" t="s">
        <v>51</v>
      </c>
      <c r="E233" t="s">
        <v>365</v>
      </c>
      <c r="F233">
        <v>88</v>
      </c>
      <c r="G233">
        <v>85</v>
      </c>
      <c r="H233" t="s">
        <v>801</v>
      </c>
    </row>
    <row r="234" spans="1:8">
      <c r="A234">
        <v>232</v>
      </c>
      <c r="B234" t="s">
        <v>1064</v>
      </c>
      <c r="C234" t="s">
        <v>613</v>
      </c>
      <c r="D234" t="s">
        <v>309</v>
      </c>
      <c r="E234" t="s">
        <v>614</v>
      </c>
      <c r="F234">
        <v>0</v>
      </c>
      <c r="G234">
        <v>0</v>
      </c>
      <c r="H234" t="s">
        <v>799</v>
      </c>
    </row>
    <row r="235" spans="1:8">
      <c r="A235">
        <v>233</v>
      </c>
      <c r="B235" t="s">
        <v>1065</v>
      </c>
      <c r="C235" t="s">
        <v>615</v>
      </c>
      <c r="D235" t="s">
        <v>51</v>
      </c>
      <c r="E235" t="s">
        <v>606</v>
      </c>
      <c r="F235">
        <v>65</v>
      </c>
      <c r="G235">
        <v>0</v>
      </c>
      <c r="H235" t="s">
        <v>801</v>
      </c>
    </row>
    <row r="236" spans="1:8">
      <c r="A236">
        <v>234</v>
      </c>
      <c r="B236" t="s">
        <v>1066</v>
      </c>
      <c r="C236" t="s">
        <v>239</v>
      </c>
      <c r="D236" t="s">
        <v>51</v>
      </c>
      <c r="E236" t="s">
        <v>360</v>
      </c>
      <c r="F236">
        <v>78</v>
      </c>
      <c r="G236">
        <v>74</v>
      </c>
      <c r="H236" t="s">
        <v>801</v>
      </c>
    </row>
    <row r="237" spans="1:8">
      <c r="A237">
        <v>235</v>
      </c>
      <c r="B237" t="s">
        <v>1067</v>
      </c>
      <c r="C237" t="s">
        <v>237</v>
      </c>
      <c r="D237" t="s">
        <v>51</v>
      </c>
      <c r="E237" t="s">
        <v>360</v>
      </c>
      <c r="F237">
        <v>81</v>
      </c>
      <c r="G237">
        <v>77</v>
      </c>
      <c r="H237" t="s">
        <v>801</v>
      </c>
    </row>
    <row r="238" spans="1:8">
      <c r="A238">
        <v>236</v>
      </c>
      <c r="B238" t="s">
        <v>1068</v>
      </c>
      <c r="C238" t="s">
        <v>616</v>
      </c>
      <c r="D238" t="s">
        <v>309</v>
      </c>
      <c r="E238" t="s">
        <v>605</v>
      </c>
      <c r="F238">
        <v>57.2</v>
      </c>
      <c r="G238">
        <v>0</v>
      </c>
      <c r="H238" t="s">
        <v>799</v>
      </c>
    </row>
    <row r="239" spans="1:8">
      <c r="A239">
        <v>237</v>
      </c>
      <c r="B239" t="s">
        <v>1069</v>
      </c>
      <c r="C239" t="s">
        <v>265</v>
      </c>
      <c r="D239" t="s">
        <v>309</v>
      </c>
      <c r="E239" t="s">
        <v>365</v>
      </c>
      <c r="F239">
        <v>82.5</v>
      </c>
      <c r="G239">
        <v>81.5</v>
      </c>
      <c r="H239" t="s">
        <v>801</v>
      </c>
    </row>
    <row r="240" spans="1:8">
      <c r="A240">
        <v>238</v>
      </c>
      <c r="B240" t="s">
        <v>1070</v>
      </c>
      <c r="C240" t="s">
        <v>101</v>
      </c>
      <c r="D240" t="s">
        <v>309</v>
      </c>
      <c r="E240" t="s">
        <v>360</v>
      </c>
      <c r="F240">
        <v>66</v>
      </c>
      <c r="G240">
        <v>68</v>
      </c>
      <c r="H240" t="s">
        <v>799</v>
      </c>
    </row>
    <row r="241" spans="1:8">
      <c r="A241">
        <v>239</v>
      </c>
      <c r="B241" t="s">
        <v>1071</v>
      </c>
      <c r="C241" t="s">
        <v>102</v>
      </c>
      <c r="D241" t="s">
        <v>309</v>
      </c>
      <c r="E241" t="s">
        <v>360</v>
      </c>
      <c r="F241">
        <v>81.8</v>
      </c>
      <c r="G241">
        <v>83.8</v>
      </c>
      <c r="H241" t="s">
        <v>799</v>
      </c>
    </row>
    <row r="242" spans="1:8">
      <c r="A242">
        <v>240</v>
      </c>
      <c r="B242" t="s">
        <v>1072</v>
      </c>
      <c r="C242" t="s">
        <v>266</v>
      </c>
      <c r="D242" t="s">
        <v>51</v>
      </c>
      <c r="E242" t="s">
        <v>365</v>
      </c>
      <c r="F242">
        <v>85</v>
      </c>
      <c r="G242">
        <v>84</v>
      </c>
      <c r="H242" t="s">
        <v>801</v>
      </c>
    </row>
    <row r="243" spans="1:8">
      <c r="A243">
        <v>241</v>
      </c>
      <c r="B243" t="s">
        <v>1073</v>
      </c>
      <c r="C243" t="s">
        <v>226</v>
      </c>
      <c r="D243" t="s">
        <v>309</v>
      </c>
      <c r="E243" t="s">
        <v>357</v>
      </c>
      <c r="F243">
        <v>50</v>
      </c>
      <c r="G243">
        <v>57.4</v>
      </c>
      <c r="H243" t="s">
        <v>801</v>
      </c>
    </row>
    <row r="244" spans="1:8">
      <c r="A244">
        <v>242</v>
      </c>
      <c r="B244" t="s">
        <v>1074</v>
      </c>
      <c r="C244" t="s">
        <v>103</v>
      </c>
      <c r="D244" t="s">
        <v>309</v>
      </c>
      <c r="E244" t="s">
        <v>371</v>
      </c>
      <c r="F244">
        <v>68.099999999999994</v>
      </c>
      <c r="G244">
        <v>0</v>
      </c>
      <c r="H244" t="s">
        <v>799</v>
      </c>
    </row>
    <row r="245" spans="1:8">
      <c r="A245">
        <v>243</v>
      </c>
      <c r="B245" t="s">
        <v>1075</v>
      </c>
      <c r="C245" t="s">
        <v>194</v>
      </c>
      <c r="D245" t="s">
        <v>51</v>
      </c>
      <c r="E245" t="s">
        <v>348</v>
      </c>
      <c r="F245">
        <v>87</v>
      </c>
      <c r="G245">
        <v>87</v>
      </c>
      <c r="H245" t="s">
        <v>801</v>
      </c>
    </row>
    <row r="246" spans="1:8">
      <c r="A246">
        <v>244</v>
      </c>
      <c r="B246" t="s">
        <v>1076</v>
      </c>
      <c r="C246" t="s">
        <v>1077</v>
      </c>
      <c r="D246" t="s">
        <v>309</v>
      </c>
      <c r="E246" t="s">
        <v>614</v>
      </c>
      <c r="F246">
        <v>77.400000000000006</v>
      </c>
      <c r="G246">
        <v>0</v>
      </c>
      <c r="H246" t="s">
        <v>799</v>
      </c>
    </row>
    <row r="247" spans="1:8">
      <c r="A247">
        <v>245</v>
      </c>
      <c r="B247" t="s">
        <v>1078</v>
      </c>
      <c r="C247" t="s">
        <v>107</v>
      </c>
      <c r="D247" t="s">
        <v>60</v>
      </c>
      <c r="E247" t="s">
        <v>362</v>
      </c>
      <c r="F247">
        <v>34</v>
      </c>
      <c r="G247">
        <v>37</v>
      </c>
      <c r="H247" t="s">
        <v>799</v>
      </c>
    </row>
    <row r="248" spans="1:8">
      <c r="A248">
        <v>246</v>
      </c>
      <c r="B248" t="s">
        <v>1079</v>
      </c>
      <c r="C248" t="s">
        <v>61</v>
      </c>
      <c r="D248" t="s">
        <v>60</v>
      </c>
      <c r="E248" t="s">
        <v>362</v>
      </c>
      <c r="F248">
        <v>34</v>
      </c>
      <c r="G248">
        <v>36</v>
      </c>
      <c r="H248" t="s">
        <v>799</v>
      </c>
    </row>
    <row r="249" spans="1:8">
      <c r="A249">
        <v>247</v>
      </c>
      <c r="B249" t="s">
        <v>1080</v>
      </c>
      <c r="C249" t="s">
        <v>63</v>
      </c>
      <c r="D249" t="s">
        <v>60</v>
      </c>
      <c r="E249" t="s">
        <v>336</v>
      </c>
      <c r="F249">
        <v>0</v>
      </c>
      <c r="G249">
        <v>0</v>
      </c>
      <c r="H249" t="s">
        <v>799</v>
      </c>
    </row>
    <row r="250" spans="1:8">
      <c r="A250">
        <v>248</v>
      </c>
      <c r="B250" t="s">
        <v>1081</v>
      </c>
      <c r="C250" t="s">
        <v>152</v>
      </c>
      <c r="D250" t="s">
        <v>60</v>
      </c>
      <c r="E250" t="s">
        <v>338</v>
      </c>
      <c r="F250">
        <v>65</v>
      </c>
      <c r="G250">
        <v>37.9</v>
      </c>
      <c r="H250" t="s">
        <v>801</v>
      </c>
    </row>
    <row r="251" spans="1:8">
      <c r="A251">
        <v>249</v>
      </c>
      <c r="B251" t="s">
        <v>1082</v>
      </c>
      <c r="C251" t="s">
        <v>143</v>
      </c>
      <c r="D251" t="s">
        <v>60</v>
      </c>
      <c r="E251" t="s">
        <v>335</v>
      </c>
      <c r="F251">
        <v>45</v>
      </c>
      <c r="G251">
        <v>40.9</v>
      </c>
      <c r="H251" t="s">
        <v>801</v>
      </c>
    </row>
    <row r="252" spans="1:8">
      <c r="A252">
        <v>250</v>
      </c>
      <c r="B252" t="s">
        <v>1083</v>
      </c>
      <c r="C252" t="s">
        <v>153</v>
      </c>
      <c r="D252" t="s">
        <v>60</v>
      </c>
      <c r="E252" t="s">
        <v>338</v>
      </c>
      <c r="F252">
        <v>65</v>
      </c>
      <c r="G252">
        <v>37.9</v>
      </c>
      <c r="H252" t="s">
        <v>801</v>
      </c>
    </row>
    <row r="253" spans="1:8">
      <c r="A253">
        <v>251</v>
      </c>
      <c r="B253" t="s">
        <v>1084</v>
      </c>
      <c r="C253" t="s">
        <v>159</v>
      </c>
      <c r="D253" t="s">
        <v>60</v>
      </c>
      <c r="E253" t="s">
        <v>338</v>
      </c>
      <c r="F253">
        <v>65</v>
      </c>
      <c r="G253">
        <v>40.9</v>
      </c>
      <c r="H253" t="s">
        <v>801</v>
      </c>
    </row>
    <row r="254" spans="1:8">
      <c r="A254">
        <v>252</v>
      </c>
      <c r="B254" t="s">
        <v>1085</v>
      </c>
      <c r="C254" t="s">
        <v>617</v>
      </c>
      <c r="D254" t="s">
        <v>60</v>
      </c>
      <c r="E254" t="s">
        <v>618</v>
      </c>
      <c r="F254">
        <v>55</v>
      </c>
      <c r="G254">
        <v>0</v>
      </c>
      <c r="H254" t="s">
        <v>801</v>
      </c>
    </row>
    <row r="255" spans="1:8">
      <c r="A255">
        <v>253</v>
      </c>
      <c r="B255" t="s">
        <v>1086</v>
      </c>
      <c r="C255" t="s">
        <v>619</v>
      </c>
      <c r="D255" t="s">
        <v>60</v>
      </c>
      <c r="E255" t="s">
        <v>607</v>
      </c>
      <c r="F255">
        <v>70.5</v>
      </c>
      <c r="G255">
        <v>0</v>
      </c>
      <c r="H255" t="s">
        <v>799</v>
      </c>
    </row>
    <row r="256" spans="1:8">
      <c r="A256">
        <v>254</v>
      </c>
      <c r="B256" t="s">
        <v>1087</v>
      </c>
      <c r="C256" t="s">
        <v>145</v>
      </c>
      <c r="D256" t="s">
        <v>60</v>
      </c>
      <c r="E256" t="s">
        <v>336</v>
      </c>
      <c r="F256">
        <v>32.5</v>
      </c>
      <c r="G256">
        <v>30</v>
      </c>
      <c r="H256" t="s">
        <v>801</v>
      </c>
    </row>
    <row r="257" spans="1:8">
      <c r="A257">
        <v>255</v>
      </c>
      <c r="B257" t="s">
        <v>1088</v>
      </c>
      <c r="C257" t="s">
        <v>144</v>
      </c>
      <c r="D257" t="s">
        <v>60</v>
      </c>
      <c r="E257" t="s">
        <v>335</v>
      </c>
      <c r="F257">
        <v>46</v>
      </c>
      <c r="G257">
        <v>41.9</v>
      </c>
      <c r="H257" t="s">
        <v>801</v>
      </c>
    </row>
    <row r="258" spans="1:8">
      <c r="A258">
        <v>256</v>
      </c>
      <c r="B258" t="s">
        <v>1089</v>
      </c>
      <c r="C258" t="s">
        <v>62</v>
      </c>
      <c r="D258" t="s">
        <v>60</v>
      </c>
      <c r="E258" t="s">
        <v>336</v>
      </c>
      <c r="F258">
        <v>32</v>
      </c>
      <c r="G258">
        <v>32</v>
      </c>
      <c r="H258" t="s">
        <v>799</v>
      </c>
    </row>
    <row r="259" spans="1:8">
      <c r="A259">
        <v>257</v>
      </c>
      <c r="B259" t="s">
        <v>1090</v>
      </c>
      <c r="C259" t="s">
        <v>106</v>
      </c>
      <c r="D259" t="s">
        <v>60</v>
      </c>
      <c r="E259" t="s">
        <v>336</v>
      </c>
      <c r="F259">
        <v>26.55</v>
      </c>
      <c r="G259">
        <v>27.55</v>
      </c>
      <c r="H259" t="s">
        <v>799</v>
      </c>
    </row>
    <row r="260" spans="1:8">
      <c r="A260">
        <v>258</v>
      </c>
      <c r="B260" t="s">
        <v>1091</v>
      </c>
      <c r="C260" t="s">
        <v>161</v>
      </c>
      <c r="D260" t="s">
        <v>60</v>
      </c>
      <c r="E260" t="s">
        <v>339</v>
      </c>
      <c r="F260">
        <v>45</v>
      </c>
      <c r="G260">
        <v>38</v>
      </c>
      <c r="H260" t="s">
        <v>801</v>
      </c>
    </row>
    <row r="261" spans="1:8">
      <c r="A261">
        <v>259</v>
      </c>
      <c r="B261" t="s">
        <v>1092</v>
      </c>
      <c r="C261" t="s">
        <v>620</v>
      </c>
      <c r="D261" t="s">
        <v>60</v>
      </c>
      <c r="E261" t="s">
        <v>621</v>
      </c>
      <c r="F261">
        <v>394</v>
      </c>
      <c r="G261">
        <v>0</v>
      </c>
      <c r="H261" t="s">
        <v>799</v>
      </c>
    </row>
    <row r="262" spans="1:8">
      <c r="A262">
        <v>260</v>
      </c>
      <c r="B262" t="s">
        <v>1093</v>
      </c>
      <c r="C262" t="s">
        <v>155</v>
      </c>
      <c r="D262" t="s">
        <v>60</v>
      </c>
      <c r="E262" t="s">
        <v>338</v>
      </c>
      <c r="F262">
        <v>65</v>
      </c>
      <c r="G262">
        <v>37.9</v>
      </c>
      <c r="H262" t="s">
        <v>801</v>
      </c>
    </row>
    <row r="263" spans="1:8">
      <c r="A263">
        <v>261</v>
      </c>
      <c r="B263" t="s">
        <v>1094</v>
      </c>
      <c r="C263" t="s">
        <v>148</v>
      </c>
      <c r="D263" t="s">
        <v>60</v>
      </c>
      <c r="E263" t="s">
        <v>336</v>
      </c>
      <c r="F263">
        <v>32.5</v>
      </c>
      <c r="G263">
        <v>30</v>
      </c>
      <c r="H263" t="s">
        <v>801</v>
      </c>
    </row>
    <row r="264" spans="1:8">
      <c r="A264">
        <v>262</v>
      </c>
      <c r="B264" t="s">
        <v>1095</v>
      </c>
      <c r="C264" t="s">
        <v>65</v>
      </c>
      <c r="D264" t="s">
        <v>60</v>
      </c>
      <c r="E264" t="s">
        <v>336</v>
      </c>
      <c r="F264">
        <v>25</v>
      </c>
      <c r="G264">
        <v>27</v>
      </c>
      <c r="H264" t="s">
        <v>799</v>
      </c>
    </row>
    <row r="265" spans="1:8">
      <c r="A265">
        <v>263</v>
      </c>
      <c r="B265" t="s">
        <v>1096</v>
      </c>
      <c r="C265" t="s">
        <v>64</v>
      </c>
      <c r="D265" t="s">
        <v>60</v>
      </c>
      <c r="E265" t="s">
        <v>336</v>
      </c>
      <c r="F265">
        <v>25</v>
      </c>
      <c r="G265">
        <v>27</v>
      </c>
      <c r="H265" t="s">
        <v>799</v>
      </c>
    </row>
    <row r="266" spans="1:8">
      <c r="A266">
        <v>264</v>
      </c>
      <c r="B266" t="s">
        <v>1097</v>
      </c>
      <c r="C266" t="s">
        <v>147</v>
      </c>
      <c r="D266" t="s">
        <v>60</v>
      </c>
      <c r="E266" t="s">
        <v>336</v>
      </c>
      <c r="F266">
        <v>32.5</v>
      </c>
      <c r="G266">
        <v>30</v>
      </c>
      <c r="H266" t="s">
        <v>801</v>
      </c>
    </row>
    <row r="267" spans="1:8">
      <c r="A267">
        <v>265</v>
      </c>
      <c r="B267" t="s">
        <v>1098</v>
      </c>
      <c r="C267" t="s">
        <v>162</v>
      </c>
      <c r="D267" t="s">
        <v>51</v>
      </c>
      <c r="E267" t="s">
        <v>339</v>
      </c>
      <c r="F267">
        <v>40</v>
      </c>
      <c r="G267">
        <v>37</v>
      </c>
      <c r="H267" t="s">
        <v>801</v>
      </c>
    </row>
    <row r="268" spans="1:8">
      <c r="A268">
        <v>266</v>
      </c>
      <c r="B268" t="s">
        <v>1099</v>
      </c>
      <c r="C268" t="s">
        <v>158</v>
      </c>
      <c r="D268" t="s">
        <v>60</v>
      </c>
      <c r="E268" t="s">
        <v>338</v>
      </c>
      <c r="F268">
        <v>65</v>
      </c>
      <c r="G268">
        <v>37.9</v>
      </c>
      <c r="H268" t="s">
        <v>801</v>
      </c>
    </row>
    <row r="269" spans="1:8">
      <c r="A269">
        <v>267</v>
      </c>
      <c r="B269" t="s">
        <v>1100</v>
      </c>
      <c r="C269" t="s">
        <v>146</v>
      </c>
      <c r="D269" t="s">
        <v>60</v>
      </c>
      <c r="E269" t="s">
        <v>336</v>
      </c>
      <c r="F269">
        <v>32.5</v>
      </c>
      <c r="G269">
        <v>30</v>
      </c>
      <c r="H269" t="s">
        <v>801</v>
      </c>
    </row>
    <row r="270" spans="1:8">
      <c r="A270">
        <v>268</v>
      </c>
      <c r="B270" t="s">
        <v>1101</v>
      </c>
      <c r="C270" t="s">
        <v>149</v>
      </c>
      <c r="D270" t="s">
        <v>60</v>
      </c>
      <c r="E270" t="s">
        <v>336</v>
      </c>
      <c r="F270">
        <v>32.5</v>
      </c>
      <c r="G270">
        <v>30</v>
      </c>
      <c r="H270" t="s">
        <v>801</v>
      </c>
    </row>
    <row r="271" spans="1:8">
      <c r="A271">
        <v>269</v>
      </c>
      <c r="B271" t="s">
        <v>1102</v>
      </c>
      <c r="C271" t="s">
        <v>622</v>
      </c>
      <c r="D271" t="s">
        <v>623</v>
      </c>
      <c r="E271" t="s">
        <v>587</v>
      </c>
      <c r="F271">
        <v>45.5</v>
      </c>
      <c r="G271">
        <v>0</v>
      </c>
      <c r="H271" t="s">
        <v>799</v>
      </c>
    </row>
    <row r="272" spans="1:8">
      <c r="A272">
        <v>270</v>
      </c>
      <c r="B272" t="s">
        <v>1103</v>
      </c>
      <c r="C272" t="s">
        <v>624</v>
      </c>
      <c r="D272" t="s">
        <v>623</v>
      </c>
      <c r="E272" t="s">
        <v>625</v>
      </c>
      <c r="F272">
        <v>48</v>
      </c>
      <c r="G272">
        <v>0</v>
      </c>
      <c r="H272" t="s">
        <v>799</v>
      </c>
    </row>
    <row r="273" spans="1:8">
      <c r="A273">
        <v>271</v>
      </c>
      <c r="B273" t="s">
        <v>1104</v>
      </c>
      <c r="C273" t="s">
        <v>626</v>
      </c>
      <c r="D273" t="s">
        <v>324</v>
      </c>
      <c r="E273" t="s">
        <v>627</v>
      </c>
      <c r="F273">
        <v>0</v>
      </c>
      <c r="G273">
        <v>0</v>
      </c>
      <c r="H273" t="s">
        <v>801</v>
      </c>
    </row>
    <row r="274" spans="1:8">
      <c r="A274">
        <v>272</v>
      </c>
      <c r="B274" t="s">
        <v>1105</v>
      </c>
      <c r="C274" t="s">
        <v>628</v>
      </c>
      <c r="D274" t="s">
        <v>623</v>
      </c>
      <c r="E274" t="s">
        <v>627</v>
      </c>
      <c r="F274">
        <v>0</v>
      </c>
      <c r="G274">
        <v>0</v>
      </c>
      <c r="H274" t="s">
        <v>801</v>
      </c>
    </row>
    <row r="275" spans="1:8">
      <c r="A275">
        <v>273</v>
      </c>
      <c r="B275" t="s">
        <v>1106</v>
      </c>
      <c r="C275" t="s">
        <v>629</v>
      </c>
      <c r="D275" t="s">
        <v>623</v>
      </c>
      <c r="E275" t="s">
        <v>627</v>
      </c>
      <c r="F275">
        <v>0</v>
      </c>
      <c r="G275">
        <v>0</v>
      </c>
      <c r="H275" t="s">
        <v>801</v>
      </c>
    </row>
    <row r="276" spans="1:8">
      <c r="A276">
        <v>274</v>
      </c>
      <c r="B276" t="s">
        <v>1107</v>
      </c>
      <c r="C276" t="s">
        <v>630</v>
      </c>
      <c r="D276" t="s">
        <v>623</v>
      </c>
      <c r="E276" t="s">
        <v>627</v>
      </c>
      <c r="F276">
        <v>0</v>
      </c>
      <c r="G276">
        <v>0</v>
      </c>
      <c r="H276" t="s">
        <v>801</v>
      </c>
    </row>
    <row r="277" spans="1:8">
      <c r="A277">
        <v>275</v>
      </c>
      <c r="B277" t="s">
        <v>1108</v>
      </c>
      <c r="C277" t="s">
        <v>631</v>
      </c>
      <c r="D277" t="s">
        <v>324</v>
      </c>
      <c r="E277" t="s">
        <v>627</v>
      </c>
      <c r="F277">
        <v>0</v>
      </c>
      <c r="G277">
        <v>0</v>
      </c>
      <c r="H277" t="s">
        <v>801</v>
      </c>
    </row>
    <row r="278" spans="1:8">
      <c r="A278">
        <v>276</v>
      </c>
      <c r="B278" t="s">
        <v>1109</v>
      </c>
      <c r="C278" t="s">
        <v>632</v>
      </c>
      <c r="D278" t="s">
        <v>623</v>
      </c>
      <c r="E278" t="s">
        <v>633</v>
      </c>
      <c r="F278">
        <v>50.65</v>
      </c>
      <c r="G278">
        <v>0</v>
      </c>
      <c r="H278" t="s">
        <v>799</v>
      </c>
    </row>
    <row r="279" spans="1:8">
      <c r="A279">
        <v>277</v>
      </c>
      <c r="B279" t="s">
        <v>1110</v>
      </c>
      <c r="C279" t="s">
        <v>634</v>
      </c>
      <c r="D279" t="s">
        <v>324</v>
      </c>
      <c r="E279" t="s">
        <v>361</v>
      </c>
      <c r="F279">
        <v>60</v>
      </c>
      <c r="G279">
        <v>0</v>
      </c>
      <c r="H279" t="s">
        <v>801</v>
      </c>
    </row>
    <row r="280" spans="1:8">
      <c r="A280">
        <v>278</v>
      </c>
      <c r="B280" t="s">
        <v>1111</v>
      </c>
      <c r="C280" t="s">
        <v>251</v>
      </c>
      <c r="D280" t="s">
        <v>324</v>
      </c>
      <c r="E280" t="s">
        <v>361</v>
      </c>
      <c r="F280">
        <v>0</v>
      </c>
      <c r="G280">
        <v>63.25</v>
      </c>
      <c r="H280" t="s">
        <v>801</v>
      </c>
    </row>
    <row r="281" spans="1:8">
      <c r="A281">
        <v>279</v>
      </c>
      <c r="B281" t="s">
        <v>1112</v>
      </c>
      <c r="C281" t="s">
        <v>635</v>
      </c>
      <c r="D281" t="s">
        <v>324</v>
      </c>
      <c r="E281" t="s">
        <v>636</v>
      </c>
      <c r="F281">
        <v>59.15</v>
      </c>
      <c r="G281">
        <v>0</v>
      </c>
      <c r="H281" t="s">
        <v>799</v>
      </c>
    </row>
    <row r="282" spans="1:8">
      <c r="A282">
        <v>280</v>
      </c>
      <c r="B282" t="s">
        <v>1113</v>
      </c>
      <c r="C282" t="s">
        <v>250</v>
      </c>
      <c r="D282" t="s">
        <v>324</v>
      </c>
      <c r="E282" t="s">
        <v>361</v>
      </c>
      <c r="F282">
        <v>0</v>
      </c>
      <c r="G282">
        <v>63.25</v>
      </c>
      <c r="H282" t="s">
        <v>801</v>
      </c>
    </row>
    <row r="283" spans="1:8">
      <c r="A283">
        <v>281</v>
      </c>
      <c r="B283" t="s">
        <v>1114</v>
      </c>
      <c r="C283" t="s">
        <v>637</v>
      </c>
      <c r="D283" t="s">
        <v>324</v>
      </c>
      <c r="E283" t="s">
        <v>638</v>
      </c>
      <c r="F283">
        <v>57.65</v>
      </c>
      <c r="G283">
        <v>0</v>
      </c>
      <c r="H283" t="s">
        <v>799</v>
      </c>
    </row>
    <row r="284" spans="1:8">
      <c r="A284">
        <v>282</v>
      </c>
      <c r="B284" t="s">
        <v>1115</v>
      </c>
      <c r="C284" t="s">
        <v>639</v>
      </c>
      <c r="D284" t="s">
        <v>324</v>
      </c>
      <c r="E284" t="s">
        <v>515</v>
      </c>
      <c r="F284">
        <v>0</v>
      </c>
      <c r="G284">
        <v>0</v>
      </c>
      <c r="H284" t="s">
        <v>801</v>
      </c>
    </row>
    <row r="285" spans="1:8">
      <c r="A285">
        <v>283</v>
      </c>
      <c r="B285" t="s">
        <v>1116</v>
      </c>
      <c r="C285" t="s">
        <v>640</v>
      </c>
      <c r="D285" t="s">
        <v>324</v>
      </c>
      <c r="E285" t="s">
        <v>627</v>
      </c>
      <c r="F285">
        <v>0</v>
      </c>
      <c r="G285">
        <v>0</v>
      </c>
      <c r="H285" t="s">
        <v>801</v>
      </c>
    </row>
    <row r="286" spans="1:8">
      <c r="A286">
        <v>284</v>
      </c>
      <c r="B286" t="s">
        <v>1117</v>
      </c>
      <c r="C286" t="s">
        <v>272</v>
      </c>
      <c r="D286" t="s">
        <v>315</v>
      </c>
      <c r="E286" t="s">
        <v>366</v>
      </c>
      <c r="F286">
        <v>75</v>
      </c>
      <c r="G286">
        <v>70</v>
      </c>
      <c r="H286" t="s">
        <v>801</v>
      </c>
    </row>
    <row r="287" spans="1:8">
      <c r="A287">
        <v>285</v>
      </c>
      <c r="B287" t="s">
        <v>1118</v>
      </c>
      <c r="C287" t="s">
        <v>641</v>
      </c>
      <c r="D287" t="s">
        <v>315</v>
      </c>
      <c r="E287" t="s">
        <v>496</v>
      </c>
      <c r="F287">
        <v>80</v>
      </c>
      <c r="G287">
        <v>0</v>
      </c>
      <c r="H287" t="s">
        <v>799</v>
      </c>
    </row>
    <row r="288" spans="1:8">
      <c r="A288">
        <v>286</v>
      </c>
      <c r="B288" t="s">
        <v>1119</v>
      </c>
      <c r="C288" t="s">
        <v>270</v>
      </c>
      <c r="D288" t="s">
        <v>315</v>
      </c>
      <c r="E288" t="s">
        <v>366</v>
      </c>
      <c r="F288">
        <v>75</v>
      </c>
      <c r="G288">
        <v>70</v>
      </c>
      <c r="H288" t="s">
        <v>801</v>
      </c>
    </row>
    <row r="289" spans="1:8">
      <c r="A289">
        <v>287</v>
      </c>
      <c r="B289" t="s">
        <v>1120</v>
      </c>
      <c r="C289" t="s">
        <v>642</v>
      </c>
      <c r="D289" t="s">
        <v>315</v>
      </c>
      <c r="E289" t="s">
        <v>515</v>
      </c>
      <c r="F289">
        <v>67</v>
      </c>
      <c r="G289">
        <v>0</v>
      </c>
      <c r="H289" t="s">
        <v>799</v>
      </c>
    </row>
    <row r="290" spans="1:8">
      <c r="A290">
        <v>288</v>
      </c>
      <c r="B290" t="s">
        <v>1121</v>
      </c>
      <c r="C290" t="s">
        <v>234</v>
      </c>
      <c r="D290" t="s">
        <v>314</v>
      </c>
      <c r="E290" t="s">
        <v>359</v>
      </c>
      <c r="F290">
        <v>80</v>
      </c>
      <c r="G290">
        <v>75</v>
      </c>
      <c r="H290" t="s">
        <v>801</v>
      </c>
    </row>
    <row r="291" spans="1:8">
      <c r="A291">
        <v>289</v>
      </c>
      <c r="B291" t="s">
        <v>1122</v>
      </c>
      <c r="C291" t="s">
        <v>233</v>
      </c>
      <c r="D291" t="s">
        <v>314</v>
      </c>
      <c r="E291" t="s">
        <v>359</v>
      </c>
      <c r="F291">
        <v>80</v>
      </c>
      <c r="G291">
        <v>75</v>
      </c>
      <c r="H291" t="s">
        <v>801</v>
      </c>
    </row>
    <row r="292" spans="1:8">
      <c r="A292">
        <v>290</v>
      </c>
      <c r="B292" t="s">
        <v>1123</v>
      </c>
      <c r="C292" t="s">
        <v>92</v>
      </c>
      <c r="D292" t="s">
        <v>315</v>
      </c>
      <c r="E292" t="s">
        <v>359</v>
      </c>
      <c r="F292">
        <v>70</v>
      </c>
      <c r="G292">
        <v>70</v>
      </c>
      <c r="H292" t="s">
        <v>799</v>
      </c>
    </row>
    <row r="293" spans="1:8">
      <c r="A293">
        <v>291</v>
      </c>
      <c r="B293" t="s">
        <v>1124</v>
      </c>
      <c r="C293" t="s">
        <v>39</v>
      </c>
      <c r="D293" t="s">
        <v>315</v>
      </c>
      <c r="E293" t="s">
        <v>359</v>
      </c>
      <c r="F293">
        <v>70</v>
      </c>
      <c r="G293">
        <v>70</v>
      </c>
      <c r="H293" t="s">
        <v>799</v>
      </c>
    </row>
    <row r="294" spans="1:8">
      <c r="A294">
        <v>292</v>
      </c>
      <c r="B294" t="s">
        <v>1125</v>
      </c>
      <c r="C294" t="s">
        <v>655</v>
      </c>
      <c r="D294" t="s">
        <v>315</v>
      </c>
      <c r="E294" t="s">
        <v>496</v>
      </c>
      <c r="F294">
        <v>73</v>
      </c>
      <c r="G294">
        <v>0</v>
      </c>
      <c r="H294" t="s">
        <v>799</v>
      </c>
    </row>
    <row r="295" spans="1:8">
      <c r="A295">
        <v>293</v>
      </c>
      <c r="B295" t="s">
        <v>1126</v>
      </c>
      <c r="C295" t="s">
        <v>656</v>
      </c>
      <c r="D295" t="s">
        <v>315</v>
      </c>
      <c r="E295" t="s">
        <v>657</v>
      </c>
      <c r="F295">
        <v>85</v>
      </c>
      <c r="G295">
        <v>0</v>
      </c>
      <c r="H295" t="s">
        <v>801</v>
      </c>
    </row>
    <row r="296" spans="1:8">
      <c r="A296">
        <v>294</v>
      </c>
      <c r="B296" t="s">
        <v>1127</v>
      </c>
      <c r="C296" t="s">
        <v>273</v>
      </c>
      <c r="D296" t="s">
        <v>315</v>
      </c>
      <c r="E296" t="s">
        <v>366</v>
      </c>
      <c r="F296">
        <v>75</v>
      </c>
      <c r="G296">
        <v>72.5</v>
      </c>
      <c r="H296" t="s">
        <v>801</v>
      </c>
    </row>
    <row r="297" spans="1:8">
      <c r="A297">
        <v>295</v>
      </c>
      <c r="B297" t="s">
        <v>1128</v>
      </c>
      <c r="C297" t="s">
        <v>658</v>
      </c>
      <c r="D297" t="s">
        <v>324</v>
      </c>
      <c r="E297" t="s">
        <v>627</v>
      </c>
      <c r="F297">
        <v>0</v>
      </c>
      <c r="G297">
        <v>0</v>
      </c>
      <c r="H297" t="s">
        <v>801</v>
      </c>
    </row>
    <row r="298" spans="1:8">
      <c r="A298">
        <v>296</v>
      </c>
      <c r="B298" t="s">
        <v>1129</v>
      </c>
      <c r="C298" t="s">
        <v>626</v>
      </c>
      <c r="D298" t="s">
        <v>324</v>
      </c>
      <c r="E298" t="s">
        <v>627</v>
      </c>
      <c r="F298">
        <v>0</v>
      </c>
      <c r="G298">
        <v>0</v>
      </c>
      <c r="H298" t="s">
        <v>801</v>
      </c>
    </row>
    <row r="299" spans="1:8">
      <c r="A299">
        <v>297</v>
      </c>
      <c r="B299" t="s">
        <v>1130</v>
      </c>
      <c r="C299" t="s">
        <v>659</v>
      </c>
      <c r="D299" t="s">
        <v>315</v>
      </c>
      <c r="E299" t="s">
        <v>543</v>
      </c>
      <c r="F299">
        <v>70</v>
      </c>
      <c r="G299">
        <v>0</v>
      </c>
      <c r="H299" t="s">
        <v>799</v>
      </c>
    </row>
    <row r="300" spans="1:8">
      <c r="A300">
        <v>298</v>
      </c>
      <c r="B300" t="s">
        <v>1131</v>
      </c>
      <c r="C300" t="s">
        <v>660</v>
      </c>
      <c r="D300" t="s">
        <v>315</v>
      </c>
      <c r="E300" t="s">
        <v>515</v>
      </c>
      <c r="F300">
        <v>0</v>
      </c>
      <c r="G300">
        <v>0</v>
      </c>
      <c r="H300" t="s">
        <v>801</v>
      </c>
    </row>
    <row r="301" spans="1:8">
      <c r="A301">
        <v>299</v>
      </c>
      <c r="B301" t="s">
        <v>1132</v>
      </c>
      <c r="C301" t="s">
        <v>38</v>
      </c>
      <c r="D301" t="s">
        <v>315</v>
      </c>
      <c r="E301" t="s">
        <v>361</v>
      </c>
      <c r="F301">
        <v>70.650000000000006</v>
      </c>
      <c r="G301">
        <v>72.8</v>
      </c>
      <c r="H301" t="s">
        <v>799</v>
      </c>
    </row>
    <row r="302" spans="1:8">
      <c r="A302">
        <v>300</v>
      </c>
      <c r="B302" t="s">
        <v>1133</v>
      </c>
      <c r="C302" t="s">
        <v>661</v>
      </c>
      <c r="D302" t="s">
        <v>315</v>
      </c>
      <c r="E302" t="s">
        <v>662</v>
      </c>
      <c r="F302">
        <v>75</v>
      </c>
      <c r="G302">
        <v>0</v>
      </c>
      <c r="H302" t="s">
        <v>799</v>
      </c>
    </row>
    <row r="303" spans="1:8">
      <c r="A303">
        <v>301</v>
      </c>
      <c r="B303" t="s">
        <v>1134</v>
      </c>
      <c r="C303" t="s">
        <v>663</v>
      </c>
      <c r="D303" t="s">
        <v>315</v>
      </c>
      <c r="E303" t="s">
        <v>496</v>
      </c>
      <c r="F303">
        <v>85</v>
      </c>
      <c r="G303">
        <v>0</v>
      </c>
      <c r="H303" t="s">
        <v>799</v>
      </c>
    </row>
    <row r="304" spans="1:8">
      <c r="A304">
        <v>302</v>
      </c>
      <c r="B304" t="s">
        <v>1135</v>
      </c>
      <c r="C304" t="s">
        <v>664</v>
      </c>
      <c r="D304" t="s">
        <v>315</v>
      </c>
      <c r="E304" t="s">
        <v>496</v>
      </c>
      <c r="F304">
        <v>0</v>
      </c>
      <c r="G304">
        <v>0</v>
      </c>
      <c r="H304" t="s">
        <v>799</v>
      </c>
    </row>
    <row r="305" spans="1:8">
      <c r="A305">
        <v>303</v>
      </c>
      <c r="B305" t="s">
        <v>1136</v>
      </c>
      <c r="C305" t="s">
        <v>665</v>
      </c>
      <c r="D305" t="s">
        <v>623</v>
      </c>
      <c r="E305" t="s">
        <v>587</v>
      </c>
      <c r="F305">
        <v>0</v>
      </c>
      <c r="G305">
        <v>0</v>
      </c>
      <c r="H305" t="s">
        <v>799</v>
      </c>
    </row>
    <row r="306" spans="1:8">
      <c r="A306">
        <v>304</v>
      </c>
      <c r="B306" t="s">
        <v>1137</v>
      </c>
      <c r="C306" t="s">
        <v>91</v>
      </c>
      <c r="D306" t="s">
        <v>324</v>
      </c>
      <c r="E306" t="s">
        <v>361</v>
      </c>
      <c r="F306">
        <v>0</v>
      </c>
      <c r="G306">
        <v>0</v>
      </c>
      <c r="H306" t="s">
        <v>799</v>
      </c>
    </row>
    <row r="307" spans="1:8">
      <c r="A307">
        <v>305</v>
      </c>
      <c r="B307" t="s">
        <v>1138</v>
      </c>
      <c r="C307" t="s">
        <v>248</v>
      </c>
      <c r="D307" t="s">
        <v>40</v>
      </c>
      <c r="E307" t="s">
        <v>361</v>
      </c>
      <c r="F307">
        <v>72.5</v>
      </c>
      <c r="G307">
        <v>73.25</v>
      </c>
      <c r="H307" t="s">
        <v>801</v>
      </c>
    </row>
    <row r="308" spans="1:8">
      <c r="A308">
        <v>306</v>
      </c>
      <c r="B308" t="s">
        <v>1139</v>
      </c>
      <c r="C308" t="s">
        <v>666</v>
      </c>
      <c r="D308" t="s">
        <v>42</v>
      </c>
      <c r="E308" t="s">
        <v>577</v>
      </c>
      <c r="F308">
        <v>105</v>
      </c>
      <c r="G308">
        <v>0</v>
      </c>
      <c r="H308" t="s">
        <v>801</v>
      </c>
    </row>
    <row r="309" spans="1:8">
      <c r="A309">
        <v>307</v>
      </c>
      <c r="B309" t="s">
        <v>1140</v>
      </c>
      <c r="C309" t="s">
        <v>41</v>
      </c>
      <c r="D309" t="s">
        <v>40</v>
      </c>
      <c r="E309" t="s">
        <v>361</v>
      </c>
      <c r="F309">
        <v>71.45</v>
      </c>
      <c r="G309">
        <v>73.5</v>
      </c>
      <c r="H309" t="s">
        <v>799</v>
      </c>
    </row>
    <row r="310" spans="1:8">
      <c r="A310">
        <v>308</v>
      </c>
      <c r="B310" t="s">
        <v>1141</v>
      </c>
      <c r="C310" t="s">
        <v>221</v>
      </c>
      <c r="D310" t="s">
        <v>305</v>
      </c>
      <c r="E310" t="s">
        <v>355</v>
      </c>
      <c r="F310">
        <v>100</v>
      </c>
      <c r="G310">
        <v>100</v>
      </c>
      <c r="H310" t="s">
        <v>801</v>
      </c>
    </row>
    <row r="311" spans="1:8">
      <c r="A311">
        <v>309</v>
      </c>
      <c r="B311" t="s">
        <v>1142</v>
      </c>
      <c r="C311" t="s">
        <v>245</v>
      </c>
      <c r="D311" t="s">
        <v>305</v>
      </c>
      <c r="E311" t="s">
        <v>361</v>
      </c>
      <c r="F311">
        <v>100</v>
      </c>
      <c r="G311">
        <v>94.65</v>
      </c>
      <c r="H311" t="s">
        <v>801</v>
      </c>
    </row>
    <row r="312" spans="1:8">
      <c r="A312">
        <v>310</v>
      </c>
      <c r="B312" t="s">
        <v>1143</v>
      </c>
      <c r="C312" t="s">
        <v>44</v>
      </c>
      <c r="D312" t="s">
        <v>305</v>
      </c>
      <c r="E312" t="s">
        <v>361</v>
      </c>
      <c r="F312">
        <v>91.95</v>
      </c>
      <c r="G312">
        <v>95.45</v>
      </c>
      <c r="H312" t="s">
        <v>799</v>
      </c>
    </row>
    <row r="313" spans="1:8">
      <c r="A313">
        <v>311</v>
      </c>
      <c r="B313" t="s">
        <v>1144</v>
      </c>
      <c r="C313" t="s">
        <v>667</v>
      </c>
      <c r="D313" t="s">
        <v>42</v>
      </c>
      <c r="E313" t="s">
        <v>587</v>
      </c>
      <c r="F313">
        <v>0</v>
      </c>
      <c r="G313">
        <v>0</v>
      </c>
      <c r="H313" t="s">
        <v>801</v>
      </c>
    </row>
    <row r="314" spans="1:8">
      <c r="A314">
        <v>312</v>
      </c>
      <c r="B314" t="s">
        <v>1145</v>
      </c>
      <c r="C314" t="s">
        <v>668</v>
      </c>
      <c r="D314" t="s">
        <v>42</v>
      </c>
      <c r="E314" t="s">
        <v>587</v>
      </c>
      <c r="F314">
        <v>0</v>
      </c>
      <c r="G314">
        <v>0</v>
      </c>
      <c r="H314" t="s">
        <v>801</v>
      </c>
    </row>
    <row r="315" spans="1:8">
      <c r="A315">
        <v>313</v>
      </c>
      <c r="B315" t="s">
        <v>1146</v>
      </c>
      <c r="C315" t="s">
        <v>669</v>
      </c>
      <c r="D315" t="s">
        <v>42</v>
      </c>
      <c r="E315" t="s">
        <v>670</v>
      </c>
      <c r="F315">
        <v>115</v>
      </c>
      <c r="G315">
        <v>0</v>
      </c>
      <c r="H315" t="s">
        <v>801</v>
      </c>
    </row>
    <row r="316" spans="1:8">
      <c r="A316">
        <v>314</v>
      </c>
      <c r="B316" t="s">
        <v>1147</v>
      </c>
      <c r="C316" t="s">
        <v>170</v>
      </c>
      <c r="D316" t="s">
        <v>305</v>
      </c>
      <c r="E316" t="s">
        <v>341</v>
      </c>
      <c r="F316">
        <v>120.29</v>
      </c>
      <c r="G316">
        <v>102</v>
      </c>
      <c r="H316" t="s">
        <v>801</v>
      </c>
    </row>
    <row r="317" spans="1:8">
      <c r="A317">
        <v>315</v>
      </c>
      <c r="B317" t="s">
        <v>1148</v>
      </c>
      <c r="C317" t="s">
        <v>244</v>
      </c>
      <c r="D317" t="s">
        <v>46</v>
      </c>
      <c r="E317" t="s">
        <v>361</v>
      </c>
      <c r="F317">
        <v>105</v>
      </c>
      <c r="G317">
        <v>107.45</v>
      </c>
      <c r="H317" t="s">
        <v>801</v>
      </c>
    </row>
    <row r="318" spans="1:8">
      <c r="A318">
        <v>316</v>
      </c>
      <c r="B318" t="s">
        <v>1149</v>
      </c>
      <c r="C318" t="s">
        <v>128</v>
      </c>
      <c r="D318" t="s">
        <v>305</v>
      </c>
      <c r="E318" t="s">
        <v>331</v>
      </c>
      <c r="F318">
        <v>110</v>
      </c>
      <c r="G318">
        <v>103</v>
      </c>
      <c r="H318" t="s">
        <v>801</v>
      </c>
    </row>
    <row r="319" spans="1:8">
      <c r="A319">
        <v>317</v>
      </c>
      <c r="B319" t="s">
        <v>1150</v>
      </c>
      <c r="C319" t="s">
        <v>45</v>
      </c>
      <c r="D319" t="s">
        <v>305</v>
      </c>
      <c r="E319" t="s">
        <v>332</v>
      </c>
      <c r="F319">
        <v>117.5</v>
      </c>
      <c r="G319">
        <v>117.5</v>
      </c>
      <c r="H319" t="s">
        <v>799</v>
      </c>
    </row>
    <row r="320" spans="1:8">
      <c r="A320">
        <v>318</v>
      </c>
      <c r="B320" t="s">
        <v>1151</v>
      </c>
      <c r="C320" t="s">
        <v>671</v>
      </c>
      <c r="D320" t="s">
        <v>42</v>
      </c>
      <c r="E320" t="s">
        <v>587</v>
      </c>
      <c r="F320">
        <v>0</v>
      </c>
      <c r="G320">
        <v>0</v>
      </c>
      <c r="H320" t="s">
        <v>799</v>
      </c>
    </row>
    <row r="321" spans="1:8">
      <c r="A321">
        <v>319</v>
      </c>
      <c r="B321" t="s">
        <v>1152</v>
      </c>
      <c r="C321" t="s">
        <v>47</v>
      </c>
      <c r="D321" t="s">
        <v>305</v>
      </c>
      <c r="E321" t="s">
        <v>361</v>
      </c>
      <c r="F321">
        <v>104.65</v>
      </c>
      <c r="G321">
        <v>107.15</v>
      </c>
      <c r="H321" t="s">
        <v>799</v>
      </c>
    </row>
    <row r="322" spans="1:8">
      <c r="A322">
        <v>320</v>
      </c>
      <c r="B322" t="s">
        <v>1153</v>
      </c>
      <c r="C322" t="s">
        <v>672</v>
      </c>
      <c r="D322" t="s">
        <v>46</v>
      </c>
      <c r="E322" t="s">
        <v>673</v>
      </c>
      <c r="F322">
        <v>85</v>
      </c>
      <c r="G322">
        <v>0</v>
      </c>
      <c r="H322" t="s">
        <v>801</v>
      </c>
    </row>
    <row r="323" spans="1:8">
      <c r="A323">
        <v>321</v>
      </c>
      <c r="B323" t="s">
        <v>1154</v>
      </c>
      <c r="C323" t="s">
        <v>674</v>
      </c>
      <c r="D323" t="s">
        <v>42</v>
      </c>
      <c r="E323" t="s">
        <v>675</v>
      </c>
      <c r="F323">
        <v>72.5</v>
      </c>
      <c r="G323">
        <v>0</v>
      </c>
      <c r="H323" t="s">
        <v>799</v>
      </c>
    </row>
    <row r="324" spans="1:8">
      <c r="A324">
        <v>322</v>
      </c>
      <c r="B324" t="s">
        <v>1155</v>
      </c>
      <c r="C324" t="s">
        <v>676</v>
      </c>
      <c r="D324" t="s">
        <v>42</v>
      </c>
      <c r="E324" t="s">
        <v>515</v>
      </c>
      <c r="F324">
        <v>0</v>
      </c>
      <c r="G324">
        <v>0</v>
      </c>
      <c r="H324" t="s">
        <v>801</v>
      </c>
    </row>
    <row r="325" spans="1:8">
      <c r="A325">
        <v>323</v>
      </c>
      <c r="B325" t="s">
        <v>1156</v>
      </c>
      <c r="C325" t="s">
        <v>131</v>
      </c>
      <c r="D325" t="s">
        <v>42</v>
      </c>
      <c r="E325" t="s">
        <v>332</v>
      </c>
      <c r="F325">
        <v>80</v>
      </c>
      <c r="G325">
        <v>77</v>
      </c>
      <c r="H325" t="s">
        <v>801</v>
      </c>
    </row>
    <row r="326" spans="1:8">
      <c r="A326">
        <v>324</v>
      </c>
      <c r="B326" t="s">
        <v>1157</v>
      </c>
      <c r="C326" t="s">
        <v>677</v>
      </c>
      <c r="D326" t="s">
        <v>42</v>
      </c>
      <c r="E326" t="s">
        <v>678</v>
      </c>
      <c r="F326">
        <v>85</v>
      </c>
      <c r="G326">
        <v>0</v>
      </c>
      <c r="H326" t="s">
        <v>801</v>
      </c>
    </row>
    <row r="327" spans="1:8">
      <c r="A327">
        <v>325</v>
      </c>
      <c r="B327" t="s">
        <v>1158</v>
      </c>
      <c r="C327" t="s">
        <v>132</v>
      </c>
      <c r="D327" t="s">
        <v>42</v>
      </c>
      <c r="E327" t="s">
        <v>332</v>
      </c>
      <c r="F327">
        <v>80</v>
      </c>
      <c r="G327">
        <v>77</v>
      </c>
      <c r="H327" t="s">
        <v>801</v>
      </c>
    </row>
    <row r="328" spans="1:8">
      <c r="A328">
        <v>326</v>
      </c>
      <c r="B328" t="s">
        <v>1159</v>
      </c>
      <c r="C328" t="s">
        <v>129</v>
      </c>
      <c r="D328" t="s">
        <v>42</v>
      </c>
      <c r="E328" t="s">
        <v>332</v>
      </c>
      <c r="F328">
        <v>80</v>
      </c>
      <c r="G328">
        <v>77</v>
      </c>
      <c r="H328" t="s">
        <v>801</v>
      </c>
    </row>
    <row r="329" spans="1:8">
      <c r="A329">
        <v>327</v>
      </c>
      <c r="B329" t="s">
        <v>1160</v>
      </c>
      <c r="C329" t="s">
        <v>222</v>
      </c>
      <c r="D329" t="s">
        <v>46</v>
      </c>
      <c r="E329" t="s">
        <v>355</v>
      </c>
      <c r="F329">
        <v>120</v>
      </c>
      <c r="G329">
        <v>107.5</v>
      </c>
      <c r="H329" t="s">
        <v>801</v>
      </c>
    </row>
    <row r="330" spans="1:8">
      <c r="A330">
        <v>328</v>
      </c>
      <c r="B330" t="s">
        <v>1161</v>
      </c>
      <c r="C330" t="s">
        <v>679</v>
      </c>
      <c r="D330" t="s">
        <v>42</v>
      </c>
      <c r="E330" t="s">
        <v>587</v>
      </c>
      <c r="F330">
        <v>83</v>
      </c>
      <c r="G330">
        <v>0</v>
      </c>
      <c r="H330" t="s">
        <v>799</v>
      </c>
    </row>
    <row r="331" spans="1:8">
      <c r="A331">
        <v>329</v>
      </c>
      <c r="B331" t="s">
        <v>1162</v>
      </c>
      <c r="C331" t="s">
        <v>254</v>
      </c>
      <c r="D331" t="s">
        <v>46</v>
      </c>
      <c r="E331" t="s">
        <v>361</v>
      </c>
      <c r="F331">
        <v>87.5</v>
      </c>
      <c r="G331">
        <v>90.45</v>
      </c>
      <c r="H331" t="s">
        <v>801</v>
      </c>
    </row>
    <row r="332" spans="1:8">
      <c r="A332">
        <v>330</v>
      </c>
      <c r="B332" t="s">
        <v>1163</v>
      </c>
      <c r="C332" t="s">
        <v>261</v>
      </c>
      <c r="D332" t="s">
        <v>321</v>
      </c>
      <c r="E332" t="s">
        <v>364</v>
      </c>
      <c r="F332">
        <v>110</v>
      </c>
      <c r="G332">
        <v>82.5</v>
      </c>
      <c r="H332" t="s">
        <v>801</v>
      </c>
    </row>
    <row r="333" spans="1:8">
      <c r="A333">
        <v>331</v>
      </c>
      <c r="B333" t="s">
        <v>1164</v>
      </c>
      <c r="C333" t="s">
        <v>680</v>
      </c>
      <c r="D333" t="s">
        <v>307</v>
      </c>
      <c r="E333" t="s">
        <v>681</v>
      </c>
      <c r="F333">
        <v>85</v>
      </c>
      <c r="G333">
        <v>0</v>
      </c>
      <c r="H333" t="s">
        <v>801</v>
      </c>
    </row>
    <row r="334" spans="1:8">
      <c r="A334">
        <v>332</v>
      </c>
      <c r="B334" t="s">
        <v>1165</v>
      </c>
      <c r="C334" t="s">
        <v>224</v>
      </c>
      <c r="D334" t="s">
        <v>46</v>
      </c>
      <c r="E334" t="s">
        <v>355</v>
      </c>
      <c r="F334">
        <v>115</v>
      </c>
      <c r="G334">
        <v>105</v>
      </c>
      <c r="H334" t="s">
        <v>801</v>
      </c>
    </row>
    <row r="335" spans="1:8">
      <c r="A335">
        <v>333</v>
      </c>
      <c r="B335" t="s">
        <v>1166</v>
      </c>
      <c r="C335" t="s">
        <v>682</v>
      </c>
      <c r="D335" t="s">
        <v>42</v>
      </c>
      <c r="E335" t="s">
        <v>587</v>
      </c>
      <c r="F335">
        <v>79</v>
      </c>
      <c r="G335">
        <v>0</v>
      </c>
      <c r="H335" t="s">
        <v>799</v>
      </c>
    </row>
    <row r="336" spans="1:8">
      <c r="A336">
        <v>334</v>
      </c>
      <c r="B336" t="s">
        <v>1167</v>
      </c>
      <c r="C336" t="s">
        <v>220</v>
      </c>
      <c r="D336" t="s">
        <v>46</v>
      </c>
      <c r="E336" t="s">
        <v>355</v>
      </c>
      <c r="F336">
        <v>115</v>
      </c>
      <c r="G336">
        <v>105</v>
      </c>
      <c r="H336" t="s">
        <v>801</v>
      </c>
    </row>
    <row r="337" spans="1:8">
      <c r="A337">
        <v>335</v>
      </c>
      <c r="B337" t="s">
        <v>1168</v>
      </c>
      <c r="C337" t="s">
        <v>48</v>
      </c>
      <c r="D337" t="s">
        <v>43</v>
      </c>
      <c r="E337" t="s">
        <v>341</v>
      </c>
      <c r="F337">
        <v>92.5</v>
      </c>
      <c r="G337">
        <v>105</v>
      </c>
      <c r="H337" t="s">
        <v>799</v>
      </c>
    </row>
    <row r="338" spans="1:8">
      <c r="A338">
        <v>336</v>
      </c>
      <c r="B338" t="s">
        <v>1169</v>
      </c>
      <c r="C338" t="s">
        <v>223</v>
      </c>
      <c r="D338" t="s">
        <v>46</v>
      </c>
      <c r="E338" t="s">
        <v>355</v>
      </c>
      <c r="F338">
        <v>110</v>
      </c>
      <c r="G338">
        <v>101</v>
      </c>
      <c r="H338" t="s">
        <v>801</v>
      </c>
    </row>
    <row r="339" spans="1:8">
      <c r="A339">
        <v>337</v>
      </c>
      <c r="B339" t="s">
        <v>1170</v>
      </c>
      <c r="C339" t="s">
        <v>243</v>
      </c>
      <c r="D339" t="s">
        <v>43</v>
      </c>
      <c r="E339" t="s">
        <v>361</v>
      </c>
      <c r="F339">
        <v>0</v>
      </c>
      <c r="G339">
        <v>113.95</v>
      </c>
      <c r="H339" t="s">
        <v>801</v>
      </c>
    </row>
    <row r="340" spans="1:8">
      <c r="A340">
        <v>338</v>
      </c>
      <c r="B340" t="s">
        <v>1171</v>
      </c>
      <c r="C340" t="s">
        <v>683</v>
      </c>
      <c r="D340" t="s">
        <v>49</v>
      </c>
      <c r="E340" t="s">
        <v>589</v>
      </c>
      <c r="F340">
        <v>97.5</v>
      </c>
      <c r="G340">
        <v>0</v>
      </c>
      <c r="H340" t="s">
        <v>799</v>
      </c>
    </row>
    <row r="341" spans="1:8">
      <c r="A341">
        <v>339</v>
      </c>
      <c r="B341" t="s">
        <v>1172</v>
      </c>
      <c r="C341" t="s">
        <v>684</v>
      </c>
      <c r="D341" t="s">
        <v>49</v>
      </c>
      <c r="E341" t="s">
        <v>496</v>
      </c>
      <c r="F341">
        <v>94</v>
      </c>
      <c r="G341">
        <v>0</v>
      </c>
      <c r="H341" t="s">
        <v>799</v>
      </c>
    </row>
    <row r="342" spans="1:8">
      <c r="A342">
        <v>340</v>
      </c>
      <c r="B342" t="s">
        <v>1173</v>
      </c>
      <c r="C342" t="s">
        <v>685</v>
      </c>
      <c r="D342" t="s">
        <v>49</v>
      </c>
      <c r="E342" t="s">
        <v>686</v>
      </c>
      <c r="F342">
        <v>99</v>
      </c>
      <c r="G342">
        <v>0</v>
      </c>
      <c r="H342" t="s">
        <v>799</v>
      </c>
    </row>
    <row r="343" spans="1:8">
      <c r="A343">
        <v>341</v>
      </c>
      <c r="B343" t="s">
        <v>1174</v>
      </c>
      <c r="C343" t="s">
        <v>687</v>
      </c>
      <c r="D343" t="s">
        <v>49</v>
      </c>
      <c r="E343" t="s">
        <v>496</v>
      </c>
      <c r="F343">
        <v>100</v>
      </c>
      <c r="G343">
        <v>0</v>
      </c>
      <c r="H343" t="s">
        <v>799</v>
      </c>
    </row>
    <row r="344" spans="1:8">
      <c r="A344">
        <v>342</v>
      </c>
      <c r="B344" t="s">
        <v>1175</v>
      </c>
      <c r="C344" t="s">
        <v>688</v>
      </c>
      <c r="D344" t="s">
        <v>49</v>
      </c>
      <c r="E344" t="s">
        <v>689</v>
      </c>
      <c r="F344">
        <v>95</v>
      </c>
      <c r="G344">
        <v>0</v>
      </c>
      <c r="H344" t="s">
        <v>801</v>
      </c>
    </row>
    <row r="345" spans="1:8">
      <c r="A345">
        <v>343</v>
      </c>
      <c r="B345" t="s">
        <v>1176</v>
      </c>
      <c r="C345" t="s">
        <v>690</v>
      </c>
      <c r="D345" t="s">
        <v>49</v>
      </c>
      <c r="E345" t="s">
        <v>496</v>
      </c>
      <c r="F345">
        <v>100</v>
      </c>
      <c r="G345">
        <v>0</v>
      </c>
      <c r="H345" t="s">
        <v>799</v>
      </c>
    </row>
    <row r="346" spans="1:8">
      <c r="A346">
        <v>344</v>
      </c>
      <c r="B346" t="s">
        <v>1177</v>
      </c>
      <c r="C346" t="s">
        <v>253</v>
      </c>
      <c r="D346" t="s">
        <v>40</v>
      </c>
      <c r="E346" t="s">
        <v>361</v>
      </c>
      <c r="F346">
        <v>0</v>
      </c>
      <c r="G346">
        <v>81.45</v>
      </c>
      <c r="H346" t="s">
        <v>801</v>
      </c>
    </row>
    <row r="347" spans="1:8">
      <c r="A347">
        <v>345</v>
      </c>
      <c r="B347" t="s">
        <v>1178</v>
      </c>
      <c r="C347" t="s">
        <v>278</v>
      </c>
      <c r="D347" t="s">
        <v>49</v>
      </c>
      <c r="E347" t="s">
        <v>368</v>
      </c>
      <c r="F347">
        <v>90</v>
      </c>
      <c r="G347">
        <v>94.15</v>
      </c>
      <c r="H347" t="s">
        <v>801</v>
      </c>
    </row>
    <row r="348" spans="1:8">
      <c r="A348">
        <v>346</v>
      </c>
      <c r="B348" t="s">
        <v>1179</v>
      </c>
      <c r="C348" t="s">
        <v>473</v>
      </c>
      <c r="D348" t="s">
        <v>49</v>
      </c>
      <c r="E348" t="s">
        <v>332</v>
      </c>
      <c r="F348">
        <v>110</v>
      </c>
      <c r="G348">
        <v>0</v>
      </c>
      <c r="H348" t="s">
        <v>801</v>
      </c>
    </row>
    <row r="349" spans="1:8">
      <c r="A349">
        <v>347</v>
      </c>
      <c r="B349" t="s">
        <v>1180</v>
      </c>
      <c r="C349" t="s">
        <v>169</v>
      </c>
      <c r="D349" t="s">
        <v>312</v>
      </c>
      <c r="E349" t="s">
        <v>341</v>
      </c>
      <c r="F349">
        <v>101</v>
      </c>
      <c r="G349">
        <v>97.5</v>
      </c>
      <c r="H349" t="s">
        <v>801</v>
      </c>
    </row>
    <row r="350" spans="1:8">
      <c r="A350">
        <v>348</v>
      </c>
      <c r="B350" t="s">
        <v>1181</v>
      </c>
      <c r="C350" t="s">
        <v>275</v>
      </c>
      <c r="D350" t="s">
        <v>312</v>
      </c>
      <c r="E350" t="s">
        <v>367</v>
      </c>
      <c r="F350">
        <v>120</v>
      </c>
      <c r="G350">
        <v>116.75</v>
      </c>
      <c r="H350" t="s">
        <v>801</v>
      </c>
    </row>
    <row r="351" spans="1:8">
      <c r="A351">
        <v>349</v>
      </c>
      <c r="B351" t="s">
        <v>1182</v>
      </c>
      <c r="C351" t="s">
        <v>93</v>
      </c>
      <c r="D351" t="s">
        <v>312</v>
      </c>
      <c r="E351" t="s">
        <v>367</v>
      </c>
      <c r="F351">
        <v>94.25</v>
      </c>
      <c r="G351">
        <v>96.75</v>
      </c>
      <c r="H351" t="s">
        <v>799</v>
      </c>
    </row>
    <row r="352" spans="1:8">
      <c r="A352">
        <v>350</v>
      </c>
      <c r="B352" t="s">
        <v>1183</v>
      </c>
      <c r="C352" t="s">
        <v>691</v>
      </c>
      <c r="D352" t="s">
        <v>300</v>
      </c>
      <c r="E352" t="s">
        <v>496</v>
      </c>
      <c r="F352">
        <v>0</v>
      </c>
      <c r="G352">
        <v>0</v>
      </c>
      <c r="H352" t="s">
        <v>799</v>
      </c>
    </row>
    <row r="353" spans="1:8">
      <c r="A353">
        <v>351</v>
      </c>
      <c r="B353" t="s">
        <v>1184</v>
      </c>
      <c r="C353" t="s">
        <v>262</v>
      </c>
      <c r="D353" t="s">
        <v>46</v>
      </c>
      <c r="E353" t="s">
        <v>364</v>
      </c>
      <c r="F353">
        <v>155</v>
      </c>
      <c r="G353">
        <v>125</v>
      </c>
      <c r="H353" t="s">
        <v>801</v>
      </c>
    </row>
    <row r="354" spans="1:8">
      <c r="A354">
        <v>352</v>
      </c>
      <c r="B354" t="s">
        <v>1185</v>
      </c>
      <c r="C354" t="s">
        <v>50</v>
      </c>
      <c r="D354" t="s">
        <v>312</v>
      </c>
      <c r="E354" t="s">
        <v>367</v>
      </c>
      <c r="F354">
        <v>0</v>
      </c>
      <c r="G354">
        <v>0</v>
      </c>
      <c r="H354" t="s">
        <v>799</v>
      </c>
    </row>
    <row r="355" spans="1:8">
      <c r="A355">
        <v>353</v>
      </c>
      <c r="B355" t="s">
        <v>1186</v>
      </c>
      <c r="C355" t="s">
        <v>692</v>
      </c>
      <c r="D355" t="s">
        <v>46</v>
      </c>
      <c r="E355" t="s">
        <v>693</v>
      </c>
      <c r="F355">
        <v>110</v>
      </c>
      <c r="G355">
        <v>0</v>
      </c>
      <c r="H355" t="s">
        <v>801</v>
      </c>
    </row>
    <row r="356" spans="1:8">
      <c r="A356">
        <v>354</v>
      </c>
      <c r="B356" t="s">
        <v>1187</v>
      </c>
      <c r="C356" t="s">
        <v>694</v>
      </c>
      <c r="D356" t="s">
        <v>43</v>
      </c>
      <c r="E356" t="s">
        <v>695</v>
      </c>
      <c r="F356">
        <v>0</v>
      </c>
      <c r="G356">
        <v>0</v>
      </c>
      <c r="H356" t="s">
        <v>799</v>
      </c>
    </row>
    <row r="357" spans="1:8">
      <c r="A357">
        <v>355</v>
      </c>
      <c r="B357" t="s">
        <v>1188</v>
      </c>
      <c r="C357" t="s">
        <v>94</v>
      </c>
      <c r="D357" t="s">
        <v>321</v>
      </c>
      <c r="E357" t="s">
        <v>355</v>
      </c>
      <c r="F357">
        <v>125.25</v>
      </c>
      <c r="G357">
        <v>126.75</v>
      </c>
      <c r="H357" t="s">
        <v>799</v>
      </c>
    </row>
    <row r="358" spans="1:8">
      <c r="A358">
        <v>356</v>
      </c>
      <c r="B358" t="s">
        <v>1189</v>
      </c>
      <c r="C358" t="s">
        <v>696</v>
      </c>
      <c r="D358" t="s">
        <v>697</v>
      </c>
      <c r="E358" t="s">
        <v>698</v>
      </c>
      <c r="F358">
        <v>0</v>
      </c>
      <c r="G358">
        <v>0</v>
      </c>
      <c r="H358" t="s">
        <v>799</v>
      </c>
    </row>
    <row r="359" spans="1:8">
      <c r="A359">
        <v>357</v>
      </c>
      <c r="B359" t="s">
        <v>1190</v>
      </c>
      <c r="C359" t="s">
        <v>699</v>
      </c>
      <c r="D359" t="s">
        <v>697</v>
      </c>
      <c r="E359" t="s">
        <v>698</v>
      </c>
      <c r="F359">
        <v>0</v>
      </c>
      <c r="G359">
        <v>0</v>
      </c>
      <c r="H359" t="s">
        <v>799</v>
      </c>
    </row>
    <row r="360" spans="1:8">
      <c r="A360">
        <v>358</v>
      </c>
      <c r="B360" t="s">
        <v>1191</v>
      </c>
      <c r="C360" t="s">
        <v>700</v>
      </c>
      <c r="D360" t="s">
        <v>697</v>
      </c>
      <c r="E360" t="s">
        <v>698</v>
      </c>
      <c r="F360">
        <v>34.950000000000003</v>
      </c>
      <c r="G360">
        <v>0</v>
      </c>
      <c r="H360" t="s">
        <v>799</v>
      </c>
    </row>
    <row r="361" spans="1:8">
      <c r="A361">
        <v>359</v>
      </c>
      <c r="B361" t="s">
        <v>1192</v>
      </c>
      <c r="C361" t="s">
        <v>701</v>
      </c>
      <c r="D361" t="s">
        <v>702</v>
      </c>
      <c r="E361" t="s">
        <v>698</v>
      </c>
      <c r="F361">
        <v>76</v>
      </c>
      <c r="G361">
        <v>0</v>
      </c>
      <c r="H361" t="s">
        <v>801</v>
      </c>
    </row>
    <row r="362" spans="1:8">
      <c r="A362">
        <v>360</v>
      </c>
      <c r="B362" t="s">
        <v>1193</v>
      </c>
      <c r="C362" t="s">
        <v>704</v>
      </c>
      <c r="D362" t="s">
        <v>702</v>
      </c>
      <c r="E362" t="s">
        <v>698</v>
      </c>
      <c r="F362">
        <v>39</v>
      </c>
      <c r="G362">
        <v>0</v>
      </c>
      <c r="H362" t="s">
        <v>801</v>
      </c>
    </row>
    <row r="363" spans="1:8">
      <c r="A363">
        <v>361</v>
      </c>
      <c r="B363" t="s">
        <v>1194</v>
      </c>
      <c r="C363" t="s">
        <v>703</v>
      </c>
      <c r="D363" t="s">
        <v>702</v>
      </c>
      <c r="E363" t="s">
        <v>698</v>
      </c>
      <c r="F363">
        <v>38.549999999999997</v>
      </c>
      <c r="G363">
        <v>0</v>
      </c>
      <c r="H363" t="s">
        <v>799</v>
      </c>
    </row>
    <row r="364" spans="1:8">
      <c r="A364">
        <v>362</v>
      </c>
      <c r="B364" t="s">
        <v>1195</v>
      </c>
      <c r="C364" t="s">
        <v>705</v>
      </c>
      <c r="D364" t="s">
        <v>317</v>
      </c>
      <c r="E364" t="s">
        <v>706</v>
      </c>
      <c r="F364">
        <v>0</v>
      </c>
      <c r="G364">
        <v>0</v>
      </c>
      <c r="H364" t="s">
        <v>801</v>
      </c>
    </row>
    <row r="365" spans="1:8">
      <c r="A365">
        <v>363</v>
      </c>
      <c r="B365" t="s">
        <v>1196</v>
      </c>
      <c r="C365" t="s">
        <v>710</v>
      </c>
      <c r="D365" t="s">
        <v>708</v>
      </c>
      <c r="E365" t="s">
        <v>711</v>
      </c>
      <c r="F365">
        <v>0</v>
      </c>
      <c r="G365">
        <v>0</v>
      </c>
      <c r="H365" t="s">
        <v>801</v>
      </c>
    </row>
    <row r="366" spans="1:8">
      <c r="A366">
        <v>364</v>
      </c>
      <c r="B366" t="s">
        <v>1197</v>
      </c>
      <c r="C366" t="s">
        <v>707</v>
      </c>
      <c r="D366" t="s">
        <v>708</v>
      </c>
      <c r="E366" t="s">
        <v>709</v>
      </c>
      <c r="F366">
        <v>80</v>
      </c>
      <c r="G366">
        <v>0</v>
      </c>
      <c r="H366" t="s">
        <v>801</v>
      </c>
    </row>
    <row r="367" spans="1:8">
      <c r="A367">
        <v>365</v>
      </c>
      <c r="B367" t="s">
        <v>1198</v>
      </c>
      <c r="C367" t="s">
        <v>95</v>
      </c>
      <c r="D367" t="s">
        <v>300</v>
      </c>
      <c r="E367" t="s">
        <v>368</v>
      </c>
      <c r="F367">
        <v>84.1</v>
      </c>
      <c r="G367">
        <v>86.55</v>
      </c>
      <c r="H367" t="s">
        <v>799</v>
      </c>
    </row>
    <row r="368" spans="1:8">
      <c r="A368">
        <v>366</v>
      </c>
      <c r="B368" t="s">
        <v>1199</v>
      </c>
      <c r="C368" t="s">
        <v>1200</v>
      </c>
      <c r="D368" t="s">
        <v>708</v>
      </c>
      <c r="E368" t="s">
        <v>706</v>
      </c>
      <c r="F368">
        <v>106.6</v>
      </c>
      <c r="G368">
        <v>0</v>
      </c>
      <c r="H368" t="s">
        <v>799</v>
      </c>
    </row>
    <row r="369" spans="1:8">
      <c r="A369">
        <v>367</v>
      </c>
      <c r="B369" t="s">
        <v>1201</v>
      </c>
      <c r="C369" t="s">
        <v>96</v>
      </c>
      <c r="D369" t="s">
        <v>300</v>
      </c>
      <c r="E369" t="s">
        <v>949</v>
      </c>
      <c r="F369">
        <v>91</v>
      </c>
      <c r="G369">
        <v>93</v>
      </c>
      <c r="H369" t="s">
        <v>799</v>
      </c>
    </row>
    <row r="370" spans="1:8">
      <c r="A370">
        <v>368</v>
      </c>
      <c r="B370" t="s">
        <v>1202</v>
      </c>
      <c r="C370" t="s">
        <v>1203</v>
      </c>
      <c r="D370" t="s">
        <v>708</v>
      </c>
      <c r="E370" t="s">
        <v>711</v>
      </c>
      <c r="F370">
        <v>0</v>
      </c>
      <c r="G370">
        <v>0</v>
      </c>
      <c r="H370" t="s">
        <v>801</v>
      </c>
    </row>
    <row r="371" spans="1:8">
      <c r="A371">
        <v>369</v>
      </c>
      <c r="B371" t="s">
        <v>1204</v>
      </c>
      <c r="C371" t="s">
        <v>122</v>
      </c>
      <c r="D371" t="s">
        <v>300</v>
      </c>
      <c r="E371" t="s">
        <v>949</v>
      </c>
      <c r="F371">
        <v>95</v>
      </c>
      <c r="G371">
        <v>93</v>
      </c>
      <c r="H371" t="s">
        <v>801</v>
      </c>
    </row>
    <row r="372" spans="1:8">
      <c r="A372">
        <v>370</v>
      </c>
      <c r="B372" t="s">
        <v>1205</v>
      </c>
      <c r="C372" t="s">
        <v>280</v>
      </c>
      <c r="D372" t="s">
        <v>300</v>
      </c>
      <c r="E372" t="s">
        <v>368</v>
      </c>
      <c r="F372">
        <v>80</v>
      </c>
      <c r="G372">
        <v>86.55</v>
      </c>
      <c r="H372" t="s">
        <v>801</v>
      </c>
    </row>
    <row r="373" spans="1:8">
      <c r="A373">
        <v>371</v>
      </c>
      <c r="B373" t="s">
        <v>1206</v>
      </c>
      <c r="C373" t="s">
        <v>197</v>
      </c>
      <c r="D373" t="s">
        <v>300</v>
      </c>
      <c r="E373" t="s">
        <v>349</v>
      </c>
      <c r="F373">
        <v>110</v>
      </c>
      <c r="G373">
        <v>100</v>
      </c>
      <c r="H373" t="s">
        <v>801</v>
      </c>
    </row>
    <row r="374" spans="1:8">
      <c r="A374">
        <v>372</v>
      </c>
      <c r="B374" t="s">
        <v>1207</v>
      </c>
      <c r="C374" t="s">
        <v>712</v>
      </c>
      <c r="D374" t="s">
        <v>300</v>
      </c>
      <c r="E374" t="s">
        <v>706</v>
      </c>
      <c r="F374">
        <v>89.6</v>
      </c>
      <c r="G374">
        <v>0</v>
      </c>
      <c r="H374" t="s">
        <v>799</v>
      </c>
    </row>
    <row r="375" spans="1:8">
      <c r="A375">
        <v>373</v>
      </c>
      <c r="B375" t="s">
        <v>1208</v>
      </c>
      <c r="C375" t="s">
        <v>123</v>
      </c>
      <c r="D375" t="s">
        <v>300</v>
      </c>
      <c r="E375" t="s">
        <v>949</v>
      </c>
      <c r="F375">
        <v>95</v>
      </c>
      <c r="G375">
        <v>93</v>
      </c>
      <c r="H375" t="s">
        <v>801</v>
      </c>
    </row>
    <row r="376" spans="1:8">
      <c r="A376">
        <v>374</v>
      </c>
      <c r="B376" t="s">
        <v>1209</v>
      </c>
      <c r="C376" t="s">
        <v>713</v>
      </c>
      <c r="D376" t="s">
        <v>325</v>
      </c>
      <c r="E376" t="s">
        <v>714</v>
      </c>
      <c r="F376">
        <v>85</v>
      </c>
      <c r="G376">
        <v>0</v>
      </c>
      <c r="H376" t="s">
        <v>801</v>
      </c>
    </row>
    <row r="377" spans="1:8">
      <c r="A377">
        <v>375</v>
      </c>
      <c r="B377" t="s">
        <v>1210</v>
      </c>
      <c r="C377" t="s">
        <v>715</v>
      </c>
      <c r="D377" t="s">
        <v>325</v>
      </c>
      <c r="E377" t="s">
        <v>714</v>
      </c>
      <c r="F377">
        <v>85.7</v>
      </c>
      <c r="G377">
        <v>0</v>
      </c>
      <c r="H377" t="s">
        <v>799</v>
      </c>
    </row>
    <row r="378" spans="1:8">
      <c r="A378">
        <v>376</v>
      </c>
      <c r="B378" t="s">
        <v>1211</v>
      </c>
      <c r="C378" t="s">
        <v>716</v>
      </c>
      <c r="D378" t="s">
        <v>325</v>
      </c>
      <c r="E378" t="s">
        <v>714</v>
      </c>
      <c r="F378">
        <v>85</v>
      </c>
      <c r="G378">
        <v>0</v>
      </c>
      <c r="H378" t="s">
        <v>801</v>
      </c>
    </row>
    <row r="379" spans="1:8">
      <c r="A379">
        <v>377</v>
      </c>
      <c r="B379" t="s">
        <v>1212</v>
      </c>
      <c r="C379" t="s">
        <v>717</v>
      </c>
      <c r="D379" t="s">
        <v>325</v>
      </c>
      <c r="E379" t="s">
        <v>718</v>
      </c>
      <c r="F379">
        <v>77.849999999999994</v>
      </c>
      <c r="G379">
        <v>0</v>
      </c>
      <c r="H379" t="s">
        <v>799</v>
      </c>
    </row>
    <row r="380" spans="1:8">
      <c r="A380">
        <v>378</v>
      </c>
      <c r="B380" t="s">
        <v>1213</v>
      </c>
      <c r="C380" t="s">
        <v>288</v>
      </c>
      <c r="D380" t="s">
        <v>325</v>
      </c>
      <c r="E380" t="s">
        <v>371</v>
      </c>
      <c r="F380">
        <v>110</v>
      </c>
      <c r="G380">
        <v>83.1</v>
      </c>
      <c r="H380" t="s">
        <v>801</v>
      </c>
    </row>
    <row r="381" spans="1:8">
      <c r="A381">
        <v>379</v>
      </c>
      <c r="B381" t="s">
        <v>1214</v>
      </c>
      <c r="C381" t="s">
        <v>719</v>
      </c>
      <c r="D381" t="s">
        <v>325</v>
      </c>
      <c r="E381" t="s">
        <v>720</v>
      </c>
      <c r="F381">
        <v>75</v>
      </c>
      <c r="G381">
        <v>0</v>
      </c>
      <c r="H381" t="s">
        <v>801</v>
      </c>
    </row>
    <row r="382" spans="1:8">
      <c r="A382">
        <v>380</v>
      </c>
      <c r="B382" t="s">
        <v>1215</v>
      </c>
      <c r="C382" t="s">
        <v>287</v>
      </c>
      <c r="D382" t="s">
        <v>325</v>
      </c>
      <c r="E382" t="s">
        <v>371</v>
      </c>
      <c r="F382">
        <v>120</v>
      </c>
      <c r="G382">
        <v>83.1</v>
      </c>
      <c r="H382" t="s">
        <v>801</v>
      </c>
    </row>
    <row r="383" spans="1:8">
      <c r="A383">
        <v>381</v>
      </c>
      <c r="B383" t="s">
        <v>1216</v>
      </c>
      <c r="C383" t="s">
        <v>291</v>
      </c>
      <c r="D383" t="s">
        <v>325</v>
      </c>
      <c r="E383" t="s">
        <v>371</v>
      </c>
      <c r="F383">
        <v>120</v>
      </c>
      <c r="G383">
        <v>83.1</v>
      </c>
      <c r="H383" t="s">
        <v>801</v>
      </c>
    </row>
    <row r="384" spans="1:8">
      <c r="A384">
        <v>382</v>
      </c>
      <c r="B384" t="s">
        <v>1217</v>
      </c>
      <c r="C384" t="s">
        <v>286</v>
      </c>
      <c r="D384" t="s">
        <v>325</v>
      </c>
      <c r="E384" t="s">
        <v>371</v>
      </c>
      <c r="F384">
        <v>120</v>
      </c>
      <c r="G384">
        <v>83.1</v>
      </c>
      <c r="H384" t="s">
        <v>801</v>
      </c>
    </row>
    <row r="385" spans="1:8">
      <c r="A385">
        <v>383</v>
      </c>
      <c r="B385" t="s">
        <v>1218</v>
      </c>
      <c r="C385" t="s">
        <v>721</v>
      </c>
      <c r="D385" t="s">
        <v>325</v>
      </c>
      <c r="E385" t="s">
        <v>718</v>
      </c>
      <c r="F385">
        <v>65.5</v>
      </c>
      <c r="G385">
        <v>0</v>
      </c>
      <c r="H385" t="s">
        <v>801</v>
      </c>
    </row>
    <row r="386" spans="1:8">
      <c r="A386">
        <v>384</v>
      </c>
      <c r="B386" t="s">
        <v>1219</v>
      </c>
      <c r="C386" t="s">
        <v>293</v>
      </c>
      <c r="D386" t="s">
        <v>325</v>
      </c>
      <c r="E386" t="s">
        <v>371</v>
      </c>
      <c r="F386">
        <v>100</v>
      </c>
      <c r="G386">
        <v>73.099999999999994</v>
      </c>
      <c r="H386" t="s">
        <v>801</v>
      </c>
    </row>
    <row r="387" spans="1:8">
      <c r="A387">
        <v>385</v>
      </c>
      <c r="B387" t="s">
        <v>1220</v>
      </c>
      <c r="C387" t="s">
        <v>722</v>
      </c>
      <c r="D387" t="s">
        <v>325</v>
      </c>
      <c r="E387" t="s">
        <v>718</v>
      </c>
      <c r="F387">
        <v>0</v>
      </c>
      <c r="G387">
        <v>0</v>
      </c>
      <c r="H387" t="s">
        <v>799</v>
      </c>
    </row>
    <row r="388" spans="1:8">
      <c r="A388">
        <v>386</v>
      </c>
      <c r="B388" t="s">
        <v>1221</v>
      </c>
      <c r="C388" t="s">
        <v>723</v>
      </c>
      <c r="D388" t="s">
        <v>325</v>
      </c>
      <c r="E388" t="s">
        <v>718</v>
      </c>
      <c r="F388">
        <v>0</v>
      </c>
      <c r="G388">
        <v>0</v>
      </c>
      <c r="H388" t="s">
        <v>801</v>
      </c>
    </row>
    <row r="389" spans="1:8">
      <c r="A389">
        <v>387</v>
      </c>
      <c r="B389" t="s">
        <v>1222</v>
      </c>
      <c r="C389" t="s">
        <v>290</v>
      </c>
      <c r="D389" t="s">
        <v>325</v>
      </c>
      <c r="E389" t="s">
        <v>371</v>
      </c>
      <c r="F389">
        <v>100</v>
      </c>
      <c r="G389">
        <v>77.099999999999994</v>
      </c>
      <c r="H389" t="s">
        <v>801</v>
      </c>
    </row>
    <row r="390" spans="1:8">
      <c r="A390">
        <v>388</v>
      </c>
      <c r="B390" t="s">
        <v>1223</v>
      </c>
      <c r="C390" t="s">
        <v>724</v>
      </c>
      <c r="D390" t="s">
        <v>325</v>
      </c>
      <c r="E390" t="s">
        <v>718</v>
      </c>
      <c r="F390">
        <v>0</v>
      </c>
      <c r="G390">
        <v>0</v>
      </c>
      <c r="H390" t="s">
        <v>801</v>
      </c>
    </row>
    <row r="391" spans="1:8">
      <c r="A391">
        <v>389</v>
      </c>
      <c r="B391" t="s">
        <v>1224</v>
      </c>
      <c r="C391" t="s">
        <v>725</v>
      </c>
      <c r="D391" t="s">
        <v>325</v>
      </c>
      <c r="E391" t="s">
        <v>718</v>
      </c>
      <c r="F391">
        <v>63.6</v>
      </c>
      <c r="G391">
        <v>0</v>
      </c>
      <c r="H391" t="s">
        <v>799</v>
      </c>
    </row>
    <row r="392" spans="1:8">
      <c r="A392">
        <v>390</v>
      </c>
      <c r="B392" t="s">
        <v>1225</v>
      </c>
      <c r="C392" t="s">
        <v>726</v>
      </c>
      <c r="D392" t="s">
        <v>325</v>
      </c>
      <c r="E392" t="s">
        <v>718</v>
      </c>
      <c r="F392">
        <v>65.400000000000006</v>
      </c>
      <c r="G392">
        <v>0</v>
      </c>
      <c r="H392" t="s">
        <v>799</v>
      </c>
    </row>
    <row r="393" spans="1:8">
      <c r="A393">
        <v>391</v>
      </c>
      <c r="B393" t="s">
        <v>1226</v>
      </c>
      <c r="C393" t="s">
        <v>727</v>
      </c>
      <c r="D393" t="s">
        <v>325</v>
      </c>
      <c r="E393" t="s">
        <v>718</v>
      </c>
      <c r="F393">
        <v>59.5</v>
      </c>
      <c r="G393">
        <v>0</v>
      </c>
      <c r="H393" t="s">
        <v>801</v>
      </c>
    </row>
    <row r="394" spans="1:8">
      <c r="A394">
        <v>392</v>
      </c>
      <c r="B394" t="s">
        <v>1227</v>
      </c>
      <c r="C394" t="s">
        <v>728</v>
      </c>
      <c r="D394" t="s">
        <v>325</v>
      </c>
      <c r="E394" t="s">
        <v>718</v>
      </c>
      <c r="F394">
        <v>65.400000000000006</v>
      </c>
      <c r="G394">
        <v>0</v>
      </c>
      <c r="H394" t="s">
        <v>799</v>
      </c>
    </row>
    <row r="395" spans="1:8">
      <c r="A395">
        <v>393</v>
      </c>
      <c r="B395" t="s">
        <v>1228</v>
      </c>
      <c r="C395" t="s">
        <v>729</v>
      </c>
      <c r="D395" t="s">
        <v>325</v>
      </c>
      <c r="E395" t="s">
        <v>718</v>
      </c>
      <c r="F395">
        <v>73.5</v>
      </c>
      <c r="G395">
        <v>0</v>
      </c>
      <c r="H395" t="s">
        <v>799</v>
      </c>
    </row>
    <row r="396" spans="1:8">
      <c r="A396">
        <v>394</v>
      </c>
      <c r="B396" t="s">
        <v>1229</v>
      </c>
      <c r="C396" t="s">
        <v>730</v>
      </c>
      <c r="D396" t="s">
        <v>325</v>
      </c>
      <c r="E396" t="s">
        <v>718</v>
      </c>
      <c r="F396">
        <v>63</v>
      </c>
      <c r="G396">
        <v>0</v>
      </c>
      <c r="H396" t="s">
        <v>801</v>
      </c>
    </row>
    <row r="397" spans="1:8">
      <c r="A397">
        <v>395</v>
      </c>
      <c r="B397" t="s">
        <v>1230</v>
      </c>
      <c r="C397" t="s">
        <v>731</v>
      </c>
      <c r="D397" t="s">
        <v>325</v>
      </c>
      <c r="E397" t="s">
        <v>732</v>
      </c>
      <c r="F397">
        <v>64.2</v>
      </c>
      <c r="G397">
        <v>0</v>
      </c>
      <c r="H397" t="s">
        <v>799</v>
      </c>
    </row>
    <row r="398" spans="1:8">
      <c r="A398">
        <v>396</v>
      </c>
      <c r="B398" t="s">
        <v>1231</v>
      </c>
      <c r="C398" t="s">
        <v>733</v>
      </c>
      <c r="D398" t="s">
        <v>309</v>
      </c>
      <c r="E398" t="s">
        <v>718</v>
      </c>
      <c r="F398">
        <v>66.599999999999994</v>
      </c>
      <c r="G398">
        <v>0</v>
      </c>
      <c r="H398" t="s">
        <v>799</v>
      </c>
    </row>
    <row r="399" spans="1:8">
      <c r="A399">
        <v>397</v>
      </c>
      <c r="B399" t="s">
        <v>1232</v>
      </c>
      <c r="C399" t="s">
        <v>289</v>
      </c>
      <c r="D399" t="s">
        <v>325</v>
      </c>
      <c r="E399" t="s">
        <v>371</v>
      </c>
      <c r="F399">
        <v>110</v>
      </c>
      <c r="G399">
        <v>83.1</v>
      </c>
      <c r="H399" t="s">
        <v>801</v>
      </c>
    </row>
    <row r="400" spans="1:8">
      <c r="A400">
        <v>398</v>
      </c>
      <c r="B400" t="s">
        <v>1233</v>
      </c>
      <c r="C400" t="s">
        <v>734</v>
      </c>
      <c r="D400" t="s">
        <v>325</v>
      </c>
      <c r="E400" t="s">
        <v>718</v>
      </c>
      <c r="F400">
        <v>74.5</v>
      </c>
      <c r="G400">
        <v>0</v>
      </c>
      <c r="H400" t="s">
        <v>801</v>
      </c>
    </row>
    <row r="401" spans="1:8">
      <c r="A401">
        <v>399</v>
      </c>
      <c r="B401" t="s">
        <v>1234</v>
      </c>
      <c r="C401" t="s">
        <v>735</v>
      </c>
      <c r="D401" t="s">
        <v>325</v>
      </c>
      <c r="E401" t="s">
        <v>718</v>
      </c>
      <c r="F401">
        <v>64</v>
      </c>
      <c r="G401">
        <v>0</v>
      </c>
      <c r="H401" t="s">
        <v>801</v>
      </c>
    </row>
    <row r="402" spans="1:8">
      <c r="A402">
        <v>400</v>
      </c>
      <c r="B402" t="s">
        <v>1235</v>
      </c>
      <c r="C402" t="s">
        <v>736</v>
      </c>
      <c r="D402" t="s">
        <v>325</v>
      </c>
      <c r="E402" t="s">
        <v>718</v>
      </c>
      <c r="F402">
        <v>72.2</v>
      </c>
      <c r="G402">
        <v>0</v>
      </c>
      <c r="H402" t="s">
        <v>799</v>
      </c>
    </row>
    <row r="403" spans="1:8">
      <c r="A403">
        <v>401</v>
      </c>
      <c r="B403" t="s">
        <v>1236</v>
      </c>
      <c r="C403" t="s">
        <v>737</v>
      </c>
      <c r="D403" t="s">
        <v>325</v>
      </c>
      <c r="E403" t="s">
        <v>718</v>
      </c>
      <c r="F403">
        <v>72.900000000000006</v>
      </c>
      <c r="G403">
        <v>0</v>
      </c>
      <c r="H403" t="s">
        <v>799</v>
      </c>
    </row>
    <row r="404" spans="1:8">
      <c r="A404">
        <v>402</v>
      </c>
      <c r="B404" t="s">
        <v>1237</v>
      </c>
      <c r="C404" t="s">
        <v>738</v>
      </c>
      <c r="D404" t="s">
        <v>325</v>
      </c>
      <c r="E404" t="s">
        <v>614</v>
      </c>
      <c r="F404">
        <v>72.099999999999994</v>
      </c>
      <c r="G404">
        <v>0</v>
      </c>
      <c r="H404" t="s">
        <v>799</v>
      </c>
    </row>
    <row r="405" spans="1:8">
      <c r="A405">
        <v>403</v>
      </c>
      <c r="B405" t="s">
        <v>1238</v>
      </c>
      <c r="C405" t="s">
        <v>281</v>
      </c>
      <c r="D405" t="s">
        <v>325</v>
      </c>
      <c r="E405" t="s">
        <v>369</v>
      </c>
      <c r="F405">
        <v>87.5</v>
      </c>
      <c r="G405">
        <v>78.099999999999994</v>
      </c>
      <c r="H405" t="s">
        <v>801</v>
      </c>
    </row>
    <row r="406" spans="1:8">
      <c r="A406">
        <v>404</v>
      </c>
      <c r="B406" t="s">
        <v>1239</v>
      </c>
      <c r="C406" t="s">
        <v>739</v>
      </c>
      <c r="D406" t="s">
        <v>325</v>
      </c>
      <c r="E406" t="s">
        <v>718</v>
      </c>
      <c r="F406">
        <v>66.400000000000006</v>
      </c>
      <c r="G406">
        <v>0</v>
      </c>
      <c r="H406" t="s">
        <v>799</v>
      </c>
    </row>
    <row r="407" spans="1:8">
      <c r="A407">
        <v>405</v>
      </c>
      <c r="B407" t="s">
        <v>1240</v>
      </c>
      <c r="C407" t="s">
        <v>282</v>
      </c>
      <c r="D407" t="s">
        <v>325</v>
      </c>
      <c r="E407" t="s">
        <v>369</v>
      </c>
      <c r="F407">
        <v>85.5</v>
      </c>
      <c r="G407">
        <v>75.599999999999994</v>
      </c>
      <c r="H407" t="s">
        <v>801</v>
      </c>
    </row>
    <row r="408" spans="1:8">
      <c r="A408">
        <v>406</v>
      </c>
      <c r="B408" t="s">
        <v>1241</v>
      </c>
      <c r="C408" t="s">
        <v>740</v>
      </c>
      <c r="D408" t="s">
        <v>325</v>
      </c>
      <c r="E408" t="s">
        <v>732</v>
      </c>
      <c r="F408">
        <v>65.900000000000006</v>
      </c>
      <c r="G408">
        <v>0</v>
      </c>
      <c r="H408" t="s">
        <v>799</v>
      </c>
    </row>
    <row r="409" spans="1:8">
      <c r="A409">
        <v>407</v>
      </c>
      <c r="B409" t="s">
        <v>1242</v>
      </c>
      <c r="C409" t="s">
        <v>741</v>
      </c>
      <c r="D409" t="s">
        <v>325</v>
      </c>
      <c r="E409" t="s">
        <v>742</v>
      </c>
      <c r="F409">
        <v>81.400000000000006</v>
      </c>
      <c r="G409">
        <v>0</v>
      </c>
      <c r="H409" t="s">
        <v>799</v>
      </c>
    </row>
    <row r="410" spans="1:8">
      <c r="A410">
        <v>408</v>
      </c>
      <c r="B410" t="s">
        <v>1243</v>
      </c>
      <c r="C410" t="s">
        <v>743</v>
      </c>
      <c r="D410" t="s">
        <v>325</v>
      </c>
      <c r="E410" t="s">
        <v>718</v>
      </c>
      <c r="F410">
        <v>80.7</v>
      </c>
      <c r="G410">
        <v>0</v>
      </c>
      <c r="H410" t="s">
        <v>799</v>
      </c>
    </row>
    <row r="411" spans="1:8">
      <c r="A411">
        <v>409</v>
      </c>
      <c r="B411" t="s">
        <v>1244</v>
      </c>
      <c r="C411" t="s">
        <v>744</v>
      </c>
      <c r="D411" t="s">
        <v>325</v>
      </c>
      <c r="E411" t="s">
        <v>745</v>
      </c>
      <c r="F411">
        <v>90</v>
      </c>
      <c r="G411">
        <v>0</v>
      </c>
      <c r="H411" t="s">
        <v>801</v>
      </c>
    </row>
    <row r="412" spans="1:8">
      <c r="A412">
        <v>410</v>
      </c>
      <c r="B412" t="s">
        <v>1245</v>
      </c>
      <c r="C412" t="s">
        <v>285</v>
      </c>
      <c r="D412" t="s">
        <v>325</v>
      </c>
      <c r="E412" t="s">
        <v>371</v>
      </c>
      <c r="F412">
        <v>120</v>
      </c>
      <c r="G412">
        <v>77.099999999999994</v>
      </c>
      <c r="H412" t="s">
        <v>801</v>
      </c>
    </row>
    <row r="413" spans="1:8">
      <c r="A413">
        <v>411</v>
      </c>
      <c r="B413" t="s">
        <v>1246</v>
      </c>
      <c r="C413" t="s">
        <v>746</v>
      </c>
      <c r="D413" t="s">
        <v>325</v>
      </c>
      <c r="E413" t="s">
        <v>718</v>
      </c>
      <c r="F413">
        <v>68</v>
      </c>
      <c r="G413">
        <v>0</v>
      </c>
      <c r="H413" t="s">
        <v>801</v>
      </c>
    </row>
    <row r="414" spans="1:8">
      <c r="A414">
        <v>412</v>
      </c>
      <c r="B414" t="s">
        <v>1247</v>
      </c>
      <c r="C414" t="s">
        <v>292</v>
      </c>
      <c r="D414" t="s">
        <v>325</v>
      </c>
      <c r="E414" t="s">
        <v>371</v>
      </c>
      <c r="F414">
        <v>120</v>
      </c>
      <c r="G414">
        <v>73.099999999999994</v>
      </c>
      <c r="H414" t="s">
        <v>801</v>
      </c>
    </row>
    <row r="415" spans="1:8">
      <c r="A415">
        <v>413</v>
      </c>
      <c r="B415" t="s">
        <v>1248</v>
      </c>
      <c r="C415" t="s">
        <v>747</v>
      </c>
      <c r="D415" t="s">
        <v>325</v>
      </c>
      <c r="E415" t="s">
        <v>718</v>
      </c>
      <c r="F415">
        <v>64.5</v>
      </c>
      <c r="G415">
        <v>0</v>
      </c>
      <c r="H415" t="s">
        <v>801</v>
      </c>
    </row>
    <row r="416" spans="1:8">
      <c r="A416">
        <v>414</v>
      </c>
      <c r="B416" t="s">
        <v>1249</v>
      </c>
      <c r="C416" t="s">
        <v>295</v>
      </c>
      <c r="D416" t="s">
        <v>325</v>
      </c>
      <c r="E416" t="s">
        <v>371</v>
      </c>
      <c r="F416">
        <v>90</v>
      </c>
      <c r="G416">
        <v>77.099999999999994</v>
      </c>
      <c r="H416" t="s">
        <v>801</v>
      </c>
    </row>
    <row r="417" spans="1:8">
      <c r="A417">
        <v>415</v>
      </c>
      <c r="B417" t="s">
        <v>1250</v>
      </c>
      <c r="C417" t="s">
        <v>294</v>
      </c>
      <c r="D417" t="s">
        <v>325</v>
      </c>
      <c r="E417" t="s">
        <v>371</v>
      </c>
      <c r="F417">
        <v>145</v>
      </c>
      <c r="G417">
        <v>99.1</v>
      </c>
      <c r="H417" t="s">
        <v>801</v>
      </c>
    </row>
    <row r="418" spans="1:8">
      <c r="A418">
        <v>416</v>
      </c>
      <c r="B418" t="s">
        <v>1251</v>
      </c>
      <c r="C418" t="s">
        <v>748</v>
      </c>
      <c r="D418" t="s">
        <v>325</v>
      </c>
      <c r="E418" t="s">
        <v>714</v>
      </c>
      <c r="F418">
        <v>85</v>
      </c>
      <c r="G418">
        <v>0</v>
      </c>
      <c r="H418" t="s">
        <v>801</v>
      </c>
    </row>
    <row r="419" spans="1:8">
      <c r="A419">
        <v>417</v>
      </c>
      <c r="B419" t="s">
        <v>1252</v>
      </c>
      <c r="C419" t="s">
        <v>749</v>
      </c>
      <c r="D419" t="s">
        <v>325</v>
      </c>
      <c r="E419" t="s">
        <v>718</v>
      </c>
      <c r="F419">
        <v>70.5</v>
      </c>
      <c r="G419">
        <v>0</v>
      </c>
      <c r="H419" t="s">
        <v>801</v>
      </c>
    </row>
    <row r="420" spans="1:8">
      <c r="A420">
        <v>418</v>
      </c>
      <c r="B420" t="s">
        <v>1253</v>
      </c>
      <c r="C420" t="s">
        <v>283</v>
      </c>
      <c r="D420" t="s">
        <v>325</v>
      </c>
      <c r="E420" t="s">
        <v>369</v>
      </c>
      <c r="F420">
        <v>79.5</v>
      </c>
      <c r="G420">
        <v>72.099999999999994</v>
      </c>
      <c r="H420" t="s">
        <v>801</v>
      </c>
    </row>
    <row r="421" spans="1:8">
      <c r="A421">
        <v>419</v>
      </c>
      <c r="B421" t="s">
        <v>1254</v>
      </c>
      <c r="C421" t="s">
        <v>750</v>
      </c>
      <c r="D421" t="s">
        <v>325</v>
      </c>
      <c r="E421" t="s">
        <v>718</v>
      </c>
      <c r="F421">
        <v>73.099999999999994</v>
      </c>
      <c r="G421">
        <v>0</v>
      </c>
      <c r="H421" t="s">
        <v>799</v>
      </c>
    </row>
    <row r="422" spans="1:8">
      <c r="A422">
        <v>420</v>
      </c>
      <c r="B422" t="s">
        <v>1255</v>
      </c>
      <c r="C422" t="s">
        <v>751</v>
      </c>
      <c r="D422" t="s">
        <v>325</v>
      </c>
      <c r="E422" t="s">
        <v>718</v>
      </c>
      <c r="F422">
        <v>0</v>
      </c>
      <c r="G422">
        <v>0</v>
      </c>
      <c r="H422" t="s">
        <v>801</v>
      </c>
    </row>
    <row r="423" spans="1:8">
      <c r="A423">
        <v>421</v>
      </c>
      <c r="B423" t="s">
        <v>1256</v>
      </c>
      <c r="C423" t="s">
        <v>752</v>
      </c>
      <c r="D423" t="s">
        <v>325</v>
      </c>
      <c r="E423" t="s">
        <v>718</v>
      </c>
      <c r="F423">
        <v>0</v>
      </c>
      <c r="G423">
        <v>0</v>
      </c>
      <c r="H423" t="s">
        <v>801</v>
      </c>
    </row>
    <row r="424" spans="1:8">
      <c r="A424">
        <v>422</v>
      </c>
      <c r="B424" t="s">
        <v>1257</v>
      </c>
      <c r="C424" t="s">
        <v>199</v>
      </c>
      <c r="D424" t="s">
        <v>318</v>
      </c>
      <c r="E424" t="s">
        <v>350</v>
      </c>
      <c r="F424">
        <v>100</v>
      </c>
      <c r="G424">
        <v>103</v>
      </c>
      <c r="H424" t="s">
        <v>801</v>
      </c>
    </row>
    <row r="425" spans="1:8">
      <c r="A425">
        <v>423</v>
      </c>
      <c r="B425" t="s">
        <v>1258</v>
      </c>
      <c r="C425" t="s">
        <v>198</v>
      </c>
      <c r="D425" t="s">
        <v>318</v>
      </c>
      <c r="E425" t="s">
        <v>350</v>
      </c>
      <c r="F425">
        <v>100</v>
      </c>
      <c r="G425">
        <v>103</v>
      </c>
      <c r="H425" t="s">
        <v>801</v>
      </c>
    </row>
    <row r="426" spans="1:8">
      <c r="A426">
        <v>424</v>
      </c>
      <c r="B426" t="s">
        <v>1259</v>
      </c>
      <c r="C426" t="s">
        <v>66</v>
      </c>
      <c r="D426" t="s">
        <v>318</v>
      </c>
      <c r="E426" t="s">
        <v>369</v>
      </c>
      <c r="F426">
        <v>94</v>
      </c>
      <c r="G426">
        <v>99.05</v>
      </c>
      <c r="H426" t="s">
        <v>799</v>
      </c>
    </row>
    <row r="427" spans="1:8">
      <c r="A427">
        <v>425</v>
      </c>
      <c r="B427" t="s">
        <v>1260</v>
      </c>
      <c r="C427" t="s">
        <v>753</v>
      </c>
      <c r="D427" t="s">
        <v>318</v>
      </c>
      <c r="E427" t="s">
        <v>718</v>
      </c>
      <c r="F427">
        <v>76</v>
      </c>
      <c r="G427">
        <v>0</v>
      </c>
      <c r="H427" t="s">
        <v>799</v>
      </c>
    </row>
    <row r="428" spans="1:8">
      <c r="A428">
        <v>426</v>
      </c>
      <c r="B428" t="s">
        <v>1261</v>
      </c>
      <c r="C428" t="s">
        <v>227</v>
      </c>
      <c r="D428" t="s">
        <v>318</v>
      </c>
      <c r="E428" t="s">
        <v>357</v>
      </c>
      <c r="F428">
        <v>55</v>
      </c>
      <c r="G428">
        <v>65</v>
      </c>
      <c r="H428" t="s">
        <v>801</v>
      </c>
    </row>
    <row r="429" spans="1:8">
      <c r="A429">
        <v>427</v>
      </c>
      <c r="B429" t="s">
        <v>1262</v>
      </c>
      <c r="C429" t="s">
        <v>284</v>
      </c>
      <c r="D429" t="s">
        <v>327</v>
      </c>
      <c r="E429" t="s">
        <v>371</v>
      </c>
      <c r="F429">
        <v>50</v>
      </c>
      <c r="G429">
        <v>45.2</v>
      </c>
      <c r="H429" t="s">
        <v>801</v>
      </c>
    </row>
    <row r="430" spans="1:8">
      <c r="A430">
        <v>428</v>
      </c>
      <c r="B430" t="s">
        <v>1263</v>
      </c>
      <c r="C430" t="s">
        <v>754</v>
      </c>
      <c r="D430" t="s">
        <v>327</v>
      </c>
      <c r="E430" t="s">
        <v>755</v>
      </c>
      <c r="F430">
        <v>32</v>
      </c>
      <c r="G430">
        <v>0</v>
      </c>
      <c r="H430" t="s">
        <v>801</v>
      </c>
    </row>
    <row r="431" spans="1:8">
      <c r="A431">
        <v>429</v>
      </c>
      <c r="B431" t="s">
        <v>1264</v>
      </c>
      <c r="C431" t="s">
        <v>756</v>
      </c>
      <c r="D431" t="s">
        <v>327</v>
      </c>
      <c r="E431" t="s">
        <v>718</v>
      </c>
      <c r="F431">
        <v>0</v>
      </c>
      <c r="G431">
        <v>0</v>
      </c>
      <c r="H431" t="s">
        <v>801</v>
      </c>
    </row>
    <row r="432" spans="1:8">
      <c r="A432">
        <v>430</v>
      </c>
      <c r="B432" t="s">
        <v>1265</v>
      </c>
      <c r="C432" t="s">
        <v>757</v>
      </c>
      <c r="D432" t="s">
        <v>327</v>
      </c>
      <c r="E432" t="s">
        <v>718</v>
      </c>
      <c r="F432">
        <v>53.8</v>
      </c>
      <c r="G432">
        <v>0</v>
      </c>
      <c r="H432" t="s">
        <v>799</v>
      </c>
    </row>
    <row r="433" spans="1:8">
      <c r="A433">
        <v>431</v>
      </c>
      <c r="B433" t="s">
        <v>1266</v>
      </c>
      <c r="C433" t="s">
        <v>758</v>
      </c>
      <c r="D433" t="s">
        <v>327</v>
      </c>
      <c r="E433" t="s">
        <v>745</v>
      </c>
      <c r="F433">
        <v>75</v>
      </c>
      <c r="G433">
        <v>0</v>
      </c>
      <c r="H433" t="s">
        <v>801</v>
      </c>
    </row>
    <row r="434" spans="1:8">
      <c r="A434">
        <v>432</v>
      </c>
      <c r="B434" t="s">
        <v>1267</v>
      </c>
      <c r="C434" t="s">
        <v>759</v>
      </c>
      <c r="D434" t="s">
        <v>327</v>
      </c>
      <c r="E434" t="s">
        <v>718</v>
      </c>
      <c r="F434">
        <v>57.5</v>
      </c>
      <c r="G434">
        <v>0</v>
      </c>
      <c r="H434" t="s">
        <v>799</v>
      </c>
    </row>
    <row r="435" spans="1:8">
      <c r="A435">
        <v>433</v>
      </c>
      <c r="B435" t="s">
        <v>1268</v>
      </c>
      <c r="C435" t="s">
        <v>760</v>
      </c>
      <c r="D435" t="s">
        <v>327</v>
      </c>
      <c r="E435" t="s">
        <v>720</v>
      </c>
      <c r="F435">
        <v>67.5</v>
      </c>
      <c r="G435">
        <v>0</v>
      </c>
      <c r="H435" t="s">
        <v>801</v>
      </c>
    </row>
    <row r="436" spans="1:8">
      <c r="A436">
        <v>434</v>
      </c>
      <c r="B436" t="s">
        <v>1269</v>
      </c>
      <c r="C436" t="s">
        <v>761</v>
      </c>
      <c r="D436" t="s">
        <v>325</v>
      </c>
      <c r="E436" t="s">
        <v>718</v>
      </c>
      <c r="F436">
        <v>39</v>
      </c>
      <c r="G436">
        <v>0</v>
      </c>
      <c r="H436" t="s">
        <v>801</v>
      </c>
    </row>
    <row r="437" spans="1:8">
      <c r="A437">
        <v>435</v>
      </c>
      <c r="B437" t="s">
        <v>1270</v>
      </c>
      <c r="C437" t="s">
        <v>762</v>
      </c>
      <c r="D437" t="s">
        <v>327</v>
      </c>
      <c r="E437" t="s">
        <v>732</v>
      </c>
      <c r="F437">
        <v>51.5</v>
      </c>
      <c r="G437">
        <v>0</v>
      </c>
      <c r="H437" t="s">
        <v>799</v>
      </c>
    </row>
    <row r="438" spans="1:8">
      <c r="A438">
        <v>436</v>
      </c>
      <c r="B438" t="s">
        <v>1271</v>
      </c>
      <c r="C438" t="s">
        <v>763</v>
      </c>
      <c r="D438" t="s">
        <v>310</v>
      </c>
      <c r="E438" t="s">
        <v>764</v>
      </c>
      <c r="F438">
        <v>0</v>
      </c>
      <c r="G438">
        <v>0</v>
      </c>
      <c r="H438" t="s">
        <v>801</v>
      </c>
    </row>
    <row r="439" spans="1:8">
      <c r="A439">
        <v>437</v>
      </c>
      <c r="B439" t="s">
        <v>1272</v>
      </c>
      <c r="C439" t="s">
        <v>765</v>
      </c>
      <c r="D439" t="s">
        <v>310</v>
      </c>
      <c r="E439" t="s">
        <v>621</v>
      </c>
      <c r="F439">
        <v>29.6</v>
      </c>
      <c r="G439">
        <v>0</v>
      </c>
      <c r="H439" t="s">
        <v>799</v>
      </c>
    </row>
    <row r="440" spans="1:8">
      <c r="A440">
        <v>438</v>
      </c>
      <c r="B440" t="s">
        <v>1273</v>
      </c>
      <c r="C440" t="s">
        <v>67</v>
      </c>
      <c r="D440" t="s">
        <v>310</v>
      </c>
      <c r="E440" t="s">
        <v>353</v>
      </c>
      <c r="F440">
        <v>27.5</v>
      </c>
      <c r="G440">
        <v>29</v>
      </c>
      <c r="H440" t="s">
        <v>799</v>
      </c>
    </row>
    <row r="441" spans="1:8">
      <c r="A441">
        <v>439</v>
      </c>
      <c r="B441" t="s">
        <v>1274</v>
      </c>
      <c r="C441" t="s">
        <v>482</v>
      </c>
      <c r="D441" t="s">
        <v>310</v>
      </c>
      <c r="E441" t="s">
        <v>353</v>
      </c>
      <c r="F441">
        <v>35</v>
      </c>
      <c r="G441">
        <v>29</v>
      </c>
      <c r="H441" t="s">
        <v>801</v>
      </c>
    </row>
    <row r="442" spans="1:8">
      <c r="A442">
        <v>440</v>
      </c>
      <c r="B442" t="s">
        <v>1275</v>
      </c>
      <c r="C442" t="s">
        <v>211</v>
      </c>
      <c r="D442" t="s">
        <v>310</v>
      </c>
      <c r="E442" t="s">
        <v>353</v>
      </c>
      <c r="F442">
        <v>35</v>
      </c>
      <c r="G442">
        <v>29</v>
      </c>
      <c r="H442" t="s">
        <v>801</v>
      </c>
    </row>
    <row r="443" spans="1:8">
      <c r="A443">
        <v>441</v>
      </c>
      <c r="B443" t="s">
        <v>1276</v>
      </c>
      <c r="C443" t="s">
        <v>766</v>
      </c>
      <c r="D443" t="s">
        <v>310</v>
      </c>
      <c r="E443" t="s">
        <v>767</v>
      </c>
      <c r="F443">
        <v>35</v>
      </c>
      <c r="G443">
        <v>0</v>
      </c>
      <c r="H443" t="s">
        <v>801</v>
      </c>
    </row>
    <row r="444" spans="1:8">
      <c r="A444">
        <v>442</v>
      </c>
      <c r="B444" t="s">
        <v>1277</v>
      </c>
      <c r="C444" t="s">
        <v>210</v>
      </c>
      <c r="D444" t="s">
        <v>310</v>
      </c>
      <c r="E444" t="s">
        <v>353</v>
      </c>
      <c r="F444">
        <v>35</v>
      </c>
      <c r="G444">
        <v>30</v>
      </c>
      <c r="H444" t="s">
        <v>801</v>
      </c>
    </row>
    <row r="445" spans="1:8">
      <c r="A445">
        <v>443</v>
      </c>
      <c r="B445" t="s">
        <v>1278</v>
      </c>
      <c r="C445" t="s">
        <v>209</v>
      </c>
      <c r="D445" t="s">
        <v>310</v>
      </c>
      <c r="E445" t="s">
        <v>353</v>
      </c>
      <c r="F445">
        <v>35</v>
      </c>
      <c r="G445">
        <v>29</v>
      </c>
      <c r="H445" t="s">
        <v>801</v>
      </c>
    </row>
    <row r="446" spans="1:8">
      <c r="A446">
        <v>444</v>
      </c>
      <c r="B446" t="s">
        <v>1279</v>
      </c>
      <c r="C446" t="s">
        <v>768</v>
      </c>
      <c r="D446" t="s">
        <v>310</v>
      </c>
      <c r="E446" t="s">
        <v>769</v>
      </c>
      <c r="F446">
        <v>50</v>
      </c>
      <c r="G446">
        <v>0</v>
      </c>
      <c r="H446" t="s">
        <v>801</v>
      </c>
    </row>
    <row r="447" spans="1:8">
      <c r="A447">
        <v>445</v>
      </c>
      <c r="B447" t="s">
        <v>1280</v>
      </c>
      <c r="C447" t="s">
        <v>770</v>
      </c>
      <c r="D447" t="s">
        <v>310</v>
      </c>
      <c r="E447" t="s">
        <v>771</v>
      </c>
      <c r="F447">
        <v>27</v>
      </c>
      <c r="G447">
        <v>0</v>
      </c>
      <c r="H447" t="s">
        <v>799</v>
      </c>
    </row>
    <row r="448" spans="1:8">
      <c r="A448">
        <v>446</v>
      </c>
      <c r="B448" t="s">
        <v>1281</v>
      </c>
      <c r="C448" t="s">
        <v>214</v>
      </c>
      <c r="D448" t="s">
        <v>310</v>
      </c>
      <c r="E448" t="s">
        <v>353</v>
      </c>
      <c r="F448">
        <v>35</v>
      </c>
      <c r="G448">
        <v>29</v>
      </c>
      <c r="H448" t="s">
        <v>801</v>
      </c>
    </row>
    <row r="449" spans="1:8">
      <c r="A449">
        <v>447</v>
      </c>
      <c r="B449" t="s">
        <v>1282</v>
      </c>
      <c r="C449" t="s">
        <v>772</v>
      </c>
      <c r="D449" t="s">
        <v>310</v>
      </c>
      <c r="E449" t="s">
        <v>618</v>
      </c>
      <c r="F449">
        <v>27.5</v>
      </c>
      <c r="G449">
        <v>0</v>
      </c>
      <c r="H449" t="s">
        <v>799</v>
      </c>
    </row>
    <row r="450" spans="1:8">
      <c r="A450">
        <v>448</v>
      </c>
      <c r="B450" t="s">
        <v>1283</v>
      </c>
      <c r="C450" t="s">
        <v>68</v>
      </c>
      <c r="D450" t="s">
        <v>310</v>
      </c>
      <c r="E450" t="s">
        <v>335</v>
      </c>
      <c r="F450">
        <v>25</v>
      </c>
      <c r="G450">
        <v>25</v>
      </c>
      <c r="H450" t="s">
        <v>799</v>
      </c>
    </row>
    <row r="451" spans="1:8">
      <c r="A451">
        <v>449</v>
      </c>
      <c r="B451" t="s">
        <v>1284</v>
      </c>
      <c r="C451" t="s">
        <v>215</v>
      </c>
      <c r="D451" t="s">
        <v>310</v>
      </c>
      <c r="E451" t="s">
        <v>353</v>
      </c>
      <c r="F451">
        <v>35</v>
      </c>
      <c r="G451">
        <v>31</v>
      </c>
      <c r="H451" t="s">
        <v>801</v>
      </c>
    </row>
    <row r="452" spans="1:8">
      <c r="A452">
        <v>450</v>
      </c>
      <c r="B452" t="s">
        <v>1285</v>
      </c>
      <c r="C452" t="s">
        <v>475</v>
      </c>
      <c r="D452" t="s">
        <v>310</v>
      </c>
      <c r="E452" t="s">
        <v>335</v>
      </c>
      <c r="F452">
        <v>26</v>
      </c>
      <c r="G452">
        <v>26</v>
      </c>
      <c r="H452" t="s">
        <v>801</v>
      </c>
    </row>
    <row r="453" spans="1:8">
      <c r="A453">
        <v>451</v>
      </c>
      <c r="B453" t="s">
        <v>1286</v>
      </c>
      <c r="C453" t="s">
        <v>213</v>
      </c>
      <c r="D453" t="s">
        <v>310</v>
      </c>
      <c r="E453" t="s">
        <v>353</v>
      </c>
      <c r="F453">
        <v>35</v>
      </c>
      <c r="G453">
        <v>32.5</v>
      </c>
      <c r="H453" t="s">
        <v>801</v>
      </c>
    </row>
    <row r="454" spans="1:8">
      <c r="A454">
        <v>452</v>
      </c>
      <c r="B454" t="s">
        <v>1287</v>
      </c>
      <c r="C454" t="s">
        <v>773</v>
      </c>
      <c r="D454" t="s">
        <v>310</v>
      </c>
      <c r="E454" t="s">
        <v>774</v>
      </c>
      <c r="F454">
        <v>28</v>
      </c>
      <c r="G454">
        <v>0</v>
      </c>
      <c r="H454" t="s">
        <v>799</v>
      </c>
    </row>
    <row r="455" spans="1:8">
      <c r="A455">
        <v>453</v>
      </c>
      <c r="B455" t="s">
        <v>1288</v>
      </c>
      <c r="C455" t="s">
        <v>212</v>
      </c>
      <c r="D455" t="s">
        <v>310</v>
      </c>
      <c r="E455" t="s">
        <v>353</v>
      </c>
      <c r="F455">
        <v>35</v>
      </c>
      <c r="G455">
        <v>32.5</v>
      </c>
      <c r="H455" t="s">
        <v>801</v>
      </c>
    </row>
    <row r="456" spans="1:8">
      <c r="A456">
        <v>454</v>
      </c>
      <c r="B456" t="s">
        <v>1289</v>
      </c>
      <c r="C456" t="s">
        <v>69</v>
      </c>
      <c r="D456" t="s">
        <v>308</v>
      </c>
      <c r="E456" t="s">
        <v>333</v>
      </c>
      <c r="F456">
        <v>61.7</v>
      </c>
      <c r="G456">
        <v>64.650000000000006</v>
      </c>
      <c r="H456" t="s">
        <v>799</v>
      </c>
    </row>
    <row r="457" spans="1:8">
      <c r="A457">
        <v>455</v>
      </c>
      <c r="B457" t="s">
        <v>1290</v>
      </c>
      <c r="C457" t="s">
        <v>775</v>
      </c>
      <c r="D457" t="s">
        <v>308</v>
      </c>
      <c r="E457" t="s">
        <v>776</v>
      </c>
      <c r="F457">
        <v>45</v>
      </c>
      <c r="G457">
        <v>0</v>
      </c>
      <c r="H457" t="s">
        <v>801</v>
      </c>
    </row>
    <row r="458" spans="1:8">
      <c r="A458">
        <v>456</v>
      </c>
      <c r="B458" t="s">
        <v>1291</v>
      </c>
      <c r="C458" t="s">
        <v>182</v>
      </c>
      <c r="D458" t="s">
        <v>308</v>
      </c>
      <c r="E458" t="s">
        <v>344</v>
      </c>
      <c r="F458">
        <v>0</v>
      </c>
      <c r="G458">
        <v>50</v>
      </c>
      <c r="H458" t="s">
        <v>801</v>
      </c>
    </row>
    <row r="459" spans="1:8">
      <c r="A459">
        <v>457</v>
      </c>
      <c r="B459" t="s">
        <v>1292</v>
      </c>
      <c r="C459" t="s">
        <v>777</v>
      </c>
      <c r="D459" t="s">
        <v>308</v>
      </c>
      <c r="E459" t="s">
        <v>598</v>
      </c>
      <c r="F459">
        <v>65</v>
      </c>
      <c r="G459">
        <v>0</v>
      </c>
      <c r="H459" t="s">
        <v>799</v>
      </c>
    </row>
    <row r="460" spans="1:8">
      <c r="A460">
        <v>458</v>
      </c>
      <c r="B460" t="s">
        <v>1293</v>
      </c>
      <c r="C460" t="s">
        <v>181</v>
      </c>
      <c r="D460" t="s">
        <v>308</v>
      </c>
      <c r="E460" t="s">
        <v>344</v>
      </c>
      <c r="F460">
        <v>0</v>
      </c>
      <c r="G460">
        <v>50</v>
      </c>
      <c r="H460" t="s">
        <v>801</v>
      </c>
    </row>
    <row r="461" spans="1:8">
      <c r="A461">
        <v>459</v>
      </c>
      <c r="B461" t="s">
        <v>1294</v>
      </c>
      <c r="C461" t="s">
        <v>778</v>
      </c>
      <c r="D461" t="s">
        <v>308</v>
      </c>
      <c r="E461" t="s">
        <v>779</v>
      </c>
      <c r="F461">
        <v>52</v>
      </c>
      <c r="G461">
        <v>0</v>
      </c>
      <c r="H461" t="s">
        <v>799</v>
      </c>
    </row>
    <row r="462" spans="1:8">
      <c r="A462">
        <v>460</v>
      </c>
      <c r="B462" t="s">
        <v>1295</v>
      </c>
      <c r="C462" t="s">
        <v>136</v>
      </c>
      <c r="D462" t="s">
        <v>308</v>
      </c>
      <c r="E462" t="s">
        <v>333</v>
      </c>
      <c r="F462">
        <v>65</v>
      </c>
      <c r="G462">
        <v>61.65</v>
      </c>
      <c r="H462" t="s">
        <v>801</v>
      </c>
    </row>
    <row r="463" spans="1:8">
      <c r="A463">
        <v>461</v>
      </c>
      <c r="B463" t="s">
        <v>1296</v>
      </c>
      <c r="C463" t="s">
        <v>171</v>
      </c>
      <c r="D463" t="s">
        <v>308</v>
      </c>
      <c r="E463" t="s">
        <v>342</v>
      </c>
      <c r="F463">
        <v>70</v>
      </c>
      <c r="G463">
        <v>67</v>
      </c>
      <c r="H463" t="s">
        <v>801</v>
      </c>
    </row>
    <row r="464" spans="1:8">
      <c r="A464">
        <v>462</v>
      </c>
      <c r="B464" t="s">
        <v>1297</v>
      </c>
      <c r="C464" t="s">
        <v>172</v>
      </c>
      <c r="D464" t="s">
        <v>308</v>
      </c>
      <c r="E464" t="s">
        <v>342</v>
      </c>
      <c r="F464">
        <v>55</v>
      </c>
      <c r="G464">
        <v>49</v>
      </c>
      <c r="H464" t="s">
        <v>801</v>
      </c>
    </row>
    <row r="465" spans="1:8">
      <c r="A465">
        <v>463</v>
      </c>
      <c r="B465" t="s">
        <v>1298</v>
      </c>
      <c r="C465" t="s">
        <v>70</v>
      </c>
      <c r="D465" t="s">
        <v>308</v>
      </c>
      <c r="E465" t="s">
        <v>342</v>
      </c>
      <c r="F465">
        <v>52.5</v>
      </c>
      <c r="G465">
        <v>54</v>
      </c>
      <c r="H465" t="s">
        <v>799</v>
      </c>
    </row>
    <row r="466" spans="1:8">
      <c r="A466">
        <v>464</v>
      </c>
      <c r="B466" t="s">
        <v>1299</v>
      </c>
      <c r="C466" t="s">
        <v>228</v>
      </c>
      <c r="D466" t="s">
        <v>308</v>
      </c>
      <c r="E466" t="s">
        <v>357</v>
      </c>
      <c r="F466">
        <v>0</v>
      </c>
      <c r="G466">
        <v>133</v>
      </c>
      <c r="H466" t="s">
        <v>801</v>
      </c>
    </row>
    <row r="467" spans="1:8">
      <c r="A467">
        <v>465</v>
      </c>
      <c r="B467" t="s">
        <v>1300</v>
      </c>
      <c r="C467" t="s">
        <v>229</v>
      </c>
      <c r="D467" t="s">
        <v>308</v>
      </c>
      <c r="E467" t="s">
        <v>358</v>
      </c>
      <c r="F467">
        <v>60</v>
      </c>
      <c r="G467">
        <v>52.65</v>
      </c>
      <c r="H467" t="s">
        <v>801</v>
      </c>
    </row>
    <row r="468" spans="1:8">
      <c r="A468">
        <v>466</v>
      </c>
      <c r="B468" t="s">
        <v>1301</v>
      </c>
      <c r="C468" t="s">
        <v>780</v>
      </c>
      <c r="D468" t="s">
        <v>308</v>
      </c>
      <c r="E468" t="s">
        <v>742</v>
      </c>
      <c r="F468">
        <v>56.7</v>
      </c>
      <c r="G468">
        <v>0</v>
      </c>
      <c r="H468" t="s">
        <v>799</v>
      </c>
    </row>
    <row r="469" spans="1:8">
      <c r="A469">
        <v>467</v>
      </c>
      <c r="B469" t="s">
        <v>1302</v>
      </c>
      <c r="C469" t="s">
        <v>781</v>
      </c>
      <c r="D469" t="s">
        <v>308</v>
      </c>
      <c r="E469" t="s">
        <v>732</v>
      </c>
      <c r="F469">
        <v>0</v>
      </c>
      <c r="G469">
        <v>0</v>
      </c>
      <c r="H469" t="s">
        <v>799</v>
      </c>
    </row>
    <row r="470" spans="1:8">
      <c r="A470">
        <v>468</v>
      </c>
      <c r="B470" t="s">
        <v>1303</v>
      </c>
      <c r="C470" t="s">
        <v>173</v>
      </c>
      <c r="D470" t="s">
        <v>308</v>
      </c>
      <c r="E470" t="s">
        <v>342</v>
      </c>
      <c r="F470">
        <v>60</v>
      </c>
      <c r="G470">
        <v>52.5</v>
      </c>
      <c r="H470" t="s">
        <v>801</v>
      </c>
    </row>
    <row r="471" spans="1:8">
      <c r="A471">
        <v>469</v>
      </c>
      <c r="B471" t="s">
        <v>1304</v>
      </c>
      <c r="C471" t="s">
        <v>230</v>
      </c>
      <c r="D471" t="s">
        <v>308</v>
      </c>
      <c r="E471" t="s">
        <v>358</v>
      </c>
      <c r="F471">
        <v>60</v>
      </c>
      <c r="G471">
        <v>55.55</v>
      </c>
      <c r="H471" t="s">
        <v>801</v>
      </c>
    </row>
    <row r="472" spans="1:8">
      <c r="A472">
        <v>470</v>
      </c>
      <c r="B472" t="s">
        <v>1305</v>
      </c>
      <c r="C472" t="s">
        <v>232</v>
      </c>
      <c r="D472" t="s">
        <v>308</v>
      </c>
      <c r="E472" t="s">
        <v>358</v>
      </c>
      <c r="F472">
        <v>47.5</v>
      </c>
      <c r="G472">
        <v>46.65</v>
      </c>
      <c r="H472" t="s">
        <v>801</v>
      </c>
    </row>
    <row r="473" spans="1:8">
      <c r="A473">
        <v>471</v>
      </c>
      <c r="B473" t="s">
        <v>1306</v>
      </c>
      <c r="C473" t="s">
        <v>231</v>
      </c>
      <c r="D473" t="s">
        <v>308</v>
      </c>
      <c r="E473" t="s">
        <v>358</v>
      </c>
      <c r="F473">
        <v>65</v>
      </c>
      <c r="G473">
        <v>55.65</v>
      </c>
      <c r="H473" t="s">
        <v>801</v>
      </c>
    </row>
    <row r="474" spans="1:8">
      <c r="A474">
        <v>472</v>
      </c>
      <c r="B474" t="s">
        <v>1307</v>
      </c>
      <c r="C474" t="s">
        <v>174</v>
      </c>
      <c r="D474" t="s">
        <v>308</v>
      </c>
      <c r="E474" t="s">
        <v>342</v>
      </c>
      <c r="F474">
        <v>60</v>
      </c>
      <c r="G474">
        <v>52.5</v>
      </c>
      <c r="H474" t="s">
        <v>801</v>
      </c>
    </row>
    <row r="475" spans="1:8">
      <c r="A475">
        <v>473</v>
      </c>
      <c r="B475" t="s">
        <v>1308</v>
      </c>
      <c r="C475" t="s">
        <v>71</v>
      </c>
      <c r="D475" t="s">
        <v>308</v>
      </c>
      <c r="E475" t="s">
        <v>358</v>
      </c>
      <c r="F475">
        <v>54.2</v>
      </c>
      <c r="G475">
        <v>54.15</v>
      </c>
      <c r="H475" t="s">
        <v>799</v>
      </c>
    </row>
    <row r="476" spans="1:8">
      <c r="A476">
        <v>474</v>
      </c>
      <c r="B476" t="s">
        <v>1309</v>
      </c>
      <c r="C476" t="s">
        <v>175</v>
      </c>
      <c r="D476" t="s">
        <v>308</v>
      </c>
      <c r="E476" t="s">
        <v>342</v>
      </c>
      <c r="F476">
        <v>60</v>
      </c>
      <c r="G476">
        <v>52.5</v>
      </c>
      <c r="H476" t="s">
        <v>801</v>
      </c>
    </row>
    <row r="477" spans="1:8">
      <c r="A477">
        <v>475</v>
      </c>
      <c r="B477" t="s">
        <v>1310</v>
      </c>
      <c r="C477" t="s">
        <v>782</v>
      </c>
      <c r="D477" t="s">
        <v>308</v>
      </c>
      <c r="E477" t="s">
        <v>783</v>
      </c>
      <c r="F477">
        <v>56.7</v>
      </c>
      <c r="G477">
        <v>0</v>
      </c>
      <c r="H477" t="s">
        <v>799</v>
      </c>
    </row>
    <row r="478" spans="1:8">
      <c r="A478">
        <v>476</v>
      </c>
      <c r="B478" t="s">
        <v>1311</v>
      </c>
      <c r="C478" t="s">
        <v>784</v>
      </c>
      <c r="D478" t="s">
        <v>308</v>
      </c>
      <c r="E478" t="s">
        <v>785</v>
      </c>
      <c r="F478">
        <v>68</v>
      </c>
      <c r="G478">
        <v>0</v>
      </c>
      <c r="H478" t="s">
        <v>801</v>
      </c>
    </row>
    <row r="479" spans="1:8">
      <c r="A479">
        <v>477</v>
      </c>
      <c r="B479" t="s">
        <v>1312</v>
      </c>
      <c r="C479" t="s">
        <v>72</v>
      </c>
      <c r="D479" t="s">
        <v>308</v>
      </c>
      <c r="E479" t="s">
        <v>358</v>
      </c>
      <c r="F479">
        <v>51.7</v>
      </c>
      <c r="G479">
        <v>51.65</v>
      </c>
      <c r="H479" t="s">
        <v>799</v>
      </c>
    </row>
    <row r="480" spans="1:8">
      <c r="A480">
        <v>478</v>
      </c>
      <c r="B480" t="s">
        <v>1313</v>
      </c>
      <c r="C480" t="s">
        <v>786</v>
      </c>
      <c r="D480" t="s">
        <v>320</v>
      </c>
      <c r="E480" t="s">
        <v>496</v>
      </c>
      <c r="F480">
        <v>75</v>
      </c>
      <c r="G480">
        <v>0</v>
      </c>
      <c r="H480" t="s">
        <v>799</v>
      </c>
    </row>
    <row r="481" spans="1:8">
      <c r="A481">
        <v>479</v>
      </c>
      <c r="B481" t="s">
        <v>1314</v>
      </c>
      <c r="C481" t="s">
        <v>108</v>
      </c>
      <c r="D481" t="s">
        <v>320</v>
      </c>
      <c r="E481" t="s">
        <v>367</v>
      </c>
      <c r="F481">
        <v>66.150000000000006</v>
      </c>
      <c r="G481">
        <v>69.150000000000006</v>
      </c>
      <c r="H481" t="s">
        <v>799</v>
      </c>
    </row>
    <row r="482" spans="1:8">
      <c r="A482">
        <v>480</v>
      </c>
      <c r="B482" t="s">
        <v>1315</v>
      </c>
      <c r="C482" t="s">
        <v>1316</v>
      </c>
      <c r="D482" t="s">
        <v>320</v>
      </c>
      <c r="E482" t="s">
        <v>496</v>
      </c>
      <c r="F482">
        <v>75</v>
      </c>
      <c r="G482">
        <v>0</v>
      </c>
      <c r="H482" t="s">
        <v>799</v>
      </c>
    </row>
    <row r="483" spans="1:8">
      <c r="A483">
        <v>481</v>
      </c>
      <c r="B483" t="s">
        <v>1317</v>
      </c>
      <c r="C483" t="s">
        <v>109</v>
      </c>
      <c r="D483" t="s">
        <v>320</v>
      </c>
      <c r="E483" t="s">
        <v>354</v>
      </c>
      <c r="F483">
        <v>66.5</v>
      </c>
      <c r="G483">
        <v>68.5</v>
      </c>
      <c r="H483" t="s">
        <v>799</v>
      </c>
    </row>
    <row r="484" spans="1:8">
      <c r="A484">
        <v>482</v>
      </c>
      <c r="B484" t="s">
        <v>1318</v>
      </c>
      <c r="C484" t="s">
        <v>219</v>
      </c>
      <c r="D484" t="s">
        <v>320</v>
      </c>
      <c r="E484" t="s">
        <v>354</v>
      </c>
      <c r="F484">
        <v>76</v>
      </c>
      <c r="G484">
        <v>74</v>
      </c>
      <c r="H484" t="s">
        <v>801</v>
      </c>
    </row>
    <row r="485" spans="1:8">
      <c r="A485">
        <v>483</v>
      </c>
      <c r="B485" t="s">
        <v>1319</v>
      </c>
      <c r="C485" t="s">
        <v>787</v>
      </c>
      <c r="D485" t="s">
        <v>320</v>
      </c>
      <c r="E485" t="s">
        <v>693</v>
      </c>
      <c r="F485">
        <v>75</v>
      </c>
      <c r="G485">
        <v>0</v>
      </c>
      <c r="H485" t="s">
        <v>801</v>
      </c>
    </row>
    <row r="486" spans="1:8">
      <c r="A486">
        <v>484</v>
      </c>
      <c r="B486" t="s">
        <v>1320</v>
      </c>
      <c r="C486" t="s">
        <v>788</v>
      </c>
      <c r="D486" t="s">
        <v>320</v>
      </c>
      <c r="E486" t="s">
        <v>693</v>
      </c>
      <c r="F486">
        <v>75</v>
      </c>
      <c r="G486">
        <v>0</v>
      </c>
      <c r="H486" t="s">
        <v>801</v>
      </c>
    </row>
    <row r="487" spans="1:8">
      <c r="A487">
        <v>485</v>
      </c>
      <c r="B487" t="s">
        <v>1321</v>
      </c>
      <c r="C487" t="s">
        <v>217</v>
      </c>
      <c r="D487" t="s">
        <v>320</v>
      </c>
      <c r="E487" t="s">
        <v>354</v>
      </c>
      <c r="F487">
        <v>75</v>
      </c>
      <c r="G487">
        <v>72.5</v>
      </c>
      <c r="H487" t="s">
        <v>801</v>
      </c>
    </row>
    <row r="488" spans="1:8">
      <c r="A488">
        <v>486</v>
      </c>
      <c r="B488" t="s">
        <v>1322</v>
      </c>
      <c r="C488" t="s">
        <v>218</v>
      </c>
      <c r="D488" t="s">
        <v>320</v>
      </c>
      <c r="E488" t="s">
        <v>354</v>
      </c>
      <c r="F488">
        <v>75</v>
      </c>
      <c r="G488">
        <v>72.5</v>
      </c>
      <c r="H488" t="s">
        <v>801</v>
      </c>
    </row>
    <row r="489" spans="1:8">
      <c r="A489">
        <v>487</v>
      </c>
      <c r="B489" t="s">
        <v>1323</v>
      </c>
      <c r="C489" t="s">
        <v>73</v>
      </c>
      <c r="D489" t="s">
        <v>312</v>
      </c>
      <c r="E489" t="s">
        <v>367</v>
      </c>
      <c r="F489">
        <v>0</v>
      </c>
      <c r="G489">
        <v>0</v>
      </c>
      <c r="H489" t="s">
        <v>799</v>
      </c>
    </row>
    <row r="490" spans="1:8">
      <c r="A490">
        <v>488</v>
      </c>
      <c r="B490" t="s">
        <v>1324</v>
      </c>
      <c r="C490" t="s">
        <v>789</v>
      </c>
      <c r="D490" t="s">
        <v>320</v>
      </c>
      <c r="E490" t="s">
        <v>673</v>
      </c>
      <c r="F490">
        <v>70</v>
      </c>
      <c r="G490">
        <v>0</v>
      </c>
      <c r="H490" t="s">
        <v>801</v>
      </c>
    </row>
    <row r="491" spans="1:8">
      <c r="A491">
        <v>489</v>
      </c>
      <c r="B491" t="s">
        <v>1325</v>
      </c>
      <c r="C491" t="s">
        <v>790</v>
      </c>
      <c r="D491" t="s">
        <v>791</v>
      </c>
      <c r="E491" t="s">
        <v>517</v>
      </c>
      <c r="F491">
        <v>0</v>
      </c>
      <c r="G491">
        <v>0</v>
      </c>
      <c r="H491" t="s">
        <v>801</v>
      </c>
    </row>
    <row r="492" spans="1:8">
      <c r="A492">
        <v>490</v>
      </c>
      <c r="B492" t="s">
        <v>1326</v>
      </c>
      <c r="C492" t="s">
        <v>792</v>
      </c>
      <c r="D492" t="s">
        <v>303</v>
      </c>
      <c r="E492" t="s">
        <v>686</v>
      </c>
      <c r="F492">
        <v>70</v>
      </c>
      <c r="G492">
        <v>0</v>
      </c>
      <c r="H492" t="s">
        <v>799</v>
      </c>
    </row>
    <row r="493" spans="1:8">
      <c r="A493">
        <v>491</v>
      </c>
      <c r="B493" t="s">
        <v>1327</v>
      </c>
      <c r="C493" t="s">
        <v>74</v>
      </c>
      <c r="D493" t="s">
        <v>303</v>
      </c>
      <c r="E493" t="s">
        <v>331</v>
      </c>
      <c r="F493">
        <v>70</v>
      </c>
      <c r="G493">
        <v>71</v>
      </c>
      <c r="H493" t="s">
        <v>799</v>
      </c>
    </row>
    <row r="494" spans="1:8">
      <c r="A494">
        <v>492</v>
      </c>
      <c r="B494" t="s">
        <v>1328</v>
      </c>
      <c r="C494" t="s">
        <v>216</v>
      </c>
      <c r="D494" t="s">
        <v>303</v>
      </c>
      <c r="E494" t="s">
        <v>354</v>
      </c>
      <c r="F494">
        <v>77.5</v>
      </c>
      <c r="G494">
        <v>74</v>
      </c>
      <c r="H494" t="s">
        <v>801</v>
      </c>
    </row>
    <row r="495" spans="1:8">
      <c r="A495">
        <v>493</v>
      </c>
      <c r="B495" t="s">
        <v>1329</v>
      </c>
      <c r="C495" t="s">
        <v>793</v>
      </c>
      <c r="D495" t="s">
        <v>794</v>
      </c>
      <c r="E495" t="s">
        <v>517</v>
      </c>
      <c r="F495">
        <v>0</v>
      </c>
      <c r="G495">
        <v>0</v>
      </c>
      <c r="H495" t="s">
        <v>801</v>
      </c>
    </row>
    <row r="496" spans="1:8">
      <c r="A496">
        <v>494</v>
      </c>
      <c r="B496" t="s">
        <v>1330</v>
      </c>
      <c r="C496" t="s">
        <v>795</v>
      </c>
      <c r="D496" t="s">
        <v>796</v>
      </c>
      <c r="E496" t="s">
        <v>633</v>
      </c>
      <c r="F496">
        <v>51.95</v>
      </c>
      <c r="G496">
        <v>0</v>
      </c>
      <c r="H496" t="s">
        <v>799</v>
      </c>
    </row>
    <row r="497" spans="1:8">
      <c r="A497">
        <v>495</v>
      </c>
      <c r="B497" t="s">
        <v>1331</v>
      </c>
      <c r="C497" t="s">
        <v>797</v>
      </c>
      <c r="D497" t="s">
        <v>303</v>
      </c>
      <c r="E497" t="s">
        <v>496</v>
      </c>
      <c r="F497">
        <v>75</v>
      </c>
      <c r="G497">
        <v>0</v>
      </c>
      <c r="H497" t="s">
        <v>799</v>
      </c>
    </row>
    <row r="498" spans="1:8">
      <c r="A498">
        <v>496</v>
      </c>
      <c r="B498" t="s">
        <v>1332</v>
      </c>
      <c r="C498" t="s">
        <v>126</v>
      </c>
      <c r="D498" t="s">
        <v>304</v>
      </c>
      <c r="E498" t="s">
        <v>331</v>
      </c>
      <c r="F498">
        <v>65</v>
      </c>
      <c r="G498">
        <v>60</v>
      </c>
      <c r="H498" t="s">
        <v>801</v>
      </c>
    </row>
    <row r="499" spans="1:8">
      <c r="A499">
        <v>497</v>
      </c>
      <c r="B499" t="s">
        <v>1333</v>
      </c>
      <c r="C499" t="s">
        <v>252</v>
      </c>
      <c r="D499" t="s">
        <v>303</v>
      </c>
      <c r="E499" t="s">
        <v>361</v>
      </c>
      <c r="F499">
        <v>85</v>
      </c>
      <c r="G499">
        <v>83.25</v>
      </c>
      <c r="H499" t="s">
        <v>801</v>
      </c>
    </row>
    <row r="500" spans="1:8">
      <c r="A500">
        <v>498</v>
      </c>
      <c r="B500" t="s">
        <v>1334</v>
      </c>
      <c r="C500" t="s">
        <v>127</v>
      </c>
      <c r="D500" t="s">
        <v>304</v>
      </c>
      <c r="E500" t="s">
        <v>331</v>
      </c>
      <c r="F500">
        <v>65</v>
      </c>
      <c r="G500">
        <v>60</v>
      </c>
      <c r="H500" t="s">
        <v>801</v>
      </c>
    </row>
    <row r="501" spans="1:8">
      <c r="A501">
        <v>499</v>
      </c>
      <c r="B501" t="s">
        <v>1335</v>
      </c>
      <c r="C501" t="s">
        <v>483</v>
      </c>
      <c r="D501" t="s">
        <v>317</v>
      </c>
      <c r="E501" t="s">
        <v>356</v>
      </c>
      <c r="F501">
        <v>75</v>
      </c>
      <c r="G501">
        <v>0</v>
      </c>
      <c r="H501" t="s">
        <v>801</v>
      </c>
    </row>
    <row r="502" spans="1:8">
      <c r="A502">
        <v>500</v>
      </c>
      <c r="B502" t="s">
        <v>1336</v>
      </c>
      <c r="C502" t="s">
        <v>487</v>
      </c>
      <c r="D502" t="s">
        <v>303</v>
      </c>
      <c r="E502" t="s">
        <v>354</v>
      </c>
      <c r="F502">
        <v>0</v>
      </c>
      <c r="G502">
        <v>0</v>
      </c>
      <c r="H502" t="s">
        <v>799</v>
      </c>
    </row>
    <row r="503" spans="1:8">
      <c r="A503">
        <v>501</v>
      </c>
      <c r="B503" t="s">
        <v>1337</v>
      </c>
      <c r="C503" t="s">
        <v>486</v>
      </c>
      <c r="D503" t="s">
        <v>303</v>
      </c>
      <c r="E503" t="s">
        <v>354</v>
      </c>
      <c r="F503">
        <v>0</v>
      </c>
      <c r="G503">
        <v>0</v>
      </c>
      <c r="H503" t="s">
        <v>799</v>
      </c>
    </row>
    <row r="504" spans="1:8">
      <c r="A504">
        <v>502</v>
      </c>
      <c r="B504" t="s">
        <v>1338</v>
      </c>
      <c r="C504" t="s">
        <v>110</v>
      </c>
      <c r="D504" t="s">
        <v>326</v>
      </c>
      <c r="E504" t="s">
        <v>370</v>
      </c>
      <c r="F504">
        <v>38.200000000000003</v>
      </c>
      <c r="G504">
        <v>40.299999999999997</v>
      </c>
      <c r="H504" t="s">
        <v>799</v>
      </c>
    </row>
    <row r="505" spans="1:8">
      <c r="A505">
        <v>503</v>
      </c>
      <c r="B505" t="s">
        <v>1339</v>
      </c>
      <c r="C505" t="s">
        <v>111</v>
      </c>
      <c r="D505" t="s">
        <v>326</v>
      </c>
      <c r="E505" t="s">
        <v>370</v>
      </c>
      <c r="F505">
        <v>42.7</v>
      </c>
      <c r="G505">
        <v>0</v>
      </c>
      <c r="H505" t="s">
        <v>799</v>
      </c>
    </row>
    <row r="506" spans="1:8">
      <c r="A506">
        <v>504</v>
      </c>
      <c r="B506" t="s">
        <v>1340</v>
      </c>
      <c r="C506" t="s">
        <v>75</v>
      </c>
      <c r="D506" t="s">
        <v>326</v>
      </c>
      <c r="E506" t="s">
        <v>370</v>
      </c>
      <c r="F506">
        <v>38.200000000000003</v>
      </c>
      <c r="G506">
        <v>41.8</v>
      </c>
      <c r="H506" t="s">
        <v>799</v>
      </c>
    </row>
    <row r="507" spans="1:8">
      <c r="A507">
        <v>505</v>
      </c>
      <c r="B507" t="s">
        <v>1341</v>
      </c>
      <c r="C507" t="s">
        <v>76</v>
      </c>
      <c r="D507" t="s">
        <v>326</v>
      </c>
      <c r="E507" t="s">
        <v>370</v>
      </c>
      <c r="F507">
        <v>38.200000000000003</v>
      </c>
      <c r="G507">
        <v>40.299999999999997</v>
      </c>
      <c r="H507" t="s">
        <v>799</v>
      </c>
    </row>
    <row r="508" spans="1:8">
      <c r="A508">
        <v>506</v>
      </c>
      <c r="B508" t="s">
        <v>1342</v>
      </c>
      <c r="C508" t="s">
        <v>1343</v>
      </c>
      <c r="D508" t="s">
        <v>326</v>
      </c>
      <c r="E508" t="s">
        <v>370</v>
      </c>
      <c r="F508">
        <v>42.7</v>
      </c>
      <c r="G508">
        <v>0</v>
      </c>
      <c r="H508" t="s">
        <v>799</v>
      </c>
    </row>
    <row r="509" spans="1:8">
      <c r="A509">
        <v>507</v>
      </c>
      <c r="B509" t="s">
        <v>1344</v>
      </c>
      <c r="C509" t="s">
        <v>112</v>
      </c>
      <c r="D509" t="s">
        <v>326</v>
      </c>
      <c r="E509" t="s">
        <v>370</v>
      </c>
      <c r="F509">
        <v>38.200000000000003</v>
      </c>
      <c r="G509">
        <v>41.8</v>
      </c>
      <c r="H509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INF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2018-11-10T10:17:02Z</dcterms:modified>
</cp:coreProperties>
</file>