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 activeTab="1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Fashion'!$B$3:$AA$96</definedName>
  </definedNames>
  <calcPr calcId="124519"/>
  <fileRecoveryPr autoRecover="0"/>
</workbook>
</file>

<file path=xl/calcChain.xml><?xml version="1.0" encoding="utf-8"?>
<calcChain xmlns="http://schemas.openxmlformats.org/spreadsheetml/2006/main">
  <c r="K19" i="4"/>
  <c r="K18"/>
  <c r="O19"/>
  <c r="N19"/>
  <c r="M19"/>
  <c r="N18"/>
  <c r="M18"/>
  <c r="O18" s="1"/>
  <c r="N308" i="1" l="1"/>
  <c r="N324"/>
  <c r="N63" i="4"/>
  <c r="O63" s="1"/>
  <c r="J63"/>
  <c r="K63" s="1"/>
  <c r="N7"/>
  <c r="O7"/>
  <c r="J7"/>
  <c r="K7" s="1"/>
  <c r="O6"/>
  <c r="J6"/>
  <c r="K6" s="1"/>
  <c r="N125" i="1"/>
  <c r="N284"/>
  <c r="N51"/>
  <c r="N61"/>
  <c r="N58"/>
  <c r="N59"/>
  <c r="N176"/>
  <c r="N86"/>
  <c r="N94"/>
  <c r="N83"/>
  <c r="N108"/>
  <c r="M108" s="1"/>
  <c r="N99"/>
  <c r="N52"/>
  <c r="N27"/>
  <c r="N106"/>
  <c r="N150"/>
  <c r="N92"/>
  <c r="N240"/>
  <c r="N61" i="4"/>
  <c r="N60"/>
  <c r="O60"/>
  <c r="O61"/>
  <c r="J61"/>
  <c r="K61" s="1"/>
  <c r="J60"/>
  <c r="K60" s="1"/>
  <c r="K108" i="1" l="1"/>
  <c r="O108"/>
  <c r="N408" l="1"/>
  <c r="N419"/>
  <c r="N418"/>
  <c r="N156"/>
  <c r="N142"/>
  <c r="J31" i="4"/>
  <c r="K31" s="1"/>
  <c r="N31"/>
  <c r="O31" s="1"/>
  <c r="N387" i="1" l="1"/>
  <c r="N165"/>
  <c r="N292"/>
  <c r="N146"/>
  <c r="N25"/>
  <c r="N244"/>
  <c r="N177"/>
  <c r="N365"/>
  <c r="N209"/>
  <c r="N120" l="1"/>
  <c r="N421"/>
  <c r="N105"/>
  <c r="N243"/>
  <c r="N237"/>
  <c r="N393"/>
  <c r="N362"/>
  <c r="N268"/>
  <c r="N291"/>
  <c r="N221"/>
  <c r="N217"/>
  <c r="N384"/>
  <c r="N30"/>
  <c r="N39"/>
  <c r="N71"/>
  <c r="N41" l="1"/>
  <c r="N14"/>
  <c r="N82" i="4" l="1"/>
  <c r="O82" s="1"/>
  <c r="J82"/>
  <c r="K82" s="1"/>
  <c r="N81"/>
  <c r="O81" s="1"/>
  <c r="J81"/>
  <c r="K81" s="1"/>
  <c r="N80"/>
  <c r="O80" s="1"/>
  <c r="J80"/>
  <c r="K80" s="1"/>
  <c r="N79"/>
  <c r="O79" s="1"/>
  <c r="J79"/>
  <c r="K79" s="1"/>
  <c r="N78"/>
  <c r="O78"/>
  <c r="J78"/>
  <c r="K78" s="1"/>
  <c r="N74"/>
  <c r="M74"/>
  <c r="O74" s="1"/>
  <c r="N62"/>
  <c r="M62"/>
  <c r="K62" s="1"/>
  <c r="N46"/>
  <c r="M46" s="1"/>
  <c r="N45"/>
  <c r="M45"/>
  <c r="N43"/>
  <c r="M43"/>
  <c r="O43" s="1"/>
  <c r="N42"/>
  <c r="M42"/>
  <c r="K42" s="1"/>
  <c r="N41"/>
  <c r="M41"/>
  <c r="K41" s="1"/>
  <c r="F60" i="1"/>
  <c r="D60"/>
  <c r="N58" i="4"/>
  <c r="J58"/>
  <c r="K58" s="1"/>
  <c r="N56"/>
  <c r="N50"/>
  <c r="N49"/>
  <c r="N55"/>
  <c r="N52"/>
  <c r="N47"/>
  <c r="N51"/>
  <c r="N53"/>
  <c r="J53"/>
  <c r="K53" s="1"/>
  <c r="N48"/>
  <c r="J48"/>
  <c r="K48" s="1"/>
  <c r="O59"/>
  <c r="J59"/>
  <c r="K59" s="1"/>
  <c r="O58"/>
  <c r="O57"/>
  <c r="J57"/>
  <c r="K57" s="1"/>
  <c r="O56"/>
  <c r="J56"/>
  <c r="K56" s="1"/>
  <c r="O55"/>
  <c r="J55"/>
  <c r="K55" s="1"/>
  <c r="O54"/>
  <c r="J54"/>
  <c r="K54" s="1"/>
  <c r="O53"/>
  <c r="O52"/>
  <c r="J52"/>
  <c r="K52" s="1"/>
  <c r="O51"/>
  <c r="J51"/>
  <c r="K51" s="1"/>
  <c r="O50"/>
  <c r="J50"/>
  <c r="K50" s="1"/>
  <c r="O49"/>
  <c r="J49"/>
  <c r="K49" s="1"/>
  <c r="O48"/>
  <c r="O47"/>
  <c r="J47"/>
  <c r="K47" s="1"/>
  <c r="O41" l="1"/>
  <c r="O62"/>
  <c r="O46"/>
  <c r="K46"/>
  <c r="O42"/>
  <c r="O45"/>
  <c r="N405" i="1"/>
  <c r="N396"/>
  <c r="N395"/>
  <c r="N325"/>
  <c r="N314"/>
  <c r="N383"/>
  <c r="N131"/>
  <c r="N212"/>
  <c r="N5" i="4"/>
  <c r="N4"/>
  <c r="N23" i="1"/>
  <c r="N83" i="4"/>
  <c r="N44" i="1"/>
  <c r="J44"/>
  <c r="N38"/>
  <c r="J38"/>
  <c r="N46"/>
  <c r="N42"/>
  <c r="N33"/>
  <c r="J33"/>
  <c r="N29"/>
  <c r="N31"/>
  <c r="N219"/>
  <c r="N128"/>
  <c r="J128"/>
  <c r="N47"/>
  <c r="N72"/>
  <c r="N67"/>
  <c r="J67"/>
  <c r="N74"/>
  <c r="J74"/>
  <c r="N63"/>
  <c r="N111"/>
  <c r="N34"/>
  <c r="J34"/>
  <c r="N126"/>
  <c r="N76"/>
  <c r="N103"/>
  <c r="J103"/>
  <c r="N132"/>
  <c r="N115"/>
  <c r="N121"/>
  <c r="N113"/>
  <c r="N26" i="4"/>
  <c r="N27"/>
  <c r="N95" i="1"/>
  <c r="N96"/>
  <c r="N203"/>
  <c r="N205"/>
  <c r="N202"/>
  <c r="N11"/>
  <c r="N385"/>
  <c r="M16" i="4"/>
  <c r="K16" s="1"/>
  <c r="D16"/>
  <c r="M15"/>
  <c r="O15" s="1"/>
  <c r="S15" s="1"/>
  <c r="T15" s="1"/>
  <c r="D15"/>
  <c r="M14"/>
  <c r="O14" s="1"/>
  <c r="S14" s="1"/>
  <c r="T14" s="1"/>
  <c r="D14"/>
  <c r="M12"/>
  <c r="O12" s="1"/>
  <c r="S12" s="1"/>
  <c r="T12" s="1"/>
  <c r="D12"/>
  <c r="M11"/>
  <c r="O11" s="1"/>
  <c r="S11" s="1"/>
  <c r="T11" s="1"/>
  <c r="D11"/>
  <c r="M23"/>
  <c r="O23" s="1"/>
  <c r="S23" s="1"/>
  <c r="T23" s="1"/>
  <c r="D23"/>
  <c r="M92"/>
  <c r="O92" s="1"/>
  <c r="S92" s="1"/>
  <c r="T92" s="1"/>
  <c r="D92"/>
  <c r="M91"/>
  <c r="O91" s="1"/>
  <c r="S91" s="1"/>
  <c r="T91" s="1"/>
  <c r="D91"/>
  <c r="M90"/>
  <c r="K90" s="1"/>
  <c r="D90"/>
  <c r="M22"/>
  <c r="O22" s="1"/>
  <c r="S22" s="1"/>
  <c r="T22" s="1"/>
  <c r="D22"/>
  <c r="M21"/>
  <c r="O21" s="1"/>
  <c r="S21" s="1"/>
  <c r="T21" s="1"/>
  <c r="Z21" s="1"/>
  <c r="AA21" s="1"/>
  <c r="D21"/>
  <c r="M20"/>
  <c r="K20" s="1"/>
  <c r="D20"/>
  <c r="U21" l="1"/>
  <c r="W21" s="1"/>
  <c r="X21"/>
  <c r="U91"/>
  <c r="W91" s="1"/>
  <c r="X91"/>
  <c r="U15"/>
  <c r="V15" s="1"/>
  <c r="X15"/>
  <c r="O90"/>
  <c r="S90" s="1"/>
  <c r="T90" s="1"/>
  <c r="X14"/>
  <c r="U14"/>
  <c r="X12"/>
  <c r="U12"/>
  <c r="X11"/>
  <c r="U11"/>
  <c r="X23"/>
  <c r="U23"/>
  <c r="X92"/>
  <c r="U92"/>
  <c r="X22"/>
  <c r="U22"/>
  <c r="O16"/>
  <c r="S16" s="1"/>
  <c r="T16" s="1"/>
  <c r="X16" s="1"/>
  <c r="K15"/>
  <c r="K14"/>
  <c r="K12"/>
  <c r="K11"/>
  <c r="K23"/>
  <c r="K92"/>
  <c r="K91"/>
  <c r="K22"/>
  <c r="K21"/>
  <c r="O20"/>
  <c r="S20" s="1"/>
  <c r="T20" s="1"/>
  <c r="V21" l="1"/>
  <c r="W15"/>
  <c r="V91"/>
  <c r="X20"/>
  <c r="Z20"/>
  <c r="AA20" s="1"/>
  <c r="U20"/>
  <c r="W20" s="1"/>
  <c r="U16"/>
  <c r="V16" s="1"/>
  <c r="U90"/>
  <c r="X90"/>
  <c r="W22"/>
  <c r="V22"/>
  <c r="W23"/>
  <c r="V23"/>
  <c r="V11"/>
  <c r="W11"/>
  <c r="W92"/>
  <c r="V92"/>
  <c r="W12"/>
  <c r="V12"/>
  <c r="W14"/>
  <c r="V14"/>
  <c r="W16" l="1"/>
  <c r="V20"/>
  <c r="W90"/>
  <c r="V90"/>
  <c r="N367" i="1"/>
  <c r="N363"/>
  <c r="N8" i="4" l="1"/>
  <c r="J8"/>
  <c r="N9"/>
  <c r="J9"/>
  <c r="N198" i="1" l="1"/>
  <c r="N199"/>
  <c r="N197"/>
  <c r="M69" i="4"/>
  <c r="O69" s="1"/>
  <c r="S69" s="1"/>
  <c r="T69" s="1"/>
  <c r="D69"/>
  <c r="M37"/>
  <c r="O37" s="1"/>
  <c r="S37" s="1"/>
  <c r="T37" s="1"/>
  <c r="D37"/>
  <c r="M36"/>
  <c r="O36" s="1"/>
  <c r="S36" s="1"/>
  <c r="T36" s="1"/>
  <c r="D36"/>
  <c r="M10"/>
  <c r="K10" s="1"/>
  <c r="D10"/>
  <c r="M39"/>
  <c r="O39" s="1"/>
  <c r="S39" s="1"/>
  <c r="T39" s="1"/>
  <c r="D39"/>
  <c r="M72"/>
  <c r="O72" s="1"/>
  <c r="S72" s="1"/>
  <c r="T72" s="1"/>
  <c r="D72"/>
  <c r="M71"/>
  <c r="O71" s="1"/>
  <c r="S71" s="1"/>
  <c r="T71" s="1"/>
  <c r="D71"/>
  <c r="M70"/>
  <c r="O70" s="1"/>
  <c r="S70" s="1"/>
  <c r="T70" s="1"/>
  <c r="D70"/>
  <c r="S45"/>
  <c r="T45" s="1"/>
  <c r="Z45" s="1"/>
  <c r="AA45" s="1"/>
  <c r="F45"/>
  <c r="D45"/>
  <c r="M27"/>
  <c r="O27" s="1"/>
  <c r="S27" s="1"/>
  <c r="T27" s="1"/>
  <c r="F27"/>
  <c r="D27"/>
  <c r="M13"/>
  <c r="K13" s="1"/>
  <c r="F13"/>
  <c r="D13"/>
  <c r="M67"/>
  <c r="K67" s="1"/>
  <c r="F67"/>
  <c r="D67"/>
  <c r="M5"/>
  <c r="O5" s="1"/>
  <c r="S5" s="1"/>
  <c r="T5" s="1"/>
  <c r="F5"/>
  <c r="D5"/>
  <c r="M93"/>
  <c r="K93" s="1"/>
  <c r="F93"/>
  <c r="D93"/>
  <c r="M44"/>
  <c r="O44" s="1"/>
  <c r="S44" s="1"/>
  <c r="T44" s="1"/>
  <c r="Z44" s="1"/>
  <c r="AA44" s="1"/>
  <c r="F44"/>
  <c r="D44"/>
  <c r="M26"/>
  <c r="K26" s="1"/>
  <c r="F26"/>
  <c r="D26"/>
  <c r="F43"/>
  <c r="D43"/>
  <c r="F46"/>
  <c r="D46"/>
  <c r="M66"/>
  <c r="O66" s="1"/>
  <c r="S66" s="1"/>
  <c r="T66" s="1"/>
  <c r="F66"/>
  <c r="D66"/>
  <c r="F42"/>
  <c r="D42"/>
  <c r="M4"/>
  <c r="K4" s="1"/>
  <c r="F4"/>
  <c r="D4"/>
  <c r="F19"/>
  <c r="D19"/>
  <c r="S59"/>
  <c r="T59" s="1"/>
  <c r="Z59" s="1"/>
  <c r="AA59" s="1"/>
  <c r="F59"/>
  <c r="D59"/>
  <c r="F58"/>
  <c r="D58"/>
  <c r="M89"/>
  <c r="K89" s="1"/>
  <c r="F89"/>
  <c r="D89"/>
  <c r="F18"/>
  <c r="D18"/>
  <c r="S7"/>
  <c r="T7" s="1"/>
  <c r="F7"/>
  <c r="D7"/>
  <c r="M28"/>
  <c r="K28" s="1"/>
  <c r="F28"/>
  <c r="D28"/>
  <c r="F57"/>
  <c r="D57"/>
  <c r="S56"/>
  <c r="T56" s="1"/>
  <c r="F56"/>
  <c r="D56"/>
  <c r="S55"/>
  <c r="T55" s="1"/>
  <c r="Z55" s="1"/>
  <c r="AA55" s="1"/>
  <c r="F55"/>
  <c r="D55"/>
  <c r="S82"/>
  <c r="T82" s="1"/>
  <c r="F82"/>
  <c r="D82"/>
  <c r="F81"/>
  <c r="D81"/>
  <c r="S80"/>
  <c r="T80" s="1"/>
  <c r="F80"/>
  <c r="D80"/>
  <c r="S79"/>
  <c r="T79" s="1"/>
  <c r="F79"/>
  <c r="D79"/>
  <c r="M95"/>
  <c r="F95"/>
  <c r="D95"/>
  <c r="F54"/>
  <c r="D54"/>
  <c r="F63"/>
  <c r="D63"/>
  <c r="S53"/>
  <c r="T53" s="1"/>
  <c r="Z53" s="1"/>
  <c r="AA53" s="1"/>
  <c r="F53"/>
  <c r="D53"/>
  <c r="M94"/>
  <c r="F94"/>
  <c r="D94"/>
  <c r="F31"/>
  <c r="D31"/>
  <c r="S52"/>
  <c r="T52" s="1"/>
  <c r="Z52" s="1"/>
  <c r="AA52" s="1"/>
  <c r="F52"/>
  <c r="D52"/>
  <c r="S51"/>
  <c r="T51" s="1"/>
  <c r="Z51" s="1"/>
  <c r="AA51" s="1"/>
  <c r="F51"/>
  <c r="D51"/>
  <c r="F78"/>
  <c r="D78"/>
  <c r="F50"/>
  <c r="D50"/>
  <c r="M17"/>
  <c r="F17"/>
  <c r="D17"/>
  <c r="S49"/>
  <c r="T49" s="1"/>
  <c r="Z49" s="1"/>
  <c r="AA49" s="1"/>
  <c r="F49"/>
  <c r="D49"/>
  <c r="S62"/>
  <c r="T62" s="1"/>
  <c r="Z62" s="1"/>
  <c r="AA62" s="1"/>
  <c r="F62"/>
  <c r="D62"/>
  <c r="F48"/>
  <c r="D48"/>
  <c r="S47"/>
  <c r="T47" s="1"/>
  <c r="Z47" s="1"/>
  <c r="AA47" s="1"/>
  <c r="F47"/>
  <c r="D47"/>
  <c r="M38"/>
  <c r="O38" s="1"/>
  <c r="S38" s="1"/>
  <c r="T38" s="1"/>
  <c r="F38"/>
  <c r="D38"/>
  <c r="M86"/>
  <c r="K86" s="1"/>
  <c r="F86"/>
  <c r="D86"/>
  <c r="M85"/>
  <c r="O85" s="1"/>
  <c r="S85" s="1"/>
  <c r="T85" s="1"/>
  <c r="F85"/>
  <c r="D85"/>
  <c r="M84"/>
  <c r="K84" s="1"/>
  <c r="F84"/>
  <c r="D84"/>
  <c r="F41"/>
  <c r="D41"/>
  <c r="M40"/>
  <c r="K40" s="1"/>
  <c r="F40"/>
  <c r="D40"/>
  <c r="F74"/>
  <c r="D74"/>
  <c r="M96"/>
  <c r="K96" s="1"/>
  <c r="F96"/>
  <c r="D96"/>
  <c r="M29"/>
  <c r="O29" s="1"/>
  <c r="S29" s="1"/>
  <c r="T29" s="1"/>
  <c r="Z29" s="1"/>
  <c r="AA29" s="1"/>
  <c r="F29"/>
  <c r="D29"/>
  <c r="M35"/>
  <c r="O35" s="1"/>
  <c r="S35" s="1"/>
  <c r="T35" s="1"/>
  <c r="Z35" s="1"/>
  <c r="AA35" s="1"/>
  <c r="F35"/>
  <c r="D35"/>
  <c r="M88"/>
  <c r="K88" s="1"/>
  <c r="F88"/>
  <c r="D88"/>
  <c r="F61"/>
  <c r="D61"/>
  <c r="M83"/>
  <c r="O83" s="1"/>
  <c r="S83" s="1"/>
  <c r="T83" s="1"/>
  <c r="F83"/>
  <c r="D83"/>
  <c r="F6"/>
  <c r="D6"/>
  <c r="M77"/>
  <c r="O77" s="1"/>
  <c r="S77" s="1"/>
  <c r="T77" s="1"/>
  <c r="Z77" s="1"/>
  <c r="AA77" s="1"/>
  <c r="F77"/>
  <c r="D77"/>
  <c r="M34"/>
  <c r="K34" s="1"/>
  <c r="F34"/>
  <c r="D34"/>
  <c r="M73"/>
  <c r="K73" s="1"/>
  <c r="F73"/>
  <c r="D73"/>
  <c r="M33"/>
  <c r="K33" s="1"/>
  <c r="F33"/>
  <c r="D33"/>
  <c r="M30"/>
  <c r="O30" s="1"/>
  <c r="S30" s="1"/>
  <c r="T30" s="1"/>
  <c r="F30"/>
  <c r="D30"/>
  <c r="M25"/>
  <c r="K25" s="1"/>
  <c r="F25"/>
  <c r="D25"/>
  <c r="F60"/>
  <c r="D60"/>
  <c r="M76"/>
  <c r="K76" s="1"/>
  <c r="F76"/>
  <c r="D76"/>
  <c r="M24"/>
  <c r="O24" s="1"/>
  <c r="S24" s="1"/>
  <c r="T24" s="1"/>
  <c r="Z24" s="1"/>
  <c r="AA24" s="1"/>
  <c r="F24"/>
  <c r="D24"/>
  <c r="M32"/>
  <c r="K32" s="1"/>
  <c r="F32"/>
  <c r="D32"/>
  <c r="M65"/>
  <c r="O65" s="1"/>
  <c r="S65" s="1"/>
  <c r="T65" s="1"/>
  <c r="Z65" s="1"/>
  <c r="AA65" s="1"/>
  <c r="F65"/>
  <c r="D65"/>
  <c r="M9"/>
  <c r="K9" s="1"/>
  <c r="F9"/>
  <c r="D9"/>
  <c r="M68"/>
  <c r="K68" s="1"/>
  <c r="F68"/>
  <c r="D68"/>
  <c r="M8"/>
  <c r="K8" s="1"/>
  <c r="F8"/>
  <c r="D8"/>
  <c r="M87"/>
  <c r="O87" s="1"/>
  <c r="S87" s="1"/>
  <c r="T87" s="1"/>
  <c r="Z87" s="1"/>
  <c r="AA87" s="1"/>
  <c r="F87"/>
  <c r="D87"/>
  <c r="M64"/>
  <c r="K64" s="1"/>
  <c r="F64"/>
  <c r="D64"/>
  <c r="M75"/>
  <c r="O75" s="1"/>
  <c r="S75" s="1"/>
  <c r="T75" s="1"/>
  <c r="Z75" s="1"/>
  <c r="AA75" s="1"/>
  <c r="F75"/>
  <c r="D75"/>
  <c r="O17" l="1"/>
  <c r="S17" s="1"/>
  <c r="T17" s="1"/>
  <c r="Z17" s="1"/>
  <c r="AA17" s="1"/>
  <c r="K17"/>
  <c r="S63"/>
  <c r="T63" s="1"/>
  <c r="X63" s="1"/>
  <c r="S78"/>
  <c r="T78" s="1"/>
  <c r="X78" s="1"/>
  <c r="O94"/>
  <c r="S94" s="1"/>
  <c r="T94" s="1"/>
  <c r="U94" s="1"/>
  <c r="K94"/>
  <c r="O95"/>
  <c r="S95" s="1"/>
  <c r="T95" s="1"/>
  <c r="X95" s="1"/>
  <c r="K95"/>
  <c r="U75"/>
  <c r="X75"/>
  <c r="U24"/>
  <c r="X24"/>
  <c r="U5"/>
  <c r="X5"/>
  <c r="U35"/>
  <c r="X35"/>
  <c r="U62"/>
  <c r="X62"/>
  <c r="U82"/>
  <c r="X82"/>
  <c r="X47"/>
  <c r="U47"/>
  <c r="X52"/>
  <c r="U52"/>
  <c r="U77"/>
  <c r="X77"/>
  <c r="U85"/>
  <c r="X85"/>
  <c r="U87"/>
  <c r="X87"/>
  <c r="U65"/>
  <c r="X65"/>
  <c r="U83"/>
  <c r="X83"/>
  <c r="U29"/>
  <c r="X29"/>
  <c r="U38"/>
  <c r="X38"/>
  <c r="U49"/>
  <c r="X49"/>
  <c r="U51"/>
  <c r="X51"/>
  <c r="U53"/>
  <c r="X53"/>
  <c r="U79"/>
  <c r="X79"/>
  <c r="U55"/>
  <c r="X55"/>
  <c r="U7"/>
  <c r="X7"/>
  <c r="U59"/>
  <c r="X59"/>
  <c r="U66"/>
  <c r="X66"/>
  <c r="U44"/>
  <c r="X44"/>
  <c r="U72"/>
  <c r="X72"/>
  <c r="X37"/>
  <c r="U37"/>
  <c r="X80"/>
  <c r="U80"/>
  <c r="X56"/>
  <c r="U56"/>
  <c r="U27"/>
  <c r="X27"/>
  <c r="U30"/>
  <c r="X30"/>
  <c r="U45"/>
  <c r="X45"/>
  <c r="U71"/>
  <c r="X71"/>
  <c r="U39"/>
  <c r="X39"/>
  <c r="U36"/>
  <c r="X36"/>
  <c r="U69"/>
  <c r="X69"/>
  <c r="O64"/>
  <c r="S64" s="1"/>
  <c r="T64" s="1"/>
  <c r="Z64" s="1"/>
  <c r="AA64" s="1"/>
  <c r="O34"/>
  <c r="S34" s="1"/>
  <c r="T34" s="1"/>
  <c r="X70"/>
  <c r="U70"/>
  <c r="K71"/>
  <c r="O33"/>
  <c r="S33" s="1"/>
  <c r="T33" s="1"/>
  <c r="O8"/>
  <c r="S8" s="1"/>
  <c r="T8" s="1"/>
  <c r="Z8" s="1"/>
  <c r="AA8" s="1"/>
  <c r="O76"/>
  <c r="S76" s="1"/>
  <c r="T76" s="1"/>
  <c r="Z76" s="1"/>
  <c r="AA76" s="1"/>
  <c r="S6"/>
  <c r="T6" s="1"/>
  <c r="O9"/>
  <c r="S9" s="1"/>
  <c r="T9" s="1"/>
  <c r="Z9" s="1"/>
  <c r="AA9" s="1"/>
  <c r="O25"/>
  <c r="S25" s="1"/>
  <c r="T25" s="1"/>
  <c r="Z25" s="1"/>
  <c r="AA25" s="1"/>
  <c r="S61"/>
  <c r="T61" s="1"/>
  <c r="Z61" s="1"/>
  <c r="AA61" s="1"/>
  <c r="O88"/>
  <c r="S88" s="1"/>
  <c r="T88" s="1"/>
  <c r="Z88" s="1"/>
  <c r="AA88" s="1"/>
  <c r="S41"/>
  <c r="T41" s="1"/>
  <c r="Z41" s="1"/>
  <c r="AA41" s="1"/>
  <c r="O84"/>
  <c r="S84" s="1"/>
  <c r="T84" s="1"/>
  <c r="K69"/>
  <c r="K37"/>
  <c r="K36"/>
  <c r="O10"/>
  <c r="S10" s="1"/>
  <c r="T10" s="1"/>
  <c r="K39"/>
  <c r="K72"/>
  <c r="K70"/>
  <c r="K29"/>
  <c r="O28"/>
  <c r="S28" s="1"/>
  <c r="T28" s="1"/>
  <c r="S18"/>
  <c r="T18" s="1"/>
  <c r="Z18" s="1"/>
  <c r="AA18" s="1"/>
  <c r="S58"/>
  <c r="T58" s="1"/>
  <c r="S19"/>
  <c r="T19" s="1"/>
  <c r="Z19" s="1"/>
  <c r="AA19" s="1"/>
  <c r="S42"/>
  <c r="T42" s="1"/>
  <c r="Z42" s="1"/>
  <c r="AA42" s="1"/>
  <c r="S46"/>
  <c r="T46" s="1"/>
  <c r="Z46" s="1"/>
  <c r="AA46" s="1"/>
  <c r="O26"/>
  <c r="S26" s="1"/>
  <c r="T26" s="1"/>
  <c r="O67"/>
  <c r="S67" s="1"/>
  <c r="T67" s="1"/>
  <c r="S74"/>
  <c r="T74" s="1"/>
  <c r="Z74" s="1"/>
  <c r="AA74" s="1"/>
  <c r="K27"/>
  <c r="K75"/>
  <c r="K87"/>
  <c r="O68"/>
  <c r="S68" s="1"/>
  <c r="T68" s="1"/>
  <c r="Z68" s="1"/>
  <c r="AA68" s="1"/>
  <c r="K65"/>
  <c r="O32"/>
  <c r="S32" s="1"/>
  <c r="T32" s="1"/>
  <c r="K24"/>
  <c r="S60"/>
  <c r="T60" s="1"/>
  <c r="K30"/>
  <c r="O73"/>
  <c r="S73" s="1"/>
  <c r="T73" s="1"/>
  <c r="K77"/>
  <c r="K83"/>
  <c r="K35"/>
  <c r="O96"/>
  <c r="S96" s="1"/>
  <c r="T96" s="1"/>
  <c r="O40"/>
  <c r="S40" s="1"/>
  <c r="T40" s="1"/>
  <c r="Z40" s="1"/>
  <c r="AA40" s="1"/>
  <c r="K85"/>
  <c r="O86"/>
  <c r="S86" s="1"/>
  <c r="T86" s="1"/>
  <c r="K38"/>
  <c r="S48"/>
  <c r="T48" s="1"/>
  <c r="Z48" s="1"/>
  <c r="AA48" s="1"/>
  <c r="S50"/>
  <c r="T50" s="1"/>
  <c r="Z50" s="1"/>
  <c r="AA50" s="1"/>
  <c r="S31"/>
  <c r="T31" s="1"/>
  <c r="S54"/>
  <c r="T54" s="1"/>
  <c r="S81"/>
  <c r="T81" s="1"/>
  <c r="S57"/>
  <c r="T57" s="1"/>
  <c r="O89"/>
  <c r="S89" s="1"/>
  <c r="T89" s="1"/>
  <c r="O4"/>
  <c r="S4" s="1"/>
  <c r="T4" s="1"/>
  <c r="Z4" s="1"/>
  <c r="AA4" s="1"/>
  <c r="K66"/>
  <c r="S43"/>
  <c r="T43" s="1"/>
  <c r="Z43" s="1"/>
  <c r="AA43" s="1"/>
  <c r="K44"/>
  <c r="O93"/>
  <c r="S93" s="1"/>
  <c r="T93" s="1"/>
  <c r="Z93" s="1"/>
  <c r="AA93" s="1"/>
  <c r="O13"/>
  <c r="S13" s="1"/>
  <c r="T13" s="1"/>
  <c r="N87" i="1"/>
  <c r="M87" s="1"/>
  <c r="N90"/>
  <c r="N372"/>
  <c r="N417"/>
  <c r="N200"/>
  <c r="M200" s="1"/>
  <c r="O200" s="1"/>
  <c r="S200" s="1"/>
  <c r="T200" s="1"/>
  <c r="Z200" s="1"/>
  <c r="AA200" s="1"/>
  <c r="N220"/>
  <c r="N218"/>
  <c r="M218" s="1"/>
  <c r="N249"/>
  <c r="M249" s="1"/>
  <c r="O249" s="1"/>
  <c r="S249" s="1"/>
  <c r="T249" s="1"/>
  <c r="N392"/>
  <c r="N282"/>
  <c r="N361"/>
  <c r="N354"/>
  <c r="N388"/>
  <c r="M388" s="1"/>
  <c r="O388" s="1"/>
  <c r="S388" s="1"/>
  <c r="T388" s="1"/>
  <c r="N164"/>
  <c r="M164" s="1"/>
  <c r="O164" s="1"/>
  <c r="S164" s="1"/>
  <c r="T164" s="1"/>
  <c r="N21"/>
  <c r="N18"/>
  <c r="M18" s="1"/>
  <c r="O18" s="1"/>
  <c r="S18" s="1"/>
  <c r="T18" s="1"/>
  <c r="N208"/>
  <c r="N98"/>
  <c r="M98" s="1"/>
  <c r="O98" s="1"/>
  <c r="S98" s="1"/>
  <c r="T98" s="1"/>
  <c r="N161"/>
  <c r="N162"/>
  <c r="N298"/>
  <c r="N216"/>
  <c r="N262"/>
  <c r="N356"/>
  <c r="N250"/>
  <c r="M250" s="1"/>
  <c r="N248"/>
  <c r="N379"/>
  <c r="N344"/>
  <c r="N334"/>
  <c r="N155"/>
  <c r="M155" s="1"/>
  <c r="O155" s="1"/>
  <c r="S155" s="1"/>
  <c r="T155" s="1"/>
  <c r="N375"/>
  <c r="N377"/>
  <c r="N376"/>
  <c r="M376" s="1"/>
  <c r="O376" s="1"/>
  <c r="S376" s="1"/>
  <c r="T376" s="1"/>
  <c r="M11"/>
  <c r="O11" s="1"/>
  <c r="S11" s="1"/>
  <c r="T11" s="1"/>
  <c r="Z11" s="1"/>
  <c r="AA11" s="1"/>
  <c r="M14"/>
  <c r="S14" s="1"/>
  <c r="T14" s="1"/>
  <c r="M21"/>
  <c r="O21" s="1"/>
  <c r="S21" s="1"/>
  <c r="T21" s="1"/>
  <c r="M22"/>
  <c r="O22" s="1"/>
  <c r="S22" s="1"/>
  <c r="T22" s="1"/>
  <c r="Z22" s="1"/>
  <c r="AA22" s="1"/>
  <c r="M23"/>
  <c r="O23" s="1"/>
  <c r="S23" s="1"/>
  <c r="T23" s="1"/>
  <c r="M24"/>
  <c r="O24" s="1"/>
  <c r="S24" s="1"/>
  <c r="T24" s="1"/>
  <c r="Z24" s="1"/>
  <c r="AA24" s="1"/>
  <c r="M25"/>
  <c r="O25" s="1"/>
  <c r="S25" s="1"/>
  <c r="T25" s="1"/>
  <c r="M27"/>
  <c r="O27" s="1"/>
  <c r="S27" s="1"/>
  <c r="T27" s="1"/>
  <c r="Z27" s="1"/>
  <c r="AA27" s="1"/>
  <c r="M29"/>
  <c r="O29" s="1"/>
  <c r="S29" s="1"/>
  <c r="T29" s="1"/>
  <c r="M30"/>
  <c r="O30" s="1"/>
  <c r="S30" s="1"/>
  <c r="T30" s="1"/>
  <c r="Z30" s="1"/>
  <c r="AA30" s="1"/>
  <c r="M31"/>
  <c r="O31" s="1"/>
  <c r="S31" s="1"/>
  <c r="T31" s="1"/>
  <c r="M33"/>
  <c r="O33" s="1"/>
  <c r="S33" s="1"/>
  <c r="T33" s="1"/>
  <c r="M34"/>
  <c r="O34" s="1"/>
  <c r="S34" s="1"/>
  <c r="T34" s="1"/>
  <c r="Z34" s="1"/>
  <c r="AA34" s="1"/>
  <c r="M36"/>
  <c r="O36" s="1"/>
  <c r="S36" s="1"/>
  <c r="T36" s="1"/>
  <c r="Z36" s="1"/>
  <c r="AA36" s="1"/>
  <c r="M38"/>
  <c r="O38" s="1"/>
  <c r="S38" s="1"/>
  <c r="T38" s="1"/>
  <c r="M39"/>
  <c r="O39" s="1"/>
  <c r="S39" s="1"/>
  <c r="T39" s="1"/>
  <c r="Z39" s="1"/>
  <c r="AA39" s="1"/>
  <c r="M41"/>
  <c r="S41" s="1"/>
  <c r="T41" s="1"/>
  <c r="Z41" s="1"/>
  <c r="AA41" s="1"/>
  <c r="M42"/>
  <c r="O42" s="1"/>
  <c r="S42" s="1"/>
  <c r="T42" s="1"/>
  <c r="M44"/>
  <c r="O44" s="1"/>
  <c r="S44" s="1"/>
  <c r="T44" s="1"/>
  <c r="M45"/>
  <c r="O45" s="1"/>
  <c r="S45" s="1"/>
  <c r="T45" s="1"/>
  <c r="Z45" s="1"/>
  <c r="AA45" s="1"/>
  <c r="M46"/>
  <c r="O46" s="1"/>
  <c r="S46" s="1"/>
  <c r="T46" s="1"/>
  <c r="M47"/>
  <c r="O47" s="1"/>
  <c r="S47" s="1"/>
  <c r="T47" s="1"/>
  <c r="Z47" s="1"/>
  <c r="AA47" s="1"/>
  <c r="M51"/>
  <c r="O51" s="1"/>
  <c r="S51" s="1"/>
  <c r="T51" s="1"/>
  <c r="Z51" s="1"/>
  <c r="AA51" s="1"/>
  <c r="M52"/>
  <c r="O52" s="1"/>
  <c r="S52" s="1"/>
  <c r="T52" s="1"/>
  <c r="M58"/>
  <c r="O58" s="1"/>
  <c r="S58" s="1"/>
  <c r="T58" s="1"/>
  <c r="Z58" s="1"/>
  <c r="AA58" s="1"/>
  <c r="M59"/>
  <c r="O59" s="1"/>
  <c r="S59" s="1"/>
  <c r="T59" s="1"/>
  <c r="Z59" s="1"/>
  <c r="AA59" s="1"/>
  <c r="M99"/>
  <c r="O99" s="1"/>
  <c r="S99" s="1"/>
  <c r="T99" s="1"/>
  <c r="M61"/>
  <c r="O61" s="1"/>
  <c r="S61" s="1"/>
  <c r="T61" s="1"/>
  <c r="Z61" s="1"/>
  <c r="AA61" s="1"/>
  <c r="M63"/>
  <c r="O63" s="1"/>
  <c r="S63" s="1"/>
  <c r="T63" s="1"/>
  <c r="Z63" s="1"/>
  <c r="AA63" s="1"/>
  <c r="M65"/>
  <c r="O65" s="1"/>
  <c r="S65" s="1"/>
  <c r="T65" s="1"/>
  <c r="Z65" s="1"/>
  <c r="AA65" s="1"/>
  <c r="M67"/>
  <c r="O67" s="1"/>
  <c r="S67" s="1"/>
  <c r="T67" s="1"/>
  <c r="Z67" s="1"/>
  <c r="AA67" s="1"/>
  <c r="M69"/>
  <c r="O69" s="1"/>
  <c r="S69" s="1"/>
  <c r="T69" s="1"/>
  <c r="Z69" s="1"/>
  <c r="AA69" s="1"/>
  <c r="M71"/>
  <c r="O71" s="1"/>
  <c r="S71" s="1"/>
  <c r="T71" s="1"/>
  <c r="M72"/>
  <c r="O72" s="1"/>
  <c r="S72" s="1"/>
  <c r="T72" s="1"/>
  <c r="Z72" s="1"/>
  <c r="AA72" s="1"/>
  <c r="M74"/>
  <c r="O74" s="1"/>
  <c r="S74" s="1"/>
  <c r="T74" s="1"/>
  <c r="Z74" s="1"/>
  <c r="AA74" s="1"/>
  <c r="M76"/>
  <c r="O76" s="1"/>
  <c r="S76" s="1"/>
  <c r="T76" s="1"/>
  <c r="Z76" s="1"/>
  <c r="AA76" s="1"/>
  <c r="M78"/>
  <c r="O78" s="1"/>
  <c r="S78" s="1"/>
  <c r="T78" s="1"/>
  <c r="Z78" s="1"/>
  <c r="AA78" s="1"/>
  <c r="M80"/>
  <c r="O80" s="1"/>
  <c r="S80" s="1"/>
  <c r="T80" s="1"/>
  <c r="M83"/>
  <c r="O83" s="1"/>
  <c r="S83" s="1"/>
  <c r="T83" s="1"/>
  <c r="M84"/>
  <c r="O84" s="1"/>
  <c r="S84" s="1"/>
  <c r="T84" s="1"/>
  <c r="Z84" s="1"/>
  <c r="AA84" s="1"/>
  <c r="M88"/>
  <c r="O88" s="1"/>
  <c r="S88" s="1"/>
  <c r="T88" s="1"/>
  <c r="Z88" s="1"/>
  <c r="AA88" s="1"/>
  <c r="M90"/>
  <c r="O90" s="1"/>
  <c r="S90" s="1"/>
  <c r="T90" s="1"/>
  <c r="Z90" s="1"/>
  <c r="AA90" s="1"/>
  <c r="M92"/>
  <c r="O92" s="1"/>
  <c r="S92" s="1"/>
  <c r="T92" s="1"/>
  <c r="Z92" s="1"/>
  <c r="AA92" s="1"/>
  <c r="M93"/>
  <c r="O93" s="1"/>
  <c r="S93" s="1"/>
  <c r="T93" s="1"/>
  <c r="M94"/>
  <c r="O94" s="1"/>
  <c r="S94" s="1"/>
  <c r="T94" s="1"/>
  <c r="Z94" s="1"/>
  <c r="AA94" s="1"/>
  <c r="M95"/>
  <c r="O95" s="1"/>
  <c r="S95" s="1"/>
  <c r="T95" s="1"/>
  <c r="M96"/>
  <c r="O96" s="1"/>
  <c r="S96" s="1"/>
  <c r="T96" s="1"/>
  <c r="M125"/>
  <c r="O125" s="1"/>
  <c r="S125" s="1"/>
  <c r="T125" s="1"/>
  <c r="M100"/>
  <c r="O100" s="1"/>
  <c r="S100" s="1"/>
  <c r="T100" s="1"/>
  <c r="Z100" s="1"/>
  <c r="AA100" s="1"/>
  <c r="M103"/>
  <c r="O103" s="1"/>
  <c r="S103" s="1"/>
  <c r="T103" s="1"/>
  <c r="M105"/>
  <c r="O105" s="1"/>
  <c r="S105" s="1"/>
  <c r="T105" s="1"/>
  <c r="Z105" s="1"/>
  <c r="AA105" s="1"/>
  <c r="M106"/>
  <c r="O106" s="1"/>
  <c r="S106" s="1"/>
  <c r="T106" s="1"/>
  <c r="M107"/>
  <c r="O107" s="1"/>
  <c r="S107" s="1"/>
  <c r="T107" s="1"/>
  <c r="Z107" s="1"/>
  <c r="AA107" s="1"/>
  <c r="S108"/>
  <c r="T108" s="1"/>
  <c r="M111"/>
  <c r="O111" s="1"/>
  <c r="S111" s="1"/>
  <c r="T111" s="1"/>
  <c r="Z111" s="1"/>
  <c r="AA111" s="1"/>
  <c r="M113"/>
  <c r="O113" s="1"/>
  <c r="S113" s="1"/>
  <c r="T113" s="1"/>
  <c r="M115"/>
  <c r="O115" s="1"/>
  <c r="S115" s="1"/>
  <c r="T115" s="1"/>
  <c r="M117"/>
  <c r="O117" s="1"/>
  <c r="S117" s="1"/>
  <c r="T117" s="1"/>
  <c r="M120"/>
  <c r="O120" s="1"/>
  <c r="S120" s="1"/>
  <c r="T120" s="1"/>
  <c r="M121"/>
  <c r="O121" s="1"/>
  <c r="S121" s="1"/>
  <c r="T121" s="1"/>
  <c r="M126"/>
  <c r="O126" s="1"/>
  <c r="S126" s="1"/>
  <c r="T126" s="1"/>
  <c r="M128"/>
  <c r="O128" s="1"/>
  <c r="S128" s="1"/>
  <c r="T128" s="1"/>
  <c r="M129"/>
  <c r="O129" s="1"/>
  <c r="S129" s="1"/>
  <c r="T129" s="1"/>
  <c r="M131"/>
  <c r="O131" s="1"/>
  <c r="S131" s="1"/>
  <c r="T131" s="1"/>
  <c r="M132"/>
  <c r="O132" s="1"/>
  <c r="S132" s="1"/>
  <c r="T132" s="1"/>
  <c r="M133"/>
  <c r="O133" s="1"/>
  <c r="S133" s="1"/>
  <c r="T133" s="1"/>
  <c r="Z133" s="1"/>
  <c r="AA133" s="1"/>
  <c r="M134"/>
  <c r="O134" s="1"/>
  <c r="S134" s="1"/>
  <c r="T134" s="1"/>
  <c r="Z134" s="1"/>
  <c r="AA134" s="1"/>
  <c r="M142"/>
  <c r="O142" s="1"/>
  <c r="S142" s="1"/>
  <c r="T142" s="1"/>
  <c r="M146"/>
  <c r="O146" s="1"/>
  <c r="S146" s="1"/>
  <c r="T146" s="1"/>
  <c r="Z146" s="1"/>
  <c r="AA146" s="1"/>
  <c r="M148"/>
  <c r="O148" s="1"/>
  <c r="S148" s="1"/>
  <c r="T148" s="1"/>
  <c r="Z148" s="1"/>
  <c r="AA148" s="1"/>
  <c r="M150"/>
  <c r="O150" s="1"/>
  <c r="S150" s="1"/>
  <c r="T150" s="1"/>
  <c r="Z150" s="1"/>
  <c r="AA150" s="1"/>
  <c r="M156"/>
  <c r="O156" s="1"/>
  <c r="S156" s="1"/>
  <c r="T156" s="1"/>
  <c r="M158"/>
  <c r="O158" s="1"/>
  <c r="S158" s="1"/>
  <c r="T158" s="1"/>
  <c r="Z158" s="1"/>
  <c r="AA158" s="1"/>
  <c r="M160"/>
  <c r="O160" s="1"/>
  <c r="S160" s="1"/>
  <c r="T160" s="1"/>
  <c r="Z160" s="1"/>
  <c r="AA160" s="1"/>
  <c r="M161"/>
  <c r="O161" s="1"/>
  <c r="S161" s="1"/>
  <c r="T161" s="1"/>
  <c r="M162"/>
  <c r="O162" s="1"/>
  <c r="S162" s="1"/>
  <c r="T162" s="1"/>
  <c r="M165"/>
  <c r="O165" s="1"/>
  <c r="S165" s="1"/>
  <c r="T165" s="1"/>
  <c r="M167"/>
  <c r="O167" s="1"/>
  <c r="S167" s="1"/>
  <c r="T167" s="1"/>
  <c r="M168"/>
  <c r="O168" s="1"/>
  <c r="S168" s="1"/>
  <c r="T168" s="1"/>
  <c r="Z168" s="1"/>
  <c r="AA168" s="1"/>
  <c r="M170"/>
  <c r="O170" s="1"/>
  <c r="S170" s="1"/>
  <c r="T170" s="1"/>
  <c r="Z170" s="1"/>
  <c r="AA170" s="1"/>
  <c r="M172"/>
  <c r="O172" s="1"/>
  <c r="S172" s="1"/>
  <c r="T172" s="1"/>
  <c r="Z172" s="1"/>
  <c r="AA172" s="1"/>
  <c r="M173"/>
  <c r="O173" s="1"/>
  <c r="S173" s="1"/>
  <c r="T173" s="1"/>
  <c r="M174"/>
  <c r="O174" s="1"/>
  <c r="S174" s="1"/>
  <c r="T174" s="1"/>
  <c r="Z174" s="1"/>
  <c r="AA174" s="1"/>
  <c r="M176"/>
  <c r="O176" s="1"/>
  <c r="S176" s="1"/>
  <c r="T176" s="1"/>
  <c r="Z176" s="1"/>
  <c r="AA176" s="1"/>
  <c r="M177"/>
  <c r="O177" s="1"/>
  <c r="S177" s="1"/>
  <c r="T177" s="1"/>
  <c r="M178"/>
  <c r="O178" s="1"/>
  <c r="S178" s="1"/>
  <c r="T178" s="1"/>
  <c r="Z178" s="1"/>
  <c r="AA178" s="1"/>
  <c r="M184"/>
  <c r="O184" s="1"/>
  <c r="S184" s="1"/>
  <c r="T184" s="1"/>
  <c r="Z184" s="1"/>
  <c r="AA184" s="1"/>
  <c r="M189"/>
  <c r="O189" s="1"/>
  <c r="S189" s="1"/>
  <c r="T189" s="1"/>
  <c r="M194"/>
  <c r="O194" s="1"/>
  <c r="S194" s="1"/>
  <c r="T194" s="1"/>
  <c r="Z194" s="1"/>
  <c r="AA194" s="1"/>
  <c r="M195"/>
  <c r="O195" s="1"/>
  <c r="S195" s="1"/>
  <c r="T195" s="1"/>
  <c r="Z195" s="1"/>
  <c r="AA195" s="1"/>
  <c r="M196"/>
  <c r="O196" s="1"/>
  <c r="S196" s="1"/>
  <c r="T196" s="1"/>
  <c r="Z196" s="1"/>
  <c r="AA196" s="1"/>
  <c r="M197"/>
  <c r="O197" s="1"/>
  <c r="S197" s="1"/>
  <c r="T197" s="1"/>
  <c r="M198"/>
  <c r="O198" s="1"/>
  <c r="S198" s="1"/>
  <c r="T198" s="1"/>
  <c r="Z198" s="1"/>
  <c r="AA198" s="1"/>
  <c r="M199"/>
  <c r="O199" s="1"/>
  <c r="S199" s="1"/>
  <c r="T199" s="1"/>
  <c r="M202"/>
  <c r="O202" s="1"/>
  <c r="S202" s="1"/>
  <c r="T202" s="1"/>
  <c r="Z202" s="1"/>
  <c r="AA202" s="1"/>
  <c r="M203"/>
  <c r="O203" s="1"/>
  <c r="S203" s="1"/>
  <c r="T203" s="1"/>
  <c r="M204"/>
  <c r="O204" s="1"/>
  <c r="S204" s="1"/>
  <c r="T204" s="1"/>
  <c r="M205"/>
  <c r="O205" s="1"/>
  <c r="S205" s="1"/>
  <c r="T205" s="1"/>
  <c r="M207"/>
  <c r="O207" s="1"/>
  <c r="S207" s="1"/>
  <c r="T207" s="1"/>
  <c r="M208"/>
  <c r="O208" s="1"/>
  <c r="S208" s="1"/>
  <c r="T208" s="1"/>
  <c r="M209"/>
  <c r="O209" s="1"/>
  <c r="S209" s="1"/>
  <c r="T209" s="1"/>
  <c r="M212"/>
  <c r="O212" s="1"/>
  <c r="S212" s="1"/>
  <c r="T212" s="1"/>
  <c r="M213"/>
  <c r="O213" s="1"/>
  <c r="S213" s="1"/>
  <c r="T213" s="1"/>
  <c r="Z213" s="1"/>
  <c r="AA213" s="1"/>
  <c r="M216"/>
  <c r="O216" s="1"/>
  <c r="S216" s="1"/>
  <c r="T216" s="1"/>
  <c r="M217"/>
  <c r="O217" s="1"/>
  <c r="S217" s="1"/>
  <c r="T217" s="1"/>
  <c r="M219"/>
  <c r="O219" s="1"/>
  <c r="S219" s="1"/>
  <c r="T219" s="1"/>
  <c r="M220"/>
  <c r="O220" s="1"/>
  <c r="S220" s="1"/>
  <c r="T220" s="1"/>
  <c r="M221"/>
  <c r="O221" s="1"/>
  <c r="S221" s="1"/>
  <c r="T221" s="1"/>
  <c r="M223"/>
  <c r="O223" s="1"/>
  <c r="S223" s="1"/>
  <c r="T223" s="1"/>
  <c r="Z223" s="1"/>
  <c r="AA223" s="1"/>
  <c r="M227"/>
  <c r="O227" s="1"/>
  <c r="S227" s="1"/>
  <c r="T227" s="1"/>
  <c r="Z227" s="1"/>
  <c r="AA227" s="1"/>
  <c r="M229"/>
  <c r="O229" s="1"/>
  <c r="S229" s="1"/>
  <c r="T229" s="1"/>
  <c r="Z229" s="1"/>
  <c r="AA229" s="1"/>
  <c r="M231"/>
  <c r="O231" s="1"/>
  <c r="S231" s="1"/>
  <c r="T231" s="1"/>
  <c r="M233"/>
  <c r="O233" s="1"/>
  <c r="S233" s="1"/>
  <c r="T233" s="1"/>
  <c r="M234"/>
  <c r="O234" s="1"/>
  <c r="S234" s="1"/>
  <c r="T234" s="1"/>
  <c r="M235"/>
  <c r="O235" s="1"/>
  <c r="S235" s="1"/>
  <c r="T235" s="1"/>
  <c r="M236"/>
  <c r="O236" s="1"/>
  <c r="S236" s="1"/>
  <c r="T236" s="1"/>
  <c r="M237"/>
  <c r="O237" s="1"/>
  <c r="S237" s="1"/>
  <c r="T237" s="1"/>
  <c r="M238"/>
  <c r="O238" s="1"/>
  <c r="S238" s="1"/>
  <c r="T238" s="1"/>
  <c r="M240"/>
  <c r="O240" s="1"/>
  <c r="S240" s="1"/>
  <c r="T240" s="1"/>
  <c r="Z240" s="1"/>
  <c r="AA240" s="1"/>
  <c r="M241"/>
  <c r="O241" s="1"/>
  <c r="S241" s="1"/>
  <c r="T241" s="1"/>
  <c r="M243"/>
  <c r="O243" s="1"/>
  <c r="S243" s="1"/>
  <c r="T243" s="1"/>
  <c r="M244"/>
  <c r="O244" s="1"/>
  <c r="S244" s="1"/>
  <c r="T244" s="1"/>
  <c r="M248"/>
  <c r="O248" s="1"/>
  <c r="S248" s="1"/>
  <c r="T248" s="1"/>
  <c r="Z248" s="1"/>
  <c r="AA248" s="1"/>
  <c r="M252"/>
  <c r="O252" s="1"/>
  <c r="S252" s="1"/>
  <c r="T252" s="1"/>
  <c r="Z252" s="1"/>
  <c r="AA252" s="1"/>
  <c r="M254"/>
  <c r="O254" s="1"/>
  <c r="S254" s="1"/>
  <c r="T254" s="1"/>
  <c r="Z254" s="1"/>
  <c r="AA254" s="1"/>
  <c r="M255"/>
  <c r="O255" s="1"/>
  <c r="S255" s="1"/>
  <c r="T255" s="1"/>
  <c r="M256"/>
  <c r="O256" s="1"/>
  <c r="S256" s="1"/>
  <c r="T256" s="1"/>
  <c r="M258"/>
  <c r="O258" s="1"/>
  <c r="S258" s="1"/>
  <c r="T258" s="1"/>
  <c r="Z258" s="1"/>
  <c r="AA258" s="1"/>
  <c r="M259"/>
  <c r="O259" s="1"/>
  <c r="S259" s="1"/>
  <c r="T259" s="1"/>
  <c r="Z259" s="1"/>
  <c r="AA259" s="1"/>
  <c r="M262"/>
  <c r="O262" s="1"/>
  <c r="S262" s="1"/>
  <c r="T262" s="1"/>
  <c r="M264"/>
  <c r="O264" s="1"/>
  <c r="S264" s="1"/>
  <c r="T264" s="1"/>
  <c r="Z264" s="1"/>
  <c r="AA264" s="1"/>
  <c r="M266"/>
  <c r="O266" s="1"/>
  <c r="S266" s="1"/>
  <c r="T266" s="1"/>
  <c r="Z266" s="1"/>
  <c r="AA266" s="1"/>
  <c r="M268"/>
  <c r="O268" s="1"/>
  <c r="S268" s="1"/>
  <c r="T268" s="1"/>
  <c r="M271"/>
  <c r="O271" s="1"/>
  <c r="S271" s="1"/>
  <c r="T271" s="1"/>
  <c r="M275"/>
  <c r="O275" s="1"/>
  <c r="S275" s="1"/>
  <c r="T275" s="1"/>
  <c r="Z275" s="1"/>
  <c r="AA275" s="1"/>
  <c r="M277"/>
  <c r="O277" s="1"/>
  <c r="S277" s="1"/>
  <c r="T277" s="1"/>
  <c r="Z277" s="1"/>
  <c r="AA277" s="1"/>
  <c r="M279"/>
  <c r="O279" s="1"/>
  <c r="S279" s="1"/>
  <c r="T279" s="1"/>
  <c r="Z279" s="1"/>
  <c r="AA279" s="1"/>
  <c r="M282"/>
  <c r="O282" s="1"/>
  <c r="S282" s="1"/>
  <c r="T282" s="1"/>
  <c r="Z282" s="1"/>
  <c r="AA282" s="1"/>
  <c r="M284"/>
  <c r="O284" s="1"/>
  <c r="S284" s="1"/>
  <c r="T284" s="1"/>
  <c r="M286"/>
  <c r="O286" s="1"/>
  <c r="S286" s="1"/>
  <c r="T286" s="1"/>
  <c r="M287"/>
  <c r="O287" s="1"/>
  <c r="S287" s="1"/>
  <c r="T287" s="1"/>
  <c r="M291"/>
  <c r="O291" s="1"/>
  <c r="S291" s="1"/>
  <c r="T291" s="1"/>
  <c r="Z291" s="1"/>
  <c r="AA291" s="1"/>
  <c r="M292"/>
  <c r="O292" s="1"/>
  <c r="S292" s="1"/>
  <c r="T292" s="1"/>
  <c r="M297"/>
  <c r="O297" s="1"/>
  <c r="S297" s="1"/>
  <c r="T297" s="1"/>
  <c r="M298"/>
  <c r="O298" s="1"/>
  <c r="S298" s="1"/>
  <c r="T298" s="1"/>
  <c r="M301"/>
  <c r="O301" s="1"/>
  <c r="S301" s="1"/>
  <c r="T301" s="1"/>
  <c r="Z301" s="1"/>
  <c r="AA301" s="1"/>
  <c r="M302"/>
  <c r="O302" s="1"/>
  <c r="S302" s="1"/>
  <c r="T302" s="1"/>
  <c r="Z302" s="1"/>
  <c r="AA302" s="1"/>
  <c r="M303"/>
  <c r="O303" s="1"/>
  <c r="S303" s="1"/>
  <c r="T303" s="1"/>
  <c r="M304"/>
  <c r="O304" s="1"/>
  <c r="S304" s="1"/>
  <c r="T304" s="1"/>
  <c r="Z304" s="1"/>
  <c r="AA304" s="1"/>
  <c r="M305"/>
  <c r="O305" s="1"/>
  <c r="S305" s="1"/>
  <c r="T305" s="1"/>
  <c r="M306"/>
  <c r="O306" s="1"/>
  <c r="S306" s="1"/>
  <c r="T306" s="1"/>
  <c r="Z306" s="1"/>
  <c r="AA306" s="1"/>
  <c r="M307"/>
  <c r="O307" s="1"/>
  <c r="S307" s="1"/>
  <c r="T307" s="1"/>
  <c r="M308"/>
  <c r="O308" s="1"/>
  <c r="S308" s="1"/>
  <c r="T308" s="1"/>
  <c r="M311"/>
  <c r="O311" s="1"/>
  <c r="S311" s="1"/>
  <c r="T311" s="1"/>
  <c r="Z311" s="1"/>
  <c r="AA311" s="1"/>
  <c r="M313"/>
  <c r="O313" s="1"/>
  <c r="S313" s="1"/>
  <c r="T313" s="1"/>
  <c r="Z313" s="1"/>
  <c r="AA313" s="1"/>
  <c r="M314"/>
  <c r="O314" s="1"/>
  <c r="S314" s="1"/>
  <c r="T314" s="1"/>
  <c r="M315"/>
  <c r="O315" s="1"/>
  <c r="S315" s="1"/>
  <c r="T315" s="1"/>
  <c r="Z315" s="1"/>
  <c r="AA315" s="1"/>
  <c r="M324"/>
  <c r="O324" s="1"/>
  <c r="S324" s="1"/>
  <c r="T324" s="1"/>
  <c r="Z324" s="1"/>
  <c r="AA324" s="1"/>
  <c r="M325"/>
  <c r="O325" s="1"/>
  <c r="S325" s="1"/>
  <c r="T325" s="1"/>
  <c r="M328"/>
  <c r="O328" s="1"/>
  <c r="S328" s="1"/>
  <c r="T328" s="1"/>
  <c r="M330"/>
  <c r="O330" s="1"/>
  <c r="S330" s="1"/>
  <c r="T330" s="1"/>
  <c r="Z330" s="1"/>
  <c r="AA330" s="1"/>
  <c r="M333"/>
  <c r="O333" s="1"/>
  <c r="S333" s="1"/>
  <c r="T333" s="1"/>
  <c r="Z333" s="1"/>
  <c r="AA333" s="1"/>
  <c r="M334"/>
  <c r="O334" s="1"/>
  <c r="S334" s="1"/>
  <c r="T334" s="1"/>
  <c r="M344"/>
  <c r="O344" s="1"/>
  <c r="S344" s="1"/>
  <c r="T344" s="1"/>
  <c r="Z344" s="1"/>
  <c r="AA344" s="1"/>
  <c r="M349"/>
  <c r="O349" s="1"/>
  <c r="S349" s="1"/>
  <c r="T349" s="1"/>
  <c r="M353"/>
  <c r="O353" s="1"/>
  <c r="S353" s="1"/>
  <c r="T353" s="1"/>
  <c r="M354"/>
  <c r="O354" s="1"/>
  <c r="S354" s="1"/>
  <c r="T354" s="1"/>
  <c r="M356"/>
  <c r="O356" s="1"/>
  <c r="S356" s="1"/>
  <c r="T356" s="1"/>
  <c r="M359"/>
  <c r="O359" s="1"/>
  <c r="S359" s="1"/>
  <c r="T359" s="1"/>
  <c r="Z359" s="1"/>
  <c r="AA359" s="1"/>
  <c r="M361"/>
  <c r="O361" s="1"/>
  <c r="S361" s="1"/>
  <c r="T361" s="1"/>
  <c r="Z361" s="1"/>
  <c r="AA361" s="1"/>
  <c r="M362"/>
  <c r="O362" s="1"/>
  <c r="S362" s="1"/>
  <c r="T362" s="1"/>
  <c r="M363"/>
  <c r="O363" s="1"/>
  <c r="S363" s="1"/>
  <c r="T363" s="1"/>
  <c r="M365"/>
  <c r="O365" s="1"/>
  <c r="S365" s="1"/>
  <c r="T365" s="1"/>
  <c r="M367"/>
  <c r="O367" s="1"/>
  <c r="S367" s="1"/>
  <c r="T367" s="1"/>
  <c r="M368"/>
  <c r="O368" s="1"/>
  <c r="S368" s="1"/>
  <c r="T368" s="1"/>
  <c r="M370"/>
  <c r="O370" s="1"/>
  <c r="S370" s="1"/>
  <c r="T370" s="1"/>
  <c r="Z370" s="1"/>
  <c r="AA370" s="1"/>
  <c r="M372"/>
  <c r="O372" s="1"/>
  <c r="S372" s="1"/>
  <c r="T372" s="1"/>
  <c r="M373"/>
  <c r="O373" s="1"/>
  <c r="S373" s="1"/>
  <c r="T373" s="1"/>
  <c r="M375"/>
  <c r="O375" s="1"/>
  <c r="S375" s="1"/>
  <c r="T375" s="1"/>
  <c r="Z375" s="1"/>
  <c r="AA375" s="1"/>
  <c r="M377"/>
  <c r="O377" s="1"/>
  <c r="S377" s="1"/>
  <c r="T377" s="1"/>
  <c r="Z377" s="1"/>
  <c r="AA377" s="1"/>
  <c r="M379"/>
  <c r="O379" s="1"/>
  <c r="S379" s="1"/>
  <c r="T379" s="1"/>
  <c r="Z379" s="1"/>
  <c r="AA379" s="1"/>
  <c r="M382"/>
  <c r="O382" s="1"/>
  <c r="S382" s="1"/>
  <c r="T382" s="1"/>
  <c r="M383"/>
  <c r="O383" s="1"/>
  <c r="S383" s="1"/>
  <c r="T383" s="1"/>
  <c r="M384"/>
  <c r="O384" s="1"/>
  <c r="S384" s="1"/>
  <c r="T384" s="1"/>
  <c r="M385"/>
  <c r="O385" s="1"/>
  <c r="S385" s="1"/>
  <c r="T385" s="1"/>
  <c r="M387"/>
  <c r="O387" s="1"/>
  <c r="S387" s="1"/>
  <c r="T387" s="1"/>
  <c r="Z387" s="1"/>
  <c r="AA387" s="1"/>
  <c r="M391"/>
  <c r="O391" s="1"/>
  <c r="S391" s="1"/>
  <c r="T391" s="1"/>
  <c r="Z391" s="1"/>
  <c r="AA391" s="1"/>
  <c r="M392"/>
  <c r="O392" s="1"/>
  <c r="S392" s="1"/>
  <c r="T392" s="1"/>
  <c r="M393"/>
  <c r="O393" s="1"/>
  <c r="S393" s="1"/>
  <c r="T393" s="1"/>
  <c r="M395"/>
  <c r="O395" s="1"/>
  <c r="S395" s="1"/>
  <c r="T395" s="1"/>
  <c r="M396"/>
  <c r="M404"/>
  <c r="O404" s="1"/>
  <c r="S404" s="1"/>
  <c r="T404" s="1"/>
  <c r="Z404" s="1"/>
  <c r="AA404" s="1"/>
  <c r="M405"/>
  <c r="M406"/>
  <c r="O406" s="1"/>
  <c r="S406" s="1"/>
  <c r="T406" s="1"/>
  <c r="Z406" s="1"/>
  <c r="AA406" s="1"/>
  <c r="M408"/>
  <c r="O408" s="1"/>
  <c r="S408" s="1"/>
  <c r="T408" s="1"/>
  <c r="M409"/>
  <c r="O409" s="1"/>
  <c r="S409" s="1"/>
  <c r="T409" s="1"/>
  <c r="Z409" s="1"/>
  <c r="AA409" s="1"/>
  <c r="M412"/>
  <c r="O412" s="1"/>
  <c r="S412" s="1"/>
  <c r="T412" s="1"/>
  <c r="Z412" s="1"/>
  <c r="AA412" s="1"/>
  <c r="M415"/>
  <c r="O415" s="1"/>
  <c r="S415" s="1"/>
  <c r="T415" s="1"/>
  <c r="M417"/>
  <c r="O417" s="1"/>
  <c r="S417" s="1"/>
  <c r="T417" s="1"/>
  <c r="M418"/>
  <c r="O418" s="1"/>
  <c r="S418" s="1"/>
  <c r="T418" s="1"/>
  <c r="Z418" s="1"/>
  <c r="AA418" s="1"/>
  <c r="M419"/>
  <c r="O419" s="1"/>
  <c r="S419" s="1"/>
  <c r="T419" s="1"/>
  <c r="Z419" s="1"/>
  <c r="AA419" s="1"/>
  <c r="M421"/>
  <c r="O421" s="1"/>
  <c r="S421" s="1"/>
  <c r="T421" s="1"/>
  <c r="Z421" s="1"/>
  <c r="AA421" s="1"/>
  <c r="K29"/>
  <c r="K78"/>
  <c r="K106"/>
  <c r="K249"/>
  <c r="N352"/>
  <c r="M352" s="1"/>
  <c r="D278"/>
  <c r="D46"/>
  <c r="F6"/>
  <c r="F7"/>
  <c r="F8"/>
  <c r="F9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9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25"/>
  <c r="F18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98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99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25"/>
  <c r="D18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98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S327" s="1"/>
  <c r="T327" s="1"/>
  <c r="N201"/>
  <c r="M201" s="1"/>
  <c r="O201" s="1"/>
  <c r="S201" s="1"/>
  <c r="T201" s="1"/>
  <c r="N206"/>
  <c r="M206" s="1"/>
  <c r="O206" s="1"/>
  <c r="S206" s="1"/>
  <c r="T206" s="1"/>
  <c r="N210"/>
  <c r="M210" s="1"/>
  <c r="N211"/>
  <c r="M211" s="1"/>
  <c r="O211" s="1"/>
  <c r="S211" s="1"/>
  <c r="T211" s="1"/>
  <c r="N214"/>
  <c r="M214" s="1"/>
  <c r="N215"/>
  <c r="M215" s="1"/>
  <c r="O215" s="1"/>
  <c r="S215" s="1"/>
  <c r="T215" s="1"/>
  <c r="N77"/>
  <c r="M77" s="1"/>
  <c r="N319"/>
  <c r="M319" s="1"/>
  <c r="O319" s="1"/>
  <c r="S319" s="1"/>
  <c r="T319" s="1"/>
  <c r="N114"/>
  <c r="M114" s="1"/>
  <c r="N153"/>
  <c r="M153" s="1"/>
  <c r="O153" s="1"/>
  <c r="S153" s="1"/>
  <c r="T153" s="1"/>
  <c r="Z153" s="1"/>
  <c r="AA153" s="1"/>
  <c r="N159"/>
  <c r="M159" s="1"/>
  <c r="O159" s="1"/>
  <c r="S159" s="1"/>
  <c r="T159" s="1"/>
  <c r="N10"/>
  <c r="M10" s="1"/>
  <c r="O10" s="1"/>
  <c r="S10" s="1"/>
  <c r="T10" s="1"/>
  <c r="N8"/>
  <c r="M8" s="1"/>
  <c r="N13"/>
  <c r="M13" s="1"/>
  <c r="N272"/>
  <c r="M272" s="1"/>
  <c r="N294"/>
  <c r="M294" s="1"/>
  <c r="N281"/>
  <c r="M281" s="1"/>
  <c r="O281" s="1"/>
  <c r="S281" s="1"/>
  <c r="T281" s="1"/>
  <c r="N190"/>
  <c r="M190" s="1"/>
  <c r="N141"/>
  <c r="M141" s="1"/>
  <c r="O141" s="1"/>
  <c r="S141" s="1"/>
  <c r="T141" s="1"/>
  <c r="Z141" s="1"/>
  <c r="AA141" s="1"/>
  <c r="N15"/>
  <c r="M15" s="1"/>
  <c r="N73"/>
  <c r="M73" s="1"/>
  <c r="N102"/>
  <c r="M102" s="1"/>
  <c r="O102" s="1"/>
  <c r="S102" s="1"/>
  <c r="T102" s="1"/>
  <c r="Z102" s="1"/>
  <c r="AA102" s="1"/>
  <c r="N9"/>
  <c r="M9" s="1"/>
  <c r="N17"/>
  <c r="M17" s="1"/>
  <c r="N401"/>
  <c r="M401" s="1"/>
  <c r="O401" s="1"/>
  <c r="S401" s="1"/>
  <c r="T401" s="1"/>
  <c r="N400"/>
  <c r="M400" s="1"/>
  <c r="O400" s="1"/>
  <c r="S400" s="1"/>
  <c r="T400" s="1"/>
  <c r="Z400" s="1"/>
  <c r="AA400" s="1"/>
  <c r="N402"/>
  <c r="M402" s="1"/>
  <c r="O402" s="1"/>
  <c r="S402" s="1"/>
  <c r="T402" s="1"/>
  <c r="N32"/>
  <c r="M32" s="1"/>
  <c r="O32" s="1"/>
  <c r="S32" s="1"/>
  <c r="T32" s="1"/>
  <c r="Z32" s="1"/>
  <c r="AA32" s="1"/>
  <c r="N371"/>
  <c r="M371" s="1"/>
  <c r="O371" s="1"/>
  <c r="S371" s="1"/>
  <c r="T371" s="1"/>
  <c r="N139"/>
  <c r="M139" s="1"/>
  <c r="O139" s="1"/>
  <c r="S139" s="1"/>
  <c r="T139" s="1"/>
  <c r="N43"/>
  <c r="M43" s="1"/>
  <c r="N55"/>
  <c r="M55" s="1"/>
  <c r="N269"/>
  <c r="M269" s="1"/>
  <c r="O269" s="1"/>
  <c r="S269" s="1"/>
  <c r="T269" s="1"/>
  <c r="N226"/>
  <c r="M226" s="1"/>
  <c r="O226" s="1"/>
  <c r="S226" s="1"/>
  <c r="T226" s="1"/>
  <c r="N228"/>
  <c r="M228" s="1"/>
  <c r="N276"/>
  <c r="M276" s="1"/>
  <c r="O276" s="1"/>
  <c r="S276" s="1"/>
  <c r="T276" s="1"/>
  <c r="N265"/>
  <c r="M265" s="1"/>
  <c r="O265" s="1"/>
  <c r="S265" s="1"/>
  <c r="T265" s="1"/>
  <c r="N300"/>
  <c r="M300" s="1"/>
  <c r="O300" s="1"/>
  <c r="S300" s="1"/>
  <c r="T300" s="1"/>
  <c r="N157"/>
  <c r="M157" s="1"/>
  <c r="O157" s="1"/>
  <c r="S157" s="1"/>
  <c r="T157" s="1"/>
  <c r="N147"/>
  <c r="M147" s="1"/>
  <c r="O147" s="1"/>
  <c r="S147" s="1"/>
  <c r="T147" s="1"/>
  <c r="N180"/>
  <c r="M180" s="1"/>
  <c r="N182"/>
  <c r="M182" s="1"/>
  <c r="O182" s="1"/>
  <c r="S182" s="1"/>
  <c r="T182" s="1"/>
  <c r="Z182" s="1"/>
  <c r="AA182" s="1"/>
  <c r="N390"/>
  <c r="M390" s="1"/>
  <c r="O390" s="1"/>
  <c r="S390" s="1"/>
  <c r="T390" s="1"/>
  <c r="N261"/>
  <c r="M261" s="1"/>
  <c r="O261" s="1"/>
  <c r="S261" s="1"/>
  <c r="T261" s="1"/>
  <c r="Z261" s="1"/>
  <c r="AA261" s="1"/>
  <c r="N360"/>
  <c r="M360" s="1"/>
  <c r="N358"/>
  <c r="M358" s="1"/>
  <c r="N54"/>
  <c r="M54" s="1"/>
  <c r="N28"/>
  <c r="M28" s="1"/>
  <c r="O28" s="1"/>
  <c r="S28" s="1"/>
  <c r="T28" s="1"/>
  <c r="N26"/>
  <c r="M26" s="1"/>
  <c r="N79"/>
  <c r="M79" s="1"/>
  <c r="K18" l="1"/>
  <c r="K128"/>
  <c r="K95"/>
  <c r="U95" i="4"/>
  <c r="U78"/>
  <c r="W78" s="1"/>
  <c r="X17"/>
  <c r="U17"/>
  <c r="V17" s="1"/>
  <c r="K297" i="1"/>
  <c r="K46"/>
  <c r="K58"/>
  <c r="K162"/>
  <c r="K71"/>
  <c r="K23"/>
  <c r="K235"/>
  <c r="K24"/>
  <c r="K41"/>
  <c r="K59"/>
  <c r="K36"/>
  <c r="K165"/>
  <c r="K177"/>
  <c r="K30"/>
  <c r="K14"/>
  <c r="U63" i="4"/>
  <c r="V63" s="1"/>
  <c r="X94"/>
  <c r="K354" i="1"/>
  <c r="K233"/>
  <c r="O405"/>
  <c r="S405" s="1"/>
  <c r="T405" s="1"/>
  <c r="U405" s="1"/>
  <c r="K405"/>
  <c r="O396"/>
  <c r="S396" s="1"/>
  <c r="T396" s="1"/>
  <c r="X396" s="1"/>
  <c r="K396"/>
  <c r="K284"/>
  <c r="K131"/>
  <c r="X300"/>
  <c r="U300"/>
  <c r="X102"/>
  <c r="U102"/>
  <c r="X390"/>
  <c r="U390"/>
  <c r="X141"/>
  <c r="U141"/>
  <c r="X28"/>
  <c r="U28"/>
  <c r="X261"/>
  <c r="U261"/>
  <c r="X276"/>
  <c r="U276"/>
  <c r="X10"/>
  <c r="U10"/>
  <c r="X211"/>
  <c r="U211"/>
  <c r="X265"/>
  <c r="U265"/>
  <c r="X269"/>
  <c r="U269"/>
  <c r="X371"/>
  <c r="U371"/>
  <c r="X401"/>
  <c r="U401"/>
  <c r="X281"/>
  <c r="U281"/>
  <c r="X201"/>
  <c r="U201"/>
  <c r="X417"/>
  <c r="U417"/>
  <c r="X408"/>
  <c r="U408"/>
  <c r="X391"/>
  <c r="U391"/>
  <c r="X383"/>
  <c r="U383"/>
  <c r="X375"/>
  <c r="U375"/>
  <c r="X368"/>
  <c r="U368"/>
  <c r="X362"/>
  <c r="U362"/>
  <c r="X354"/>
  <c r="U354"/>
  <c r="X334"/>
  <c r="U334"/>
  <c r="X325"/>
  <c r="U325"/>
  <c r="X313"/>
  <c r="U313"/>
  <c r="X306"/>
  <c r="U306"/>
  <c r="X302"/>
  <c r="U302"/>
  <c r="X292"/>
  <c r="U292"/>
  <c r="X284"/>
  <c r="U284"/>
  <c r="X275"/>
  <c r="U275"/>
  <c r="X264"/>
  <c r="U264"/>
  <c r="X256"/>
  <c r="U256"/>
  <c r="X248"/>
  <c r="U248"/>
  <c r="X240"/>
  <c r="U240"/>
  <c r="X235"/>
  <c r="U235"/>
  <c r="X229"/>
  <c r="U229"/>
  <c r="X220"/>
  <c r="U220"/>
  <c r="X213"/>
  <c r="U213"/>
  <c r="X207"/>
  <c r="U207"/>
  <c r="X202"/>
  <c r="U202"/>
  <c r="X196"/>
  <c r="U196"/>
  <c r="X184"/>
  <c r="U184"/>
  <c r="X174"/>
  <c r="U174"/>
  <c r="U168"/>
  <c r="X168"/>
  <c r="X162"/>
  <c r="U162"/>
  <c r="U156"/>
  <c r="X156"/>
  <c r="X142"/>
  <c r="U142"/>
  <c r="X131"/>
  <c r="U131"/>
  <c r="X121"/>
  <c r="U121"/>
  <c r="X113"/>
  <c r="U113"/>
  <c r="X106"/>
  <c r="U106"/>
  <c r="X125"/>
  <c r="U125"/>
  <c r="X93"/>
  <c r="U93"/>
  <c r="X78"/>
  <c r="U78"/>
  <c r="X71"/>
  <c r="U71"/>
  <c r="X63"/>
  <c r="U63"/>
  <c r="X58"/>
  <c r="U58"/>
  <c r="X46"/>
  <c r="U46"/>
  <c r="X41"/>
  <c r="U41"/>
  <c r="X34"/>
  <c r="U34"/>
  <c r="X29"/>
  <c r="U29"/>
  <c r="X23"/>
  <c r="U23"/>
  <c r="X14"/>
  <c r="U14"/>
  <c r="K189"/>
  <c r="K148"/>
  <c r="X400"/>
  <c r="U400"/>
  <c r="U215"/>
  <c r="X215"/>
  <c r="X418"/>
  <c r="U418"/>
  <c r="X409"/>
  <c r="U409"/>
  <c r="X404"/>
  <c r="U404"/>
  <c r="X392"/>
  <c r="U392"/>
  <c r="X384"/>
  <c r="U384"/>
  <c r="X377"/>
  <c r="U377"/>
  <c r="X370"/>
  <c r="U370"/>
  <c r="X363"/>
  <c r="U363"/>
  <c r="X356"/>
  <c r="U356"/>
  <c r="X344"/>
  <c r="U344"/>
  <c r="X328"/>
  <c r="U328"/>
  <c r="X314"/>
  <c r="U314"/>
  <c r="X307"/>
  <c r="U307"/>
  <c r="X303"/>
  <c r="U303"/>
  <c r="X297"/>
  <c r="U297"/>
  <c r="X286"/>
  <c r="U286"/>
  <c r="X277"/>
  <c r="U277"/>
  <c r="X266"/>
  <c r="U266"/>
  <c r="X258"/>
  <c r="U258"/>
  <c r="X252"/>
  <c r="U252"/>
  <c r="X241"/>
  <c r="U241"/>
  <c r="X236"/>
  <c r="U236"/>
  <c r="X231"/>
  <c r="U231"/>
  <c r="X221"/>
  <c r="U221"/>
  <c r="X216"/>
  <c r="U216"/>
  <c r="X208"/>
  <c r="U208"/>
  <c r="U203"/>
  <c r="X203"/>
  <c r="X197"/>
  <c r="U197"/>
  <c r="X189"/>
  <c r="U189"/>
  <c r="U176"/>
  <c r="X176"/>
  <c r="X170"/>
  <c r="U170"/>
  <c r="U164"/>
  <c r="X164"/>
  <c r="X158"/>
  <c r="U158"/>
  <c r="X146"/>
  <c r="U146"/>
  <c r="U132"/>
  <c r="X132"/>
  <c r="X126"/>
  <c r="U126"/>
  <c r="X115"/>
  <c r="U115"/>
  <c r="X107"/>
  <c r="U107"/>
  <c r="U100"/>
  <c r="X100"/>
  <c r="X94"/>
  <c r="U94"/>
  <c r="U88"/>
  <c r="X88"/>
  <c r="U80"/>
  <c r="X80"/>
  <c r="U72"/>
  <c r="X72"/>
  <c r="X65"/>
  <c r="U65"/>
  <c r="X59"/>
  <c r="U59"/>
  <c r="X47"/>
  <c r="U47"/>
  <c r="X42"/>
  <c r="U42"/>
  <c r="U36"/>
  <c r="X36"/>
  <c r="X30"/>
  <c r="U30"/>
  <c r="U24"/>
  <c r="X24"/>
  <c r="X18"/>
  <c r="U18"/>
  <c r="X249"/>
  <c r="U249"/>
  <c r="X182"/>
  <c r="U182"/>
  <c r="X139"/>
  <c r="U139"/>
  <c r="X153"/>
  <c r="U153"/>
  <c r="X206"/>
  <c r="U206"/>
  <c r="X402"/>
  <c r="U402"/>
  <c r="X159"/>
  <c r="U159"/>
  <c r="X419"/>
  <c r="U419"/>
  <c r="X412"/>
  <c r="U412"/>
  <c r="X393"/>
  <c r="U393"/>
  <c r="X385"/>
  <c r="U385"/>
  <c r="X379"/>
  <c r="U379"/>
  <c r="X372"/>
  <c r="U372"/>
  <c r="X365"/>
  <c r="U365"/>
  <c r="X359"/>
  <c r="U359"/>
  <c r="X349"/>
  <c r="U349"/>
  <c r="X330"/>
  <c r="U330"/>
  <c r="X315"/>
  <c r="U315"/>
  <c r="X308"/>
  <c r="U308"/>
  <c r="X304"/>
  <c r="U304"/>
  <c r="X298"/>
  <c r="U298"/>
  <c r="X287"/>
  <c r="U287"/>
  <c r="X279"/>
  <c r="U279"/>
  <c r="X268"/>
  <c r="U268"/>
  <c r="X259"/>
  <c r="U259"/>
  <c r="X254"/>
  <c r="U254"/>
  <c r="X243"/>
  <c r="U243"/>
  <c r="X237"/>
  <c r="U237"/>
  <c r="X233"/>
  <c r="U233"/>
  <c r="X223"/>
  <c r="U223"/>
  <c r="X217"/>
  <c r="U217"/>
  <c r="X209"/>
  <c r="U209"/>
  <c r="X204"/>
  <c r="U204"/>
  <c r="X198"/>
  <c r="U198"/>
  <c r="X194"/>
  <c r="U194"/>
  <c r="X177"/>
  <c r="U177"/>
  <c r="U172"/>
  <c r="X172"/>
  <c r="X165"/>
  <c r="U165"/>
  <c r="U160"/>
  <c r="X160"/>
  <c r="U148"/>
  <c r="X148"/>
  <c r="X133"/>
  <c r="U133"/>
  <c r="U128"/>
  <c r="X128"/>
  <c r="X117"/>
  <c r="U117"/>
  <c r="X108"/>
  <c r="U108"/>
  <c r="X103"/>
  <c r="U103"/>
  <c r="X95"/>
  <c r="U95"/>
  <c r="X90"/>
  <c r="U90"/>
  <c r="X83"/>
  <c r="U83"/>
  <c r="X74"/>
  <c r="U74"/>
  <c r="X67"/>
  <c r="U67"/>
  <c r="X99"/>
  <c r="U99"/>
  <c r="X51"/>
  <c r="U51"/>
  <c r="U44"/>
  <c r="X44"/>
  <c r="X38"/>
  <c r="U38"/>
  <c r="X31"/>
  <c r="U31"/>
  <c r="X25"/>
  <c r="U25"/>
  <c r="X21"/>
  <c r="U21"/>
  <c r="X376"/>
  <c r="U376"/>
  <c r="X388"/>
  <c r="U388"/>
  <c r="X200"/>
  <c r="U200"/>
  <c r="X226"/>
  <c r="U226"/>
  <c r="X157"/>
  <c r="U157"/>
  <c r="X147"/>
  <c r="U147"/>
  <c r="U32"/>
  <c r="X32"/>
  <c r="X319"/>
  <c r="U319"/>
  <c r="X327"/>
  <c r="U327"/>
  <c r="X421"/>
  <c r="U421"/>
  <c r="X415"/>
  <c r="U415"/>
  <c r="X406"/>
  <c r="U406"/>
  <c r="X395"/>
  <c r="U395"/>
  <c r="X387"/>
  <c r="U387"/>
  <c r="X382"/>
  <c r="U382"/>
  <c r="X373"/>
  <c r="U373"/>
  <c r="X367"/>
  <c r="U367"/>
  <c r="X361"/>
  <c r="U361"/>
  <c r="X353"/>
  <c r="U353"/>
  <c r="X333"/>
  <c r="U333"/>
  <c r="X324"/>
  <c r="U324"/>
  <c r="X311"/>
  <c r="U311"/>
  <c r="X305"/>
  <c r="U305"/>
  <c r="X301"/>
  <c r="U301"/>
  <c r="X291"/>
  <c r="U291"/>
  <c r="X282"/>
  <c r="U282"/>
  <c r="X271"/>
  <c r="U271"/>
  <c r="X262"/>
  <c r="U262"/>
  <c r="X255"/>
  <c r="U255"/>
  <c r="X244"/>
  <c r="U244"/>
  <c r="X238"/>
  <c r="U238"/>
  <c r="X234"/>
  <c r="U234"/>
  <c r="U227"/>
  <c r="X227"/>
  <c r="X219"/>
  <c r="U219"/>
  <c r="X212"/>
  <c r="U212"/>
  <c r="X205"/>
  <c r="U205"/>
  <c r="X199"/>
  <c r="U199"/>
  <c r="U195"/>
  <c r="X195"/>
  <c r="X178"/>
  <c r="U178"/>
  <c r="X173"/>
  <c r="U173"/>
  <c r="X167"/>
  <c r="U167"/>
  <c r="X161"/>
  <c r="U161"/>
  <c r="X150"/>
  <c r="U150"/>
  <c r="X134"/>
  <c r="U134"/>
  <c r="X129"/>
  <c r="U129"/>
  <c r="U120"/>
  <c r="X120"/>
  <c r="X111"/>
  <c r="U111"/>
  <c r="X105"/>
  <c r="U105"/>
  <c r="U96"/>
  <c r="X96"/>
  <c r="U92"/>
  <c r="X92"/>
  <c r="U84"/>
  <c r="X84"/>
  <c r="U76"/>
  <c r="X76"/>
  <c r="X69"/>
  <c r="U69"/>
  <c r="X61"/>
  <c r="U61"/>
  <c r="X52"/>
  <c r="U52"/>
  <c r="X45"/>
  <c r="U45"/>
  <c r="X39"/>
  <c r="U39"/>
  <c r="X33"/>
  <c r="U33"/>
  <c r="X27"/>
  <c r="U27"/>
  <c r="X22"/>
  <c r="U22"/>
  <c r="X11"/>
  <c r="U11"/>
  <c r="X155"/>
  <c r="U155"/>
  <c r="X98"/>
  <c r="U98"/>
  <c r="K372"/>
  <c r="U96" i="4"/>
  <c r="X96"/>
  <c r="U73"/>
  <c r="X73"/>
  <c r="U32"/>
  <c r="X32"/>
  <c r="U67"/>
  <c r="X67"/>
  <c r="X19"/>
  <c r="U19"/>
  <c r="X10"/>
  <c r="U10"/>
  <c r="U84"/>
  <c r="X84"/>
  <c r="X25"/>
  <c r="U25"/>
  <c r="U8"/>
  <c r="X8"/>
  <c r="U33"/>
  <c r="X33"/>
  <c r="X64"/>
  <c r="U64"/>
  <c r="V36"/>
  <c r="W36"/>
  <c r="V71"/>
  <c r="W71"/>
  <c r="W30"/>
  <c r="V30"/>
  <c r="W44"/>
  <c r="V44"/>
  <c r="W59"/>
  <c r="V59"/>
  <c r="W55"/>
  <c r="V55"/>
  <c r="W53"/>
  <c r="V53"/>
  <c r="W49"/>
  <c r="V49"/>
  <c r="V29"/>
  <c r="W29"/>
  <c r="W65"/>
  <c r="V65"/>
  <c r="W85"/>
  <c r="V85"/>
  <c r="V82"/>
  <c r="W82"/>
  <c r="V94"/>
  <c r="W94"/>
  <c r="V62"/>
  <c r="W62"/>
  <c r="W5"/>
  <c r="V5"/>
  <c r="W75"/>
  <c r="V75"/>
  <c r="X88"/>
  <c r="U88"/>
  <c r="U13"/>
  <c r="X13"/>
  <c r="U43"/>
  <c r="X43"/>
  <c r="U89"/>
  <c r="X89"/>
  <c r="U81"/>
  <c r="X81"/>
  <c r="U31"/>
  <c r="X31"/>
  <c r="U48"/>
  <c r="X48"/>
  <c r="U40"/>
  <c r="X40"/>
  <c r="U74"/>
  <c r="X74"/>
  <c r="U42"/>
  <c r="X42"/>
  <c r="U28"/>
  <c r="X28"/>
  <c r="U61"/>
  <c r="X61"/>
  <c r="U76"/>
  <c r="X76"/>
  <c r="X34"/>
  <c r="U34"/>
  <c r="V56"/>
  <c r="W56"/>
  <c r="W63"/>
  <c r="V37"/>
  <c r="W37"/>
  <c r="V52"/>
  <c r="W52"/>
  <c r="U60"/>
  <c r="X60"/>
  <c r="U68"/>
  <c r="X68"/>
  <c r="X46"/>
  <c r="U46"/>
  <c r="U6"/>
  <c r="X6"/>
  <c r="V69"/>
  <c r="W69"/>
  <c r="V39"/>
  <c r="W39"/>
  <c r="V45"/>
  <c r="W45"/>
  <c r="V27"/>
  <c r="W27"/>
  <c r="V72"/>
  <c r="W72"/>
  <c r="W66"/>
  <c r="V66"/>
  <c r="W7"/>
  <c r="V7"/>
  <c r="W79"/>
  <c r="V79"/>
  <c r="W51"/>
  <c r="V51"/>
  <c r="W38"/>
  <c r="V38"/>
  <c r="W83"/>
  <c r="V83"/>
  <c r="W87"/>
  <c r="V87"/>
  <c r="W77"/>
  <c r="V77"/>
  <c r="V95"/>
  <c r="W95"/>
  <c r="V78"/>
  <c r="W35"/>
  <c r="V35"/>
  <c r="W24"/>
  <c r="V24"/>
  <c r="X18"/>
  <c r="U18"/>
  <c r="U93"/>
  <c r="X93"/>
  <c r="U4"/>
  <c r="X4"/>
  <c r="U57"/>
  <c r="X57"/>
  <c r="U54"/>
  <c r="X54"/>
  <c r="U50"/>
  <c r="X50"/>
  <c r="U86"/>
  <c r="X86"/>
  <c r="X26"/>
  <c r="U26"/>
  <c r="U58"/>
  <c r="X58"/>
  <c r="X41"/>
  <c r="U41"/>
  <c r="X9"/>
  <c r="U9"/>
  <c r="V80"/>
  <c r="W80"/>
  <c r="V47"/>
  <c r="W47"/>
  <c r="K313" i="1"/>
  <c r="K202"/>
  <c r="K168"/>
  <c r="K142"/>
  <c r="K328"/>
  <c r="K264"/>
  <c r="K207"/>
  <c r="K174"/>
  <c r="K113"/>
  <c r="K125"/>
  <c r="K42"/>
  <c r="K121"/>
  <c r="K359"/>
  <c r="K311"/>
  <c r="K268"/>
  <c r="K237"/>
  <c r="K209"/>
  <c r="K172"/>
  <c r="K160"/>
  <c r="K365"/>
  <c r="K279"/>
  <c r="K243"/>
  <c r="K223"/>
  <c r="K204"/>
  <c r="K133"/>
  <c r="K117"/>
  <c r="K103"/>
  <c r="K90"/>
  <c r="K205"/>
  <c r="K76"/>
  <c r="K22"/>
  <c r="W70" i="4"/>
  <c r="V70"/>
  <c r="K418" i="1"/>
  <c r="K197"/>
  <c r="K132"/>
  <c r="K65"/>
  <c r="K252"/>
  <c r="K126"/>
  <c r="K80"/>
  <c r="K47"/>
  <c r="K314"/>
  <c r="K258"/>
  <c r="K241"/>
  <c r="K72"/>
  <c r="K363"/>
  <c r="K325"/>
  <c r="K303"/>
  <c r="K406"/>
  <c r="K219"/>
  <c r="K178"/>
  <c r="K161"/>
  <c r="K105"/>
  <c r="K96"/>
  <c r="K61"/>
  <c r="K39"/>
  <c r="K155"/>
  <c r="K92"/>
  <c r="K69"/>
  <c r="K33"/>
  <c r="K11"/>
  <c r="K373"/>
  <c r="K301"/>
  <c r="K167"/>
  <c r="K111"/>
  <c r="K45"/>
  <c r="K199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S250" s="1"/>
  <c r="T250" s="1"/>
  <c r="Z250" s="1"/>
  <c r="AA250" s="1"/>
  <c r="K250"/>
  <c r="O87"/>
  <c r="S87" s="1"/>
  <c r="T87" s="1"/>
  <c r="K87"/>
  <c r="O218"/>
  <c r="S218" s="1"/>
  <c r="T218" s="1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98"/>
  <c r="K115"/>
  <c r="K107"/>
  <c r="K94"/>
  <c r="K88"/>
  <c r="K83"/>
  <c r="K74"/>
  <c r="K67"/>
  <c r="K99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Z60" i="4"/>
  <c r="AA60" s="1"/>
  <c r="K153" i="1"/>
  <c r="K139"/>
  <c r="K102"/>
  <c r="O26"/>
  <c r="S26" s="1"/>
  <c r="T26" s="1"/>
  <c r="K26"/>
  <c r="O54"/>
  <c r="S54" s="1"/>
  <c r="T54" s="1"/>
  <c r="K54"/>
  <c r="O360"/>
  <c r="S360" s="1"/>
  <c r="T360" s="1"/>
  <c r="K360"/>
  <c r="O180"/>
  <c r="S180" s="1"/>
  <c r="T180" s="1"/>
  <c r="K180"/>
  <c r="O228"/>
  <c r="S228" s="1"/>
  <c r="T228" s="1"/>
  <c r="K228"/>
  <c r="O43"/>
  <c r="S43" s="1"/>
  <c r="T43" s="1"/>
  <c r="Z43" s="1"/>
  <c r="AA43" s="1"/>
  <c r="K43"/>
  <c r="O9"/>
  <c r="S9" s="1"/>
  <c r="T9" s="1"/>
  <c r="Z9" s="1"/>
  <c r="AA9" s="1"/>
  <c r="K9"/>
  <c r="O73"/>
  <c r="S73" s="1"/>
  <c r="T73" s="1"/>
  <c r="K73"/>
  <c r="O272"/>
  <c r="S272" s="1"/>
  <c r="T272" s="1"/>
  <c r="K272"/>
  <c r="O8"/>
  <c r="S8" s="1"/>
  <c r="T8" s="1"/>
  <c r="K8"/>
  <c r="O114"/>
  <c r="S114" s="1"/>
  <c r="T114" s="1"/>
  <c r="K114"/>
  <c r="O77"/>
  <c r="S77" s="1"/>
  <c r="T77" s="1"/>
  <c r="K77"/>
  <c r="O214"/>
  <c r="S214" s="1"/>
  <c r="T214" s="1"/>
  <c r="K214"/>
  <c r="O210"/>
  <c r="S210" s="1"/>
  <c r="T210" s="1"/>
  <c r="K210"/>
  <c r="O352"/>
  <c r="S352" s="1"/>
  <c r="T352" s="1"/>
  <c r="K352"/>
  <c r="K265"/>
  <c r="K141"/>
  <c r="O358"/>
  <c r="S358" s="1"/>
  <c r="T358" s="1"/>
  <c r="K358"/>
  <c r="O190"/>
  <c r="S190" s="1"/>
  <c r="T190" s="1"/>
  <c r="K190"/>
  <c r="O294"/>
  <c r="S294" s="1"/>
  <c r="T294" s="1"/>
  <c r="Z294" s="1"/>
  <c r="AA294" s="1"/>
  <c r="K294"/>
  <c r="K400"/>
  <c r="K371"/>
  <c r="K281"/>
  <c r="K269"/>
  <c r="K201"/>
  <c r="K159"/>
  <c r="K157"/>
  <c r="O79"/>
  <c r="S79" s="1"/>
  <c r="T79" s="1"/>
  <c r="K79"/>
  <c r="O55"/>
  <c r="S55" s="1"/>
  <c r="T55" s="1"/>
  <c r="K55"/>
  <c r="O17"/>
  <c r="S17" s="1"/>
  <c r="T17" s="1"/>
  <c r="K17"/>
  <c r="O15"/>
  <c r="S15" s="1"/>
  <c r="T15" s="1"/>
  <c r="Z15" s="1"/>
  <c r="AA15" s="1"/>
  <c r="K15"/>
  <c r="O13"/>
  <c r="S13" s="1"/>
  <c r="T13" s="1"/>
  <c r="Z13" s="1"/>
  <c r="AA13" s="1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2"/>
  <c r="K391"/>
  <c r="K419"/>
  <c r="K395"/>
  <c r="K387"/>
  <c r="K404"/>
  <c r="K388"/>
  <c r="K379"/>
  <c r="K421"/>
  <c r="K417"/>
  <c r="K409"/>
  <c r="K401"/>
  <c r="K393"/>
  <c r="K385"/>
  <c r="K377"/>
  <c r="K376"/>
  <c r="N242"/>
  <c r="M242" s="1"/>
  <c r="N397"/>
  <c r="M397" s="1"/>
  <c r="O397" s="1"/>
  <c r="S397" s="1"/>
  <c r="T397" s="1"/>
  <c r="N246"/>
  <c r="M246" s="1"/>
  <c r="N273"/>
  <c r="M273" s="1"/>
  <c r="Z236"/>
  <c r="AA236" s="1"/>
  <c r="Z297"/>
  <c r="AA297" s="1"/>
  <c r="W17" i="4" l="1"/>
  <c r="X405" i="1"/>
  <c r="U396"/>
  <c r="V396" s="1"/>
  <c r="X397"/>
  <c r="U397"/>
  <c r="X358"/>
  <c r="U358"/>
  <c r="X214"/>
  <c r="U214"/>
  <c r="X272"/>
  <c r="U272"/>
  <c r="X360"/>
  <c r="U360"/>
  <c r="X87"/>
  <c r="U87"/>
  <c r="X13"/>
  <c r="U13"/>
  <c r="X17"/>
  <c r="U17"/>
  <c r="V167"/>
  <c r="W167"/>
  <c r="X190"/>
  <c r="U190"/>
  <c r="X210"/>
  <c r="U210"/>
  <c r="X77"/>
  <c r="U77"/>
  <c r="U8"/>
  <c r="X8"/>
  <c r="X73"/>
  <c r="U73"/>
  <c r="X43"/>
  <c r="U43"/>
  <c r="X180"/>
  <c r="U180"/>
  <c r="X54"/>
  <c r="U54"/>
  <c r="X218"/>
  <c r="U218"/>
  <c r="X250"/>
  <c r="U250"/>
  <c r="W76"/>
  <c r="V76"/>
  <c r="W92"/>
  <c r="V92"/>
  <c r="V120"/>
  <c r="W120"/>
  <c r="W195"/>
  <c r="V195"/>
  <c r="W44"/>
  <c r="V44"/>
  <c r="V160"/>
  <c r="W160"/>
  <c r="V172"/>
  <c r="W172"/>
  <c r="W24"/>
  <c r="V24"/>
  <c r="W36"/>
  <c r="V36"/>
  <c r="W80"/>
  <c r="V80"/>
  <c r="W164"/>
  <c r="V164"/>
  <c r="W176"/>
  <c r="V176"/>
  <c r="W215"/>
  <c r="V215"/>
  <c r="X15"/>
  <c r="U15"/>
  <c r="X55"/>
  <c r="U55"/>
  <c r="V155"/>
  <c r="W155"/>
  <c r="W22"/>
  <c r="V22"/>
  <c r="V33"/>
  <c r="W33"/>
  <c r="V45"/>
  <c r="W45"/>
  <c r="V61"/>
  <c r="W61"/>
  <c r="W105"/>
  <c r="V105"/>
  <c r="W134"/>
  <c r="V134"/>
  <c r="W161"/>
  <c r="V161"/>
  <c r="W173"/>
  <c r="V173"/>
  <c r="W205"/>
  <c r="V205"/>
  <c r="W219"/>
  <c r="V219"/>
  <c r="V234"/>
  <c r="W234"/>
  <c r="W244"/>
  <c r="V244"/>
  <c r="W262"/>
  <c r="V262"/>
  <c r="V282"/>
  <c r="W282"/>
  <c r="W301"/>
  <c r="V301"/>
  <c r="V311"/>
  <c r="W311"/>
  <c r="W333"/>
  <c r="V333"/>
  <c r="W361"/>
  <c r="V361"/>
  <c r="W373"/>
  <c r="V373"/>
  <c r="W387"/>
  <c r="V387"/>
  <c r="W406"/>
  <c r="V406"/>
  <c r="V421"/>
  <c r="W421"/>
  <c r="W319"/>
  <c r="V319"/>
  <c r="V147"/>
  <c r="W147"/>
  <c r="V226"/>
  <c r="W226"/>
  <c r="W388"/>
  <c r="V388"/>
  <c r="W21"/>
  <c r="V21"/>
  <c r="V31"/>
  <c r="W31"/>
  <c r="W99"/>
  <c r="V99"/>
  <c r="W74"/>
  <c r="V74"/>
  <c r="W90"/>
  <c r="V90"/>
  <c r="V103"/>
  <c r="W103"/>
  <c r="W117"/>
  <c r="V117"/>
  <c r="W133"/>
  <c r="V133"/>
  <c r="V194"/>
  <c r="W194"/>
  <c r="V204"/>
  <c r="W204"/>
  <c r="W217"/>
  <c r="V217"/>
  <c r="W233"/>
  <c r="V233"/>
  <c r="W243"/>
  <c r="V243"/>
  <c r="W259"/>
  <c r="V259"/>
  <c r="W279"/>
  <c r="V279"/>
  <c r="V298"/>
  <c r="W298"/>
  <c r="W308"/>
  <c r="V308"/>
  <c r="V330"/>
  <c r="W330"/>
  <c r="W359"/>
  <c r="V359"/>
  <c r="W372"/>
  <c r="V372"/>
  <c r="W385"/>
  <c r="V385"/>
  <c r="V405"/>
  <c r="W405"/>
  <c r="V419"/>
  <c r="W419"/>
  <c r="W402"/>
  <c r="V402"/>
  <c r="W153"/>
  <c r="V153"/>
  <c r="W182"/>
  <c r="V182"/>
  <c r="V18"/>
  <c r="W18"/>
  <c r="V47"/>
  <c r="W47"/>
  <c r="W65"/>
  <c r="V65"/>
  <c r="W94"/>
  <c r="V94"/>
  <c r="V107"/>
  <c r="W107"/>
  <c r="W126"/>
  <c r="V126"/>
  <c r="W146"/>
  <c r="V146"/>
  <c r="W197"/>
  <c r="V197"/>
  <c r="V208"/>
  <c r="W208"/>
  <c r="W221"/>
  <c r="V221"/>
  <c r="V236"/>
  <c r="W236"/>
  <c r="W252"/>
  <c r="V252"/>
  <c r="V266"/>
  <c r="W266"/>
  <c r="V286"/>
  <c r="W286"/>
  <c r="W303"/>
  <c r="V303"/>
  <c r="V314"/>
  <c r="W314"/>
  <c r="W344"/>
  <c r="V344"/>
  <c r="W363"/>
  <c r="V363"/>
  <c r="W377"/>
  <c r="V377"/>
  <c r="V392"/>
  <c r="W392"/>
  <c r="V409"/>
  <c r="W409"/>
  <c r="V23"/>
  <c r="W23"/>
  <c r="W34"/>
  <c r="V34"/>
  <c r="W46"/>
  <c r="V46"/>
  <c r="V63"/>
  <c r="W63"/>
  <c r="W78"/>
  <c r="V78"/>
  <c r="W93"/>
  <c r="V93"/>
  <c r="V106"/>
  <c r="W106"/>
  <c r="W121"/>
  <c r="V121"/>
  <c r="V142"/>
  <c r="W142"/>
  <c r="W162"/>
  <c r="V162"/>
  <c r="W174"/>
  <c r="V174"/>
  <c r="W196"/>
  <c r="V196"/>
  <c r="V207"/>
  <c r="W207"/>
  <c r="W220"/>
  <c r="V220"/>
  <c r="W235"/>
  <c r="V235"/>
  <c r="V248"/>
  <c r="W248"/>
  <c r="V264"/>
  <c r="W264"/>
  <c r="V284"/>
  <c r="W284"/>
  <c r="V302"/>
  <c r="W302"/>
  <c r="W313"/>
  <c r="V313"/>
  <c r="V334"/>
  <c r="W334"/>
  <c r="V362"/>
  <c r="W362"/>
  <c r="V375"/>
  <c r="W375"/>
  <c r="W391"/>
  <c r="V391"/>
  <c r="V408"/>
  <c r="W408"/>
  <c r="W201"/>
  <c r="V201"/>
  <c r="V401"/>
  <c r="W401"/>
  <c r="W269"/>
  <c r="V269"/>
  <c r="W211"/>
  <c r="V211"/>
  <c r="W276"/>
  <c r="V276"/>
  <c r="W28"/>
  <c r="V28"/>
  <c r="V390"/>
  <c r="W390"/>
  <c r="W300"/>
  <c r="V300"/>
  <c r="X294"/>
  <c r="U294"/>
  <c r="X114"/>
  <c r="U114"/>
  <c r="X228"/>
  <c r="U228"/>
  <c r="V84"/>
  <c r="W84"/>
  <c r="V96"/>
  <c r="W96"/>
  <c r="W227"/>
  <c r="V227"/>
  <c r="W32"/>
  <c r="V32"/>
  <c r="V128"/>
  <c r="W128"/>
  <c r="V148"/>
  <c r="W148"/>
  <c r="W72"/>
  <c r="V72"/>
  <c r="W88"/>
  <c r="V88"/>
  <c r="V100"/>
  <c r="W100"/>
  <c r="V132"/>
  <c r="W132"/>
  <c r="W203"/>
  <c r="V203"/>
  <c r="V156"/>
  <c r="W156"/>
  <c r="V168"/>
  <c r="W168"/>
  <c r="X352"/>
  <c r="U352"/>
  <c r="X9"/>
  <c r="U9"/>
  <c r="X26"/>
  <c r="U26"/>
  <c r="X79"/>
  <c r="U79"/>
  <c r="W98"/>
  <c r="V98"/>
  <c r="V11"/>
  <c r="W11"/>
  <c r="V27"/>
  <c r="W27"/>
  <c r="V39"/>
  <c r="W39"/>
  <c r="W52"/>
  <c r="V52"/>
  <c r="W69"/>
  <c r="V69"/>
  <c r="V111"/>
  <c r="W111"/>
  <c r="W129"/>
  <c r="V129"/>
  <c r="V150"/>
  <c r="W150"/>
  <c r="V178"/>
  <c r="W178"/>
  <c r="W199"/>
  <c r="V199"/>
  <c r="W212"/>
  <c r="V212"/>
  <c r="V238"/>
  <c r="W238"/>
  <c r="W255"/>
  <c r="V255"/>
  <c r="W271"/>
  <c r="V271"/>
  <c r="W291"/>
  <c r="V291"/>
  <c r="W305"/>
  <c r="V305"/>
  <c r="W324"/>
  <c r="V324"/>
  <c r="W353"/>
  <c r="V353"/>
  <c r="V367"/>
  <c r="W367"/>
  <c r="V382"/>
  <c r="W382"/>
  <c r="W395"/>
  <c r="V395"/>
  <c r="W415"/>
  <c r="V415"/>
  <c r="V327"/>
  <c r="W327"/>
  <c r="W157"/>
  <c r="V157"/>
  <c r="V200"/>
  <c r="W200"/>
  <c r="V376"/>
  <c r="W376"/>
  <c r="V25"/>
  <c r="W25"/>
  <c r="W38"/>
  <c r="V38"/>
  <c r="V51"/>
  <c r="W51"/>
  <c r="V67"/>
  <c r="W67"/>
  <c r="V83"/>
  <c r="W83"/>
  <c r="V95"/>
  <c r="W95"/>
  <c r="V108"/>
  <c r="W108"/>
  <c r="W165"/>
  <c r="V165"/>
  <c r="W177"/>
  <c r="V177"/>
  <c r="W198"/>
  <c r="V198"/>
  <c r="W209"/>
  <c r="V209"/>
  <c r="W223"/>
  <c r="V223"/>
  <c r="W237"/>
  <c r="V237"/>
  <c r="V254"/>
  <c r="W254"/>
  <c r="W268"/>
  <c r="V268"/>
  <c r="W287"/>
  <c r="V287"/>
  <c r="V304"/>
  <c r="W304"/>
  <c r="W315"/>
  <c r="V315"/>
  <c r="W349"/>
  <c r="V349"/>
  <c r="W365"/>
  <c r="V365"/>
  <c r="W379"/>
  <c r="V379"/>
  <c r="W393"/>
  <c r="V393"/>
  <c r="V412"/>
  <c r="W412"/>
  <c r="V159"/>
  <c r="W159"/>
  <c r="V206"/>
  <c r="W206"/>
  <c r="V139"/>
  <c r="W139"/>
  <c r="W249"/>
  <c r="V249"/>
  <c r="W30"/>
  <c r="V30"/>
  <c r="W42"/>
  <c r="V42"/>
  <c r="V59"/>
  <c r="W59"/>
  <c r="V115"/>
  <c r="W115"/>
  <c r="W158"/>
  <c r="V158"/>
  <c r="V170"/>
  <c r="W170"/>
  <c r="W189"/>
  <c r="V189"/>
  <c r="W216"/>
  <c r="V216"/>
  <c r="W231"/>
  <c r="V231"/>
  <c r="W241"/>
  <c r="V241"/>
  <c r="V258"/>
  <c r="W258"/>
  <c r="W277"/>
  <c r="V277"/>
  <c r="W297"/>
  <c r="V297"/>
  <c r="W307"/>
  <c r="V307"/>
  <c r="V328"/>
  <c r="W328"/>
  <c r="W356"/>
  <c r="V356"/>
  <c r="V370"/>
  <c r="W370"/>
  <c r="V384"/>
  <c r="W384"/>
  <c r="V404"/>
  <c r="W404"/>
  <c r="V418"/>
  <c r="W418"/>
  <c r="V400"/>
  <c r="W400"/>
  <c r="W14"/>
  <c r="V14"/>
  <c r="V29"/>
  <c r="W29"/>
  <c r="V41"/>
  <c r="W41"/>
  <c r="W58"/>
  <c r="V58"/>
  <c r="V71"/>
  <c r="W71"/>
  <c r="W125"/>
  <c r="V125"/>
  <c r="W113"/>
  <c r="V113"/>
  <c r="V131"/>
  <c r="W131"/>
  <c r="V184"/>
  <c r="W184"/>
  <c r="V202"/>
  <c r="W202"/>
  <c r="W213"/>
  <c r="V213"/>
  <c r="W229"/>
  <c r="V229"/>
  <c r="V240"/>
  <c r="W240"/>
  <c r="V256"/>
  <c r="W256"/>
  <c r="W275"/>
  <c r="V275"/>
  <c r="W292"/>
  <c r="V292"/>
  <c r="V306"/>
  <c r="W306"/>
  <c r="W325"/>
  <c r="V325"/>
  <c r="V354"/>
  <c r="W354"/>
  <c r="V368"/>
  <c r="W368"/>
  <c r="V383"/>
  <c r="W383"/>
  <c r="V417"/>
  <c r="W417"/>
  <c r="W281"/>
  <c r="V281"/>
  <c r="W371"/>
  <c r="V371"/>
  <c r="W265"/>
  <c r="V265"/>
  <c r="W10"/>
  <c r="V10"/>
  <c r="W261"/>
  <c r="V261"/>
  <c r="W141"/>
  <c r="V141"/>
  <c r="V102"/>
  <c r="W102"/>
  <c r="V9" i="4"/>
  <c r="W9"/>
  <c r="V18"/>
  <c r="W18"/>
  <c r="V34"/>
  <c r="W34"/>
  <c r="V64"/>
  <c r="W64"/>
  <c r="V19"/>
  <c r="W19"/>
  <c r="V50"/>
  <c r="W50"/>
  <c r="V57"/>
  <c r="W57"/>
  <c r="V93"/>
  <c r="W93"/>
  <c r="V60"/>
  <c r="W60"/>
  <c r="V76"/>
  <c r="W76"/>
  <c r="V28"/>
  <c r="W28"/>
  <c r="V74"/>
  <c r="W74"/>
  <c r="V48"/>
  <c r="W48"/>
  <c r="V81"/>
  <c r="W81"/>
  <c r="V43"/>
  <c r="W43"/>
  <c r="V33"/>
  <c r="W33"/>
  <c r="V67"/>
  <c r="W67"/>
  <c r="V73"/>
  <c r="W73"/>
  <c r="V41"/>
  <c r="W41"/>
  <c r="V26"/>
  <c r="W26"/>
  <c r="V46"/>
  <c r="W46"/>
  <c r="V88"/>
  <c r="W88"/>
  <c r="V25"/>
  <c r="W25"/>
  <c r="V10"/>
  <c r="W10"/>
  <c r="V58"/>
  <c r="W58"/>
  <c r="V86"/>
  <c r="W86"/>
  <c r="V54"/>
  <c r="W54"/>
  <c r="V4"/>
  <c r="W4"/>
  <c r="V6"/>
  <c r="W6"/>
  <c r="V68"/>
  <c r="W68"/>
  <c r="V61"/>
  <c r="W61"/>
  <c r="V42"/>
  <c r="W42"/>
  <c r="V40"/>
  <c r="W40"/>
  <c r="V31"/>
  <c r="W31"/>
  <c r="V89"/>
  <c r="W89"/>
  <c r="V13"/>
  <c r="W13"/>
  <c r="V8"/>
  <c r="W8"/>
  <c r="V84"/>
  <c r="W84"/>
  <c r="V32"/>
  <c r="W32"/>
  <c r="V96"/>
  <c r="W96"/>
  <c r="O246" i="1"/>
  <c r="S246" s="1"/>
  <c r="T246" s="1"/>
  <c r="K246"/>
  <c r="O242"/>
  <c r="S242" s="1"/>
  <c r="T242" s="1"/>
  <c r="K242"/>
  <c r="O273"/>
  <c r="S273" s="1"/>
  <c r="T273" s="1"/>
  <c r="K273"/>
  <c r="K397"/>
  <c r="Z210"/>
  <c r="AA210" s="1"/>
  <c r="Z206"/>
  <c r="AA206" s="1"/>
  <c r="Z215"/>
  <c r="AA215" s="1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W396" l="1"/>
  <c r="X273"/>
  <c r="U273"/>
  <c r="X246"/>
  <c r="U246"/>
  <c r="W8"/>
  <c r="V8"/>
  <c r="V79"/>
  <c r="W79"/>
  <c r="V9"/>
  <c r="W9"/>
  <c r="W114"/>
  <c r="V114"/>
  <c r="V15"/>
  <c r="W15"/>
  <c r="V250"/>
  <c r="W250"/>
  <c r="W54"/>
  <c r="V54"/>
  <c r="V43"/>
  <c r="W43"/>
  <c r="V210"/>
  <c r="W210"/>
  <c r="V13"/>
  <c r="W13"/>
  <c r="V360"/>
  <c r="W360"/>
  <c r="W214"/>
  <c r="V214"/>
  <c r="W397"/>
  <c r="V397"/>
  <c r="X242"/>
  <c r="U242"/>
  <c r="W26"/>
  <c r="V26"/>
  <c r="V352"/>
  <c r="W352"/>
  <c r="W228"/>
  <c r="V228"/>
  <c r="W294"/>
  <c r="V294"/>
  <c r="V55"/>
  <c r="W55"/>
  <c r="V218"/>
  <c r="W218"/>
  <c r="W180"/>
  <c r="V180"/>
  <c r="W73"/>
  <c r="V73"/>
  <c r="W77"/>
  <c r="V77"/>
  <c r="V190"/>
  <c r="W190"/>
  <c r="W17"/>
  <c r="V17"/>
  <c r="V87"/>
  <c r="W87"/>
  <c r="V272"/>
  <c r="W272"/>
  <c r="W358"/>
  <c r="V358"/>
  <c r="O127"/>
  <c r="S127" s="1"/>
  <c r="T127" s="1"/>
  <c r="K127"/>
  <c r="O130"/>
  <c r="S130" s="1"/>
  <c r="T130" s="1"/>
  <c r="K130"/>
  <c r="O118"/>
  <c r="S118" s="1"/>
  <c r="T118" s="1"/>
  <c r="K118"/>
  <c r="O104"/>
  <c r="S104" s="1"/>
  <c r="T104" s="1"/>
  <c r="K104"/>
  <c r="O193"/>
  <c r="S193" s="1"/>
  <c r="T193" s="1"/>
  <c r="K193"/>
  <c r="O191"/>
  <c r="S191" s="1"/>
  <c r="T191" s="1"/>
  <c r="K191"/>
  <c r="O12"/>
  <c r="S12" s="1"/>
  <c r="T12" s="1"/>
  <c r="K12"/>
  <c r="O364"/>
  <c r="S364" s="1"/>
  <c r="T364" s="1"/>
  <c r="K364"/>
  <c r="O81"/>
  <c r="S81" s="1"/>
  <c r="T81" s="1"/>
  <c r="Z81" s="1"/>
  <c r="AA81" s="1"/>
  <c r="K81"/>
  <c r="O91"/>
  <c r="S91" s="1"/>
  <c r="T91" s="1"/>
  <c r="K91"/>
  <c r="O337"/>
  <c r="S337" s="1"/>
  <c r="T337" s="1"/>
  <c r="K337"/>
  <c r="O296"/>
  <c r="S296" s="1"/>
  <c r="T296" s="1"/>
  <c r="K296"/>
  <c r="O332"/>
  <c r="S332" s="1"/>
  <c r="T332" s="1"/>
  <c r="K332"/>
  <c r="O278"/>
  <c r="S278" s="1"/>
  <c r="T278" s="1"/>
  <c r="K278"/>
  <c r="O340"/>
  <c r="S340" s="1"/>
  <c r="T340" s="1"/>
  <c r="K340"/>
  <c r="O270"/>
  <c r="S270" s="1"/>
  <c r="T270" s="1"/>
  <c r="K270"/>
  <c r="O416"/>
  <c r="S416" s="1"/>
  <c r="T416" s="1"/>
  <c r="K416"/>
  <c r="O109"/>
  <c r="S109" s="1"/>
  <c r="T109" s="1"/>
  <c r="K109"/>
  <c r="O410"/>
  <c r="S410" s="1"/>
  <c r="T410" s="1"/>
  <c r="K410"/>
  <c r="O318"/>
  <c r="S318" s="1"/>
  <c r="T318" s="1"/>
  <c r="K318"/>
  <c r="O280"/>
  <c r="S280" s="1"/>
  <c r="T280" s="1"/>
  <c r="Z280" s="1"/>
  <c r="AA280" s="1"/>
  <c r="K280"/>
  <c r="O378"/>
  <c r="S378" s="1"/>
  <c r="T378" s="1"/>
  <c r="K378"/>
  <c r="O348"/>
  <c r="S348" s="1"/>
  <c r="T348" s="1"/>
  <c r="K348"/>
  <c r="O380"/>
  <c r="S380" s="1"/>
  <c r="T380" s="1"/>
  <c r="K380"/>
  <c r="O422"/>
  <c r="S422" s="1"/>
  <c r="T422" s="1"/>
  <c r="K422"/>
  <c r="O394"/>
  <c r="S394" s="1"/>
  <c r="T394" s="1"/>
  <c r="K394"/>
  <c r="O366"/>
  <c r="S366" s="1"/>
  <c r="T366" s="1"/>
  <c r="K366"/>
  <c r="O290"/>
  <c r="S290" s="1"/>
  <c r="T290" s="1"/>
  <c r="K290"/>
  <c r="O288"/>
  <c r="S288" s="1"/>
  <c r="T288" s="1"/>
  <c r="K288"/>
  <c r="O56"/>
  <c r="S56" s="1"/>
  <c r="T56" s="1"/>
  <c r="K56"/>
  <c r="O48"/>
  <c r="S48" s="1"/>
  <c r="T48" s="1"/>
  <c r="K48"/>
  <c r="O335"/>
  <c r="S335" s="1"/>
  <c r="T335" s="1"/>
  <c r="K335"/>
  <c r="O338"/>
  <c r="S338" s="1"/>
  <c r="T338" s="1"/>
  <c r="K338"/>
  <c r="O323"/>
  <c r="S323" s="1"/>
  <c r="T323" s="1"/>
  <c r="K323"/>
  <c r="O413"/>
  <c r="S413" s="1"/>
  <c r="T413" s="1"/>
  <c r="K413"/>
  <c r="O320"/>
  <c r="S320" s="1"/>
  <c r="T320" s="1"/>
  <c r="K320"/>
  <c r="O312"/>
  <c r="S312" s="1"/>
  <c r="T312" s="1"/>
  <c r="K312"/>
  <c r="O143"/>
  <c r="S143" s="1"/>
  <c r="T143" s="1"/>
  <c r="K143"/>
  <c r="O186"/>
  <c r="S186" s="1"/>
  <c r="T186" s="1"/>
  <c r="K186"/>
  <c r="O183"/>
  <c r="S183" s="1"/>
  <c r="T183" s="1"/>
  <c r="K183"/>
  <c r="O188"/>
  <c r="S188" s="1"/>
  <c r="T188" s="1"/>
  <c r="K188"/>
  <c r="O179"/>
  <c r="S179" s="1"/>
  <c r="T179" s="1"/>
  <c r="K179"/>
  <c r="O224"/>
  <c r="S224" s="1"/>
  <c r="T224" s="1"/>
  <c r="K224"/>
  <c r="O289"/>
  <c r="S289" s="1"/>
  <c r="T289" s="1"/>
  <c r="K289"/>
  <c r="O253"/>
  <c r="S253" s="1"/>
  <c r="T253" s="1"/>
  <c r="K253"/>
  <c r="O257"/>
  <c r="S257" s="1"/>
  <c r="T257" s="1"/>
  <c r="K257"/>
  <c r="O420"/>
  <c r="S420" s="1"/>
  <c r="T420" s="1"/>
  <c r="K420"/>
  <c r="O16"/>
  <c r="S16" s="1"/>
  <c r="T16" s="1"/>
  <c r="K16"/>
  <c r="O122"/>
  <c r="S122" s="1"/>
  <c r="T122" s="1"/>
  <c r="K122"/>
  <c r="O112"/>
  <c r="S112" s="1"/>
  <c r="T112" s="1"/>
  <c r="K112"/>
  <c r="O70"/>
  <c r="S70" s="1"/>
  <c r="T70" s="1"/>
  <c r="K70"/>
  <c r="O144"/>
  <c r="S144" s="1"/>
  <c r="T144" s="1"/>
  <c r="K144"/>
  <c r="O166"/>
  <c r="S166" s="1"/>
  <c r="T166" s="1"/>
  <c r="K166"/>
  <c r="O322"/>
  <c r="S322" s="1"/>
  <c r="T322" s="1"/>
  <c r="K322"/>
  <c r="O123"/>
  <c r="S123" s="1"/>
  <c r="T123" s="1"/>
  <c r="K123"/>
  <c r="O64"/>
  <c r="S64" s="1"/>
  <c r="T64" s="1"/>
  <c r="K64"/>
  <c r="O283"/>
  <c r="S283" s="1"/>
  <c r="T283" s="1"/>
  <c r="K283"/>
  <c r="O151"/>
  <c r="S151" s="1"/>
  <c r="T151" s="1"/>
  <c r="K151"/>
  <c r="O145"/>
  <c r="S145" s="1"/>
  <c r="T145" s="1"/>
  <c r="K145"/>
  <c r="O6"/>
  <c r="S6" s="1"/>
  <c r="T6" s="1"/>
  <c r="K6"/>
  <c r="O351"/>
  <c r="S351" s="1"/>
  <c r="T351" s="1"/>
  <c r="K351"/>
  <c r="O169"/>
  <c r="S169" s="1"/>
  <c r="T169" s="1"/>
  <c r="K169"/>
  <c r="O175"/>
  <c r="S175" s="1"/>
  <c r="T175" s="1"/>
  <c r="K175"/>
  <c r="O154"/>
  <c r="S154" s="1"/>
  <c r="T154" s="1"/>
  <c r="K154"/>
  <c r="O357"/>
  <c r="S357" s="1"/>
  <c r="T357" s="1"/>
  <c r="K357"/>
  <c r="O295"/>
  <c r="S295" s="1"/>
  <c r="T295" s="1"/>
  <c r="K295"/>
  <c r="O97"/>
  <c r="S97" s="1"/>
  <c r="T97" s="1"/>
  <c r="K97"/>
  <c r="O101"/>
  <c r="S101" s="1"/>
  <c r="T101" s="1"/>
  <c r="K101"/>
  <c r="O137"/>
  <c r="S137" s="1"/>
  <c r="T137" s="1"/>
  <c r="K137"/>
  <c r="O347"/>
  <c r="S347" s="1"/>
  <c r="T347" s="1"/>
  <c r="K347"/>
  <c r="O381"/>
  <c r="S381" s="1"/>
  <c r="T381" s="1"/>
  <c r="K381"/>
  <c r="O345"/>
  <c r="S345" s="1"/>
  <c r="T345" s="1"/>
  <c r="K345"/>
  <c r="O350"/>
  <c r="S350" s="1"/>
  <c r="T350" s="1"/>
  <c r="K350"/>
  <c r="O82"/>
  <c r="S82" s="1"/>
  <c r="T82" s="1"/>
  <c r="K82"/>
  <c r="O136"/>
  <c r="S136" s="1"/>
  <c r="T136" s="1"/>
  <c r="K136"/>
  <c r="O119"/>
  <c r="S119" s="1"/>
  <c r="T119" s="1"/>
  <c r="K119"/>
  <c r="O110"/>
  <c r="S110" s="1"/>
  <c r="T110" s="1"/>
  <c r="K110"/>
  <c r="O116"/>
  <c r="S116" s="1"/>
  <c r="T116" s="1"/>
  <c r="K116"/>
  <c r="O68"/>
  <c r="S68" s="1"/>
  <c r="T68" s="1"/>
  <c r="K68"/>
  <c r="O192"/>
  <c r="S192" s="1"/>
  <c r="T192" s="1"/>
  <c r="K192"/>
  <c r="O7"/>
  <c r="S7" s="1"/>
  <c r="T7" s="1"/>
  <c r="K7"/>
  <c r="O403"/>
  <c r="S403" s="1"/>
  <c r="T403" s="1"/>
  <c r="K403"/>
  <c r="O89"/>
  <c r="S89" s="1"/>
  <c r="T89" s="1"/>
  <c r="K89"/>
  <c r="O49"/>
  <c r="S49" s="1"/>
  <c r="T49" s="1"/>
  <c r="Z49" s="1"/>
  <c r="AA49" s="1"/>
  <c r="K49"/>
  <c r="O50"/>
  <c r="S50" s="1"/>
  <c r="T50" s="1"/>
  <c r="K50"/>
  <c r="O336"/>
  <c r="S336" s="1"/>
  <c r="T336" s="1"/>
  <c r="K336"/>
  <c r="O309"/>
  <c r="S309" s="1"/>
  <c r="T309" s="1"/>
  <c r="K309"/>
  <c r="O339"/>
  <c r="S339" s="1"/>
  <c r="T339" s="1"/>
  <c r="K339"/>
  <c r="O138"/>
  <c r="S138" s="1"/>
  <c r="T138" s="1"/>
  <c r="K138"/>
  <c r="O232"/>
  <c r="S232" s="1"/>
  <c r="T232" s="1"/>
  <c r="K232"/>
  <c r="O369"/>
  <c r="S369" s="1"/>
  <c r="T369" s="1"/>
  <c r="K369"/>
  <c r="O245"/>
  <c r="S245" s="1"/>
  <c r="T245" s="1"/>
  <c r="K245"/>
  <c r="O75"/>
  <c r="S75" s="1"/>
  <c r="T75" s="1"/>
  <c r="K75"/>
  <c r="O407"/>
  <c r="S407" s="1"/>
  <c r="T407" s="1"/>
  <c r="K407"/>
  <c r="O316"/>
  <c r="S316" s="1"/>
  <c r="T316" s="1"/>
  <c r="K316"/>
  <c r="O225"/>
  <c r="S225" s="1"/>
  <c r="T225" s="1"/>
  <c r="K225"/>
  <c r="O343"/>
  <c r="S343" s="1"/>
  <c r="T343" s="1"/>
  <c r="K343"/>
  <c r="O346"/>
  <c r="S346" s="1"/>
  <c r="T346" s="1"/>
  <c r="K346"/>
  <c r="O389"/>
  <c r="S389" s="1"/>
  <c r="T389" s="1"/>
  <c r="K389"/>
  <c r="O411"/>
  <c r="S411" s="1"/>
  <c r="T411" s="1"/>
  <c r="K411"/>
  <c r="O398"/>
  <c r="S398" s="1"/>
  <c r="T398" s="1"/>
  <c r="K398"/>
  <c r="O163"/>
  <c r="S163" s="1"/>
  <c r="T163" s="1"/>
  <c r="K163"/>
  <c r="O293"/>
  <c r="S293" s="1"/>
  <c r="T293" s="1"/>
  <c r="K293"/>
  <c r="O53"/>
  <c r="S53" s="1"/>
  <c r="T53" s="1"/>
  <c r="K53"/>
  <c r="O57"/>
  <c r="S57" s="1"/>
  <c r="T57" s="1"/>
  <c r="K57"/>
  <c r="O20"/>
  <c r="S20" s="1"/>
  <c r="T20" s="1"/>
  <c r="K20"/>
  <c r="O331"/>
  <c r="S331" s="1"/>
  <c r="T331" s="1"/>
  <c r="K331"/>
  <c r="O329"/>
  <c r="S329" s="1"/>
  <c r="T329" s="1"/>
  <c r="K329"/>
  <c r="O414"/>
  <c r="S414" s="1"/>
  <c r="T414" s="1"/>
  <c r="K414"/>
  <c r="O230"/>
  <c r="S230" s="1"/>
  <c r="T230" s="1"/>
  <c r="K230"/>
  <c r="O321"/>
  <c r="S321" s="1"/>
  <c r="T321" s="1"/>
  <c r="K321"/>
  <c r="O317"/>
  <c r="S317" s="1"/>
  <c r="T317" s="1"/>
  <c r="K317"/>
  <c r="O140"/>
  <c r="S140" s="1"/>
  <c r="T140" s="1"/>
  <c r="K140"/>
  <c r="O181"/>
  <c r="S181" s="1"/>
  <c r="T181" s="1"/>
  <c r="K181"/>
  <c r="O19"/>
  <c r="S19" s="1"/>
  <c r="T19" s="1"/>
  <c r="K19"/>
  <c r="O374"/>
  <c r="S374" s="1"/>
  <c r="T374" s="1"/>
  <c r="K374"/>
  <c r="O260"/>
  <c r="S260" s="1"/>
  <c r="T260" s="1"/>
  <c r="K260"/>
  <c r="O222"/>
  <c r="S222" s="1"/>
  <c r="T222" s="1"/>
  <c r="K222"/>
  <c r="O239"/>
  <c r="S239" s="1"/>
  <c r="T239" s="1"/>
  <c r="K239"/>
  <c r="O251"/>
  <c r="S251" s="1"/>
  <c r="T251" s="1"/>
  <c r="K251"/>
  <c r="O424"/>
  <c r="S424" s="1"/>
  <c r="T424" s="1"/>
  <c r="K424"/>
  <c r="O423"/>
  <c r="S423" s="1"/>
  <c r="T423" s="1"/>
  <c r="K423"/>
  <c r="O187"/>
  <c r="S187" s="1"/>
  <c r="T187" s="1"/>
  <c r="K187"/>
  <c r="O124"/>
  <c r="S124" s="1"/>
  <c r="T124" s="1"/>
  <c r="K124"/>
  <c r="O62"/>
  <c r="S62" s="1"/>
  <c r="T62" s="1"/>
  <c r="K62"/>
  <c r="O40"/>
  <c r="S40" s="1"/>
  <c r="T40" s="1"/>
  <c r="K40"/>
  <c r="O185"/>
  <c r="S185" s="1"/>
  <c r="T185" s="1"/>
  <c r="K185"/>
  <c r="O326"/>
  <c r="S326" s="1"/>
  <c r="T326" s="1"/>
  <c r="K326"/>
  <c r="O310"/>
  <c r="S310" s="1"/>
  <c r="T310" s="1"/>
  <c r="K310"/>
  <c r="O135"/>
  <c r="S135" s="1"/>
  <c r="T135" s="1"/>
  <c r="K135"/>
  <c r="O66"/>
  <c r="S66" s="1"/>
  <c r="T66" s="1"/>
  <c r="K66"/>
  <c r="O299"/>
  <c r="S299" s="1"/>
  <c r="T299" s="1"/>
  <c r="K299"/>
  <c r="O149"/>
  <c r="S149" s="1"/>
  <c r="T149" s="1"/>
  <c r="K149"/>
  <c r="O37"/>
  <c r="S37" s="1"/>
  <c r="T37" s="1"/>
  <c r="K37"/>
  <c r="O355"/>
  <c r="S355" s="1"/>
  <c r="T355" s="1"/>
  <c r="K355"/>
  <c r="O399"/>
  <c r="S399" s="1"/>
  <c r="T399" s="1"/>
  <c r="K399"/>
  <c r="O171"/>
  <c r="S171" s="1"/>
  <c r="T171" s="1"/>
  <c r="K171"/>
  <c r="O152"/>
  <c r="S152" s="1"/>
  <c r="T152" s="1"/>
  <c r="K152"/>
  <c r="O247"/>
  <c r="S247" s="1"/>
  <c r="T247" s="1"/>
  <c r="K247"/>
  <c r="O267"/>
  <c r="S267" s="1"/>
  <c r="T267" s="1"/>
  <c r="K267"/>
  <c r="O263"/>
  <c r="S263" s="1"/>
  <c r="T263" s="1"/>
  <c r="K263"/>
  <c r="O35"/>
  <c r="S35" s="1"/>
  <c r="T35" s="1"/>
  <c r="K35"/>
  <c r="O85"/>
  <c r="S85" s="1"/>
  <c r="T85" s="1"/>
  <c r="K85"/>
  <c r="O342"/>
  <c r="S342" s="1"/>
  <c r="T342" s="1"/>
  <c r="K342"/>
  <c r="O341"/>
  <c r="S341" s="1"/>
  <c r="T341" s="1"/>
  <c r="K341"/>
  <c r="O386"/>
  <c r="S386" s="1"/>
  <c r="T386" s="1"/>
  <c r="K386"/>
  <c r="O285"/>
  <c r="S285" s="1"/>
  <c r="T285" s="1"/>
  <c r="K285"/>
  <c r="O274"/>
  <c r="S274" s="1"/>
  <c r="T274" s="1"/>
  <c r="K274"/>
  <c r="O5"/>
  <c r="K5"/>
  <c r="X247" l="1"/>
  <c r="U247"/>
  <c r="X149"/>
  <c r="U149"/>
  <c r="X62"/>
  <c r="U62"/>
  <c r="X424"/>
  <c r="U424"/>
  <c r="X260"/>
  <c r="U260"/>
  <c r="U140"/>
  <c r="X140"/>
  <c r="X414"/>
  <c r="U414"/>
  <c r="X57"/>
  <c r="U57"/>
  <c r="X398"/>
  <c r="U398"/>
  <c r="X343"/>
  <c r="U343"/>
  <c r="X75"/>
  <c r="U75"/>
  <c r="X138"/>
  <c r="U138"/>
  <c r="X309"/>
  <c r="U309"/>
  <c r="X89"/>
  <c r="U89"/>
  <c r="X7"/>
  <c r="U7"/>
  <c r="U68"/>
  <c r="X68"/>
  <c r="X110"/>
  <c r="U110"/>
  <c r="U136"/>
  <c r="X136"/>
  <c r="X381"/>
  <c r="U381"/>
  <c r="X137"/>
  <c r="U137"/>
  <c r="X97"/>
  <c r="U97"/>
  <c r="X357"/>
  <c r="U357"/>
  <c r="X175"/>
  <c r="U175"/>
  <c r="X351"/>
  <c r="U351"/>
  <c r="X145"/>
  <c r="U145"/>
  <c r="X283"/>
  <c r="U283"/>
  <c r="X123"/>
  <c r="U123"/>
  <c r="X166"/>
  <c r="U166"/>
  <c r="X70"/>
  <c r="U70"/>
  <c r="X122"/>
  <c r="U122"/>
  <c r="X420"/>
  <c r="U420"/>
  <c r="X253"/>
  <c r="U253"/>
  <c r="X224"/>
  <c r="U224"/>
  <c r="X188"/>
  <c r="U188"/>
  <c r="X186"/>
  <c r="U186"/>
  <c r="X312"/>
  <c r="U312"/>
  <c r="X413"/>
  <c r="U413"/>
  <c r="X338"/>
  <c r="U338"/>
  <c r="X48"/>
  <c r="U48"/>
  <c r="X288"/>
  <c r="U288"/>
  <c r="X366"/>
  <c r="U366"/>
  <c r="X422"/>
  <c r="U422"/>
  <c r="X348"/>
  <c r="U348"/>
  <c r="X280"/>
  <c r="U280"/>
  <c r="X410"/>
  <c r="U410"/>
  <c r="X416"/>
  <c r="U416"/>
  <c r="X340"/>
  <c r="U340"/>
  <c r="X332"/>
  <c r="U332"/>
  <c r="X337"/>
  <c r="U337"/>
  <c r="X81"/>
  <c r="U81"/>
  <c r="U12"/>
  <c r="X12"/>
  <c r="X193"/>
  <c r="U193"/>
  <c r="X118"/>
  <c r="U118"/>
  <c r="X127"/>
  <c r="U127"/>
  <c r="X341"/>
  <c r="U341"/>
  <c r="X171"/>
  <c r="U171"/>
  <c r="X66"/>
  <c r="U66"/>
  <c r="X185"/>
  <c r="U185"/>
  <c r="X187"/>
  <c r="U187"/>
  <c r="X239"/>
  <c r="U239"/>
  <c r="X19"/>
  <c r="U19"/>
  <c r="X321"/>
  <c r="U321"/>
  <c r="X331"/>
  <c r="U331"/>
  <c r="X293"/>
  <c r="U293"/>
  <c r="X389"/>
  <c r="U389"/>
  <c r="X316"/>
  <c r="U316"/>
  <c r="X369"/>
  <c r="U369"/>
  <c r="X50"/>
  <c r="U50"/>
  <c r="X350"/>
  <c r="U350"/>
  <c r="W273"/>
  <c r="V273"/>
  <c r="X285"/>
  <c r="U285"/>
  <c r="U263"/>
  <c r="X263"/>
  <c r="X355"/>
  <c r="U355"/>
  <c r="X386"/>
  <c r="U386"/>
  <c r="X35"/>
  <c r="U35"/>
  <c r="U152"/>
  <c r="X152"/>
  <c r="X37"/>
  <c r="U37"/>
  <c r="X135"/>
  <c r="U135"/>
  <c r="X124"/>
  <c r="U124"/>
  <c r="X251"/>
  <c r="U251"/>
  <c r="X374"/>
  <c r="U374"/>
  <c r="X317"/>
  <c r="U317"/>
  <c r="X329"/>
  <c r="U329"/>
  <c r="X53"/>
  <c r="U53"/>
  <c r="X411"/>
  <c r="U411"/>
  <c r="X225"/>
  <c r="U225"/>
  <c r="X245"/>
  <c r="U245"/>
  <c r="X232"/>
  <c r="U232"/>
  <c r="X339"/>
  <c r="U339"/>
  <c r="X336"/>
  <c r="U336"/>
  <c r="X49"/>
  <c r="U49"/>
  <c r="X403"/>
  <c r="U403"/>
  <c r="X192"/>
  <c r="U192"/>
  <c r="X119"/>
  <c r="U119"/>
  <c r="X82"/>
  <c r="U82"/>
  <c r="X345"/>
  <c r="U345"/>
  <c r="X347"/>
  <c r="U347"/>
  <c r="X101"/>
  <c r="U101"/>
  <c r="X295"/>
  <c r="U295"/>
  <c r="X154"/>
  <c r="U154"/>
  <c r="X169"/>
  <c r="U169"/>
  <c r="U6"/>
  <c r="X6"/>
  <c r="X151"/>
  <c r="U151"/>
  <c r="U64"/>
  <c r="X64"/>
  <c r="X322"/>
  <c r="U322"/>
  <c r="U144"/>
  <c r="X144"/>
  <c r="U112"/>
  <c r="X112"/>
  <c r="X16"/>
  <c r="U16"/>
  <c r="X257"/>
  <c r="U257"/>
  <c r="X289"/>
  <c r="U289"/>
  <c r="U179"/>
  <c r="X179"/>
  <c r="U183"/>
  <c r="X183"/>
  <c r="X143"/>
  <c r="U143"/>
  <c r="X320"/>
  <c r="U320"/>
  <c r="X323"/>
  <c r="U323"/>
  <c r="X335"/>
  <c r="U335"/>
  <c r="X56"/>
  <c r="U56"/>
  <c r="X290"/>
  <c r="U290"/>
  <c r="X394"/>
  <c r="U394"/>
  <c r="X380"/>
  <c r="U380"/>
  <c r="X378"/>
  <c r="U378"/>
  <c r="X318"/>
  <c r="U318"/>
  <c r="Z318"/>
  <c r="AA318" s="1"/>
  <c r="X109"/>
  <c r="U109"/>
  <c r="X270"/>
  <c r="U270"/>
  <c r="X278"/>
  <c r="U278"/>
  <c r="X296"/>
  <c r="U296"/>
  <c r="X91"/>
  <c r="U91"/>
  <c r="X364"/>
  <c r="U364"/>
  <c r="U191"/>
  <c r="X191"/>
  <c r="U104"/>
  <c r="X104"/>
  <c r="X130"/>
  <c r="U130"/>
  <c r="X85"/>
  <c r="U85"/>
  <c r="X310"/>
  <c r="U310"/>
  <c r="X274"/>
  <c r="U274"/>
  <c r="X342"/>
  <c r="U342"/>
  <c r="X267"/>
  <c r="U267"/>
  <c r="X399"/>
  <c r="U399"/>
  <c r="X299"/>
  <c r="U299"/>
  <c r="X326"/>
  <c r="U326"/>
  <c r="X40"/>
  <c r="U40"/>
  <c r="X423"/>
  <c r="U423"/>
  <c r="X222"/>
  <c r="U222"/>
  <c r="X181"/>
  <c r="U181"/>
  <c r="X230"/>
  <c r="U230"/>
  <c r="X20"/>
  <c r="U20"/>
  <c r="X163"/>
  <c r="U163"/>
  <c r="X346"/>
  <c r="U346"/>
  <c r="X407"/>
  <c r="U407"/>
  <c r="U116"/>
  <c r="X116"/>
  <c r="V242"/>
  <c r="W242"/>
  <c r="V246"/>
  <c r="W246"/>
  <c r="Z144"/>
  <c r="AA144" s="1"/>
  <c r="Z322"/>
  <c r="AA322" s="1"/>
  <c r="W181" l="1"/>
  <c r="V181"/>
  <c r="W342"/>
  <c r="V342"/>
  <c r="V91"/>
  <c r="W91"/>
  <c r="V64"/>
  <c r="W64"/>
  <c r="W152"/>
  <c r="V152"/>
  <c r="W407"/>
  <c r="V407"/>
  <c r="V222"/>
  <c r="W222"/>
  <c r="W299"/>
  <c r="V299"/>
  <c r="V274"/>
  <c r="W274"/>
  <c r="W85"/>
  <c r="V85"/>
  <c r="V364"/>
  <c r="W364"/>
  <c r="V296"/>
  <c r="W296"/>
  <c r="V270"/>
  <c r="W270"/>
  <c r="W179"/>
  <c r="V179"/>
  <c r="V112"/>
  <c r="W112"/>
  <c r="W12"/>
  <c r="V12"/>
  <c r="W20"/>
  <c r="V20"/>
  <c r="V399"/>
  <c r="W399"/>
  <c r="V310"/>
  <c r="W310"/>
  <c r="W109"/>
  <c r="V109"/>
  <c r="V163"/>
  <c r="W163"/>
  <c r="V230"/>
  <c r="W230"/>
  <c r="W40"/>
  <c r="V40"/>
  <c r="W267"/>
  <c r="V267"/>
  <c r="V116"/>
  <c r="W116"/>
  <c r="W191"/>
  <c r="V191"/>
  <c r="V378"/>
  <c r="W378"/>
  <c r="V394"/>
  <c r="W394"/>
  <c r="W56"/>
  <c r="V56"/>
  <c r="W323"/>
  <c r="V323"/>
  <c r="V143"/>
  <c r="W143"/>
  <c r="W257"/>
  <c r="V257"/>
  <c r="V322"/>
  <c r="W322"/>
  <c r="V151"/>
  <c r="W151"/>
  <c r="W169"/>
  <c r="V169"/>
  <c r="W295"/>
  <c r="V295"/>
  <c r="W347"/>
  <c r="V347"/>
  <c r="W82"/>
  <c r="V82"/>
  <c r="V192"/>
  <c r="W192"/>
  <c r="V49"/>
  <c r="W49"/>
  <c r="W339"/>
  <c r="V339"/>
  <c r="W245"/>
  <c r="V245"/>
  <c r="V411"/>
  <c r="W411"/>
  <c r="W329"/>
  <c r="V329"/>
  <c r="W374"/>
  <c r="V374"/>
  <c r="W124"/>
  <c r="V124"/>
  <c r="W37"/>
  <c r="V37"/>
  <c r="V35"/>
  <c r="W35"/>
  <c r="W355"/>
  <c r="V355"/>
  <c r="W285"/>
  <c r="V285"/>
  <c r="V350"/>
  <c r="W350"/>
  <c r="W369"/>
  <c r="V369"/>
  <c r="W389"/>
  <c r="V389"/>
  <c r="W331"/>
  <c r="V331"/>
  <c r="V19"/>
  <c r="W19"/>
  <c r="W187"/>
  <c r="V187"/>
  <c r="W66"/>
  <c r="V66"/>
  <c r="W341"/>
  <c r="V341"/>
  <c r="V118"/>
  <c r="W118"/>
  <c r="W337"/>
  <c r="V337"/>
  <c r="W340"/>
  <c r="V340"/>
  <c r="V410"/>
  <c r="W410"/>
  <c r="W348"/>
  <c r="V348"/>
  <c r="V366"/>
  <c r="W366"/>
  <c r="W48"/>
  <c r="V48"/>
  <c r="V413"/>
  <c r="W413"/>
  <c r="V186"/>
  <c r="W186"/>
  <c r="V224"/>
  <c r="W224"/>
  <c r="V420"/>
  <c r="W420"/>
  <c r="V70"/>
  <c r="W70"/>
  <c r="V123"/>
  <c r="W123"/>
  <c r="W145"/>
  <c r="V145"/>
  <c r="V175"/>
  <c r="W175"/>
  <c r="W97"/>
  <c r="V97"/>
  <c r="W381"/>
  <c r="V381"/>
  <c r="W110"/>
  <c r="V110"/>
  <c r="V7"/>
  <c r="W7"/>
  <c r="W309"/>
  <c r="V309"/>
  <c r="V75"/>
  <c r="W75"/>
  <c r="W398"/>
  <c r="V398"/>
  <c r="V414"/>
  <c r="W414"/>
  <c r="W260"/>
  <c r="V260"/>
  <c r="W62"/>
  <c r="V62"/>
  <c r="W247"/>
  <c r="V247"/>
  <c r="W423"/>
  <c r="V423"/>
  <c r="W278"/>
  <c r="V278"/>
  <c r="W183"/>
  <c r="V183"/>
  <c r="W6"/>
  <c r="V6"/>
  <c r="W136"/>
  <c r="V136"/>
  <c r="W68"/>
  <c r="V68"/>
  <c r="W140"/>
  <c r="V140"/>
  <c r="V346"/>
  <c r="W346"/>
  <c r="W326"/>
  <c r="V326"/>
  <c r="W130"/>
  <c r="V130"/>
  <c r="W144"/>
  <c r="V144"/>
  <c r="W263"/>
  <c r="V263"/>
  <c r="W104"/>
  <c r="V104"/>
  <c r="V318"/>
  <c r="W318"/>
  <c r="W380"/>
  <c r="V380"/>
  <c r="V290"/>
  <c r="W290"/>
  <c r="W335"/>
  <c r="V335"/>
  <c r="V320"/>
  <c r="W320"/>
  <c r="W289"/>
  <c r="V289"/>
  <c r="W16"/>
  <c r="V16"/>
  <c r="W154"/>
  <c r="V154"/>
  <c r="W101"/>
  <c r="V101"/>
  <c r="W345"/>
  <c r="V345"/>
  <c r="V119"/>
  <c r="W119"/>
  <c r="V403"/>
  <c r="W403"/>
  <c r="V336"/>
  <c r="W336"/>
  <c r="V232"/>
  <c r="W232"/>
  <c r="W225"/>
  <c r="V225"/>
  <c r="V53"/>
  <c r="W53"/>
  <c r="W317"/>
  <c r="V317"/>
  <c r="W251"/>
  <c r="V251"/>
  <c r="V135"/>
  <c r="W135"/>
  <c r="V386"/>
  <c r="W386"/>
  <c r="V50"/>
  <c r="W50"/>
  <c r="W316"/>
  <c r="V316"/>
  <c r="W293"/>
  <c r="V293"/>
  <c r="W321"/>
  <c r="V321"/>
  <c r="W239"/>
  <c r="V239"/>
  <c r="W185"/>
  <c r="V185"/>
  <c r="V171"/>
  <c r="W171"/>
  <c r="V127"/>
  <c r="W127"/>
  <c r="W193"/>
  <c r="V193"/>
  <c r="W81"/>
  <c r="V81"/>
  <c r="V332"/>
  <c r="W332"/>
  <c r="V416"/>
  <c r="W416"/>
  <c r="V280"/>
  <c r="W280"/>
  <c r="W422"/>
  <c r="V422"/>
  <c r="V288"/>
  <c r="W288"/>
  <c r="V338"/>
  <c r="W338"/>
  <c r="V312"/>
  <c r="W312"/>
  <c r="W188"/>
  <c r="V188"/>
  <c r="W253"/>
  <c r="V253"/>
  <c r="W122"/>
  <c r="V122"/>
  <c r="W166"/>
  <c r="V166"/>
  <c r="W283"/>
  <c r="V283"/>
  <c r="V351"/>
  <c r="W351"/>
  <c r="W357"/>
  <c r="V357"/>
  <c r="W137"/>
  <c r="V137"/>
  <c r="W89"/>
  <c r="V89"/>
  <c r="W138"/>
  <c r="V138"/>
  <c r="V343"/>
  <c r="W343"/>
  <c r="V57"/>
  <c r="W57"/>
  <c r="V424"/>
  <c r="W424"/>
  <c r="W149"/>
  <c r="V149"/>
  <c r="J426"/>
  <c r="F5" l="1"/>
  <c r="D5"/>
  <c r="F4" l="1"/>
  <c r="Z246"/>
  <c r="AA246" s="1"/>
  <c r="Z381"/>
  <c r="AA381" s="1"/>
  <c r="Z232"/>
  <c r="AA232" s="1"/>
  <c r="Z337" l="1"/>
  <c r="AA337" s="1"/>
  <c r="Z335"/>
  <c r="AA335" s="1"/>
  <c r="Z230"/>
  <c r="AA230" s="1"/>
  <c r="Z186"/>
  <c r="AA186" s="1"/>
  <c r="Z341"/>
  <c r="AA341" s="1"/>
  <c r="Z136"/>
  <c r="AA136" s="1"/>
  <c r="Z109"/>
  <c r="AA109" s="1"/>
  <c r="S5"/>
  <c r="T5" s="1"/>
  <c r="X5" s="1"/>
  <c r="Z270"/>
  <c r="AA270" s="1"/>
  <c r="Z355"/>
  <c r="AA355" s="1"/>
  <c r="Z273"/>
  <c r="AA273" s="1"/>
  <c r="Z242"/>
  <c r="AA242" s="1"/>
  <c r="Z397"/>
  <c r="AA397" s="1"/>
  <c r="Z357" l="1"/>
  <c r="AA357" s="1"/>
  <c r="Z326"/>
  <c r="AA326" s="1"/>
  <c r="Z413"/>
  <c r="AA413" s="1"/>
  <c r="Z351"/>
  <c r="AA351" s="1"/>
  <c r="Z20"/>
  <c r="AA20" s="1"/>
  <c r="Z398"/>
  <c r="AA398" s="1"/>
  <c r="Z348"/>
  <c r="AA348" s="1"/>
  <c r="Z138"/>
  <c r="AA138" s="1"/>
  <c r="Z257"/>
  <c r="AA257" s="1"/>
  <c r="Z320"/>
  <c r="AA320" s="1"/>
  <c r="Z423"/>
  <c r="AA423" s="1"/>
  <c r="Z56"/>
  <c r="AA56" s="1"/>
  <c r="Z288"/>
  <c r="AA288" s="1"/>
  <c r="Z366"/>
  <c r="AA366" s="1"/>
  <c r="Z346"/>
  <c r="AA346" s="1"/>
  <c r="Z389"/>
  <c r="AA389" s="1"/>
  <c r="Z339"/>
  <c r="AA339" s="1"/>
  <c r="Z225"/>
  <c r="AA225" s="1"/>
  <c r="U5"/>
  <c r="W5" s="1"/>
  <c r="Z343" l="1"/>
  <c r="AA343" s="1"/>
  <c r="V5"/>
  <c r="Z127" l="1"/>
  <c r="AA127" s="1"/>
  <c r="Z309" l="1"/>
  <c r="AA309" s="1"/>
  <c r="X2" l="1"/>
  <c r="N426" l="1"/>
  <c r="M86"/>
  <c r="M426" s="1"/>
  <c r="O86" l="1"/>
  <c r="S86" s="1"/>
  <c r="T86" s="1"/>
  <c r="U86" s="1"/>
  <c r="K86"/>
  <c r="K426" s="1"/>
  <c r="Z86" l="1"/>
  <c r="AA86" s="1"/>
  <c r="O426"/>
  <c r="X86"/>
  <c r="W86"/>
  <c r="V86"/>
  <c r="F39" i="4"/>
  <c r="F37"/>
  <c r="F36"/>
  <c r="F23"/>
  <c r="F22"/>
  <c r="F21"/>
  <c r="F20"/>
  <c r="F16"/>
  <c r="F15"/>
  <c r="F14"/>
  <c r="F12"/>
  <c r="F11"/>
  <c r="F10"/>
  <c r="F92"/>
  <c r="F91"/>
  <c r="F90"/>
  <c r="F72"/>
  <c r="F71"/>
  <c r="F70"/>
  <c r="F69"/>
  <c r="F3"/>
</calcChain>
</file>

<file path=xl/sharedStrings.xml><?xml version="1.0" encoding="utf-8"?>
<sst xmlns="http://schemas.openxmlformats.org/spreadsheetml/2006/main" count="5833" uniqueCount="1402">
  <si>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</si>
  <si>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</si>
  <si>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</si>
  <si>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</si>
  <si>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</si>
  <si>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</si>
  <si>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</si>
  <si>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</si>
  <si>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</si>
  <si>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</si>
  <si>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</si>
  <si>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</si>
  <si>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</si>
  <si>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</si>
  <si>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</si>
  <si>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</si>
  <si>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</si>
  <si>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</si>
  <si>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</si>
  <si>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</si>
  <si>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</si>
  <si>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</si>
  <si>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</si>
  <si>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</si>
  <si>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</si>
  <si>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</si>
  <si>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</si>
  <si>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</si>
  <si>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</si>
  <si>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</si>
  <si>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</si>
  <si>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</si>
  <si>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</si>
  <si>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</si>
  <si>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</si>
  <si>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</si>
  <si>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</si>
  <si>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</si>
  <si>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</si>
  <si>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</si>
  <si>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</si>
  <si>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</si>
  <si>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</si>
  <si>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</si>
  <si>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</si>
  <si>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</si>
  <si>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</si>
  <si>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</si>
  <si>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</si>
  <si>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</si>
  <si>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</si>
  <si>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</si>
  <si>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</si>
  <si>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</si>
  <si>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</si>
  <si>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</si>
  <si>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</si>
  <si>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</si>
  <si>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</si>
  <si>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</si>
  <si>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</si>
  <si>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</si>
  <si>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</si>
  <si>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</si>
  <si>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</si>
  <si>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</si>
  <si>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</si>
  <si>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</si>
  <si>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</si>
  <si>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</si>
  <si>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</si>
  <si>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</si>
  <si>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</si>
  <si>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</si>
  <si>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</si>
  <si>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</si>
  <si>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</si>
  <si>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</si>
  <si>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</si>
  <si>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</si>
  <si>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</si>
  <si>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</si>
  <si>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</si>
  <si>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</si>
  <si>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</si>
  <si>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</si>
  <si>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</si>
  <si>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</si>
  <si>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</si>
  <si>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</si>
  <si>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</si>
  <si>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</si>
  <si>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</si>
  <si>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</si>
  <si>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</si>
  <si>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</si>
  <si>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</si>
  <si>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</si>
  <si>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</si>
  <si>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</si>
  <si>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</si>
  <si>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</si>
  <si>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</si>
  <si>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</si>
  <si>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</si>
  <si>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</si>
  <si>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</si>
  <si>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</si>
  <si>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</si>
  <si>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</si>
  <si>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</si>
  <si>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</si>
  <si>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</si>
  <si>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</si>
  <si>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</si>
  <si>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</si>
  <si>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</si>
  <si>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</si>
  <si>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</si>
  <si>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</si>
  <si>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</si>
  <si>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</si>
  <si>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</si>
  <si>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</si>
  <si>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</si>
  <si>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</si>
  <si>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</si>
  <si>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</si>
  <si>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</si>
  <si>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</si>
  <si>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</si>
  <si>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</si>
  <si>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</si>
  <si>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</si>
  <si>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</si>
  <si>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</si>
  <si>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</si>
  <si>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</si>
  <si>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</si>
  <si>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</si>
  <si>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</si>
  <si>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</si>
  <si>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</si>
  <si>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</si>
  <si>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</si>
  <si>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</si>
  <si>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</si>
  <si>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</si>
  <si>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</si>
  <si>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</si>
  <si>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</si>
  <si>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</si>
  <si>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</si>
  <si>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</si>
  <si>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</si>
  <si>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</si>
  <si>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</si>
  <si>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</si>
  <si>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</si>
  <si>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</si>
  <si>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</si>
  <si>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</si>
  <si>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</si>
  <si>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</si>
  <si>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</si>
  <si>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</si>
  <si>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</si>
  <si>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</si>
  <si>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</si>
  <si>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</si>
  <si>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</si>
  <si>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</si>
  <si>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</si>
  <si>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</si>
  <si>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</si>
  <si>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</si>
  <si>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</si>
  <si>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</si>
  <si>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</si>
  <si>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</si>
  <si>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</si>
  <si>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</si>
  <si>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</si>
  <si>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</si>
  <si>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</si>
  <si>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</si>
  <si>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</si>
  <si>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</si>
  <si>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</si>
  <si>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</si>
  <si>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</si>
  <si>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</si>
  <si>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</si>
  <si>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</si>
  <si>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</si>
  <si>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</si>
  <si>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</si>
  <si>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</si>
  <si>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</si>
  <si>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</si>
  <si>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</si>
  <si>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</si>
  <si>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</si>
  <si>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</si>
  <si>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</si>
  <si>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</si>
  <si>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</si>
  <si>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</si>
  <si>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</si>
  <si>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</si>
  <si>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</si>
  <si>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</si>
  <si>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</si>
  <si>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</si>
  <si>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</si>
  <si>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</si>
  <si>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</si>
  <si>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</si>
  <si>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</si>
  <si>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</si>
  <si>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</si>
  <si>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</si>
  <si>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</si>
  <si>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</si>
  <si>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</si>
  <si>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</si>
  <si>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</si>
  <si>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</si>
  <si>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</si>
  <si>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</si>
  <si>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</si>
  <si>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</si>
  <si>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</si>
  <si>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</si>
  <si>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</si>
  <si>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</si>
  <si>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</si>
  <si>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</si>
  <si>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</si>
  <si>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</si>
  <si>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</si>
  <si>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</si>
  <si>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</si>
  <si>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</si>
  <si>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</si>
  <si>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</si>
  <si>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</si>
  <si>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</si>
  <si>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</si>
  <si>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</si>
  <si>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</si>
  <si>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</si>
  <si>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</si>
  <si>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</si>
  <si>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</si>
  <si>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</si>
  <si>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</si>
  <si>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</si>
  <si>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</si>
  <si>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</si>
  <si>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</si>
  <si>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</si>
  <si>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</si>
  <si>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</si>
  <si>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</si>
  <si>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</si>
  <si>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</si>
  <si>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</si>
  <si>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</si>
  <si>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</si>
  <si>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</si>
  <si>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</si>
  <si>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</si>
  <si>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</si>
  <si>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</si>
  <si>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</si>
  <si>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</si>
  <si>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</si>
  <si>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</si>
  <si>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</si>
  <si>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</si>
  <si>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</si>
  <si>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</si>
  <si>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</si>
  <si>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</si>
  <si>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</si>
  <si>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</si>
  <si>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</si>
  <si>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</si>
  <si>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</si>
  <si>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</si>
  <si>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</si>
  <si>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</si>
  <si>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</si>
  <si>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</si>
  <si>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</si>
  <si>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</si>
  <si>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</si>
  <si>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</si>
  <si>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</si>
  <si>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</si>
  <si>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</si>
  <si>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</si>
  <si>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</si>
  <si>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</si>
  <si>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</si>
  <si>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</si>
  <si>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</si>
  <si>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</si>
  <si>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</si>
  <si>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</si>
  <si>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</si>
  <si>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</si>
  <si>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</si>
  <si>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</si>
  <si>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</si>
  <si>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</si>
  <si>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</si>
  <si>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</si>
  <si>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</si>
  <si>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</si>
  <si>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</si>
  <si>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</si>
  <si>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</si>
  <si>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</si>
  <si>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</si>
  <si>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</si>
  <si>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</si>
  <si>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</si>
  <si>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</si>
  <si>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</si>
  <si>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</si>
  <si>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</si>
  <si>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</si>
  <si>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</si>
  <si>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</si>
  <si>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</si>
  <si>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</si>
  <si>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</si>
  <si>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</si>
  <si>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</si>
  <si>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</si>
  <si>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</si>
  <si>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</si>
  <si>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</si>
  <si>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</si>
  <si>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</si>
  <si>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</si>
  <si>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</si>
  <si>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</si>
  <si>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</si>
  <si>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</si>
  <si>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</si>
  <si>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</si>
  <si>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</si>
  <si>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</si>
  <si>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</si>
  <si>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</si>
  <si>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</si>
  <si>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</si>
  <si>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</si>
  <si>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</si>
  <si>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</si>
  <si>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</si>
  <si>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</si>
  <si>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</si>
  <si>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</si>
  <si>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</si>
  <si>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</si>
  <si>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</si>
  <si>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</si>
  <si>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</si>
  <si>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</si>
  <si>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</si>
  <si>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</si>
  <si>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</si>
  <si>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</si>
  <si>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</si>
  <si>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</si>
  <si>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</si>
  <si>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</si>
  <si>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</si>
  <si>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</si>
  <si>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</si>
  <si>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</si>
  <si>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</si>
  <si>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</si>
  <si>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</si>
  <si>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</si>
  <si>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</si>
  <si>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</si>
  <si>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</si>
  <si>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</si>
  <si>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</si>
  <si>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</si>
  <si>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</si>
  <si>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</si>
  <si>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</si>
  <si>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</si>
  <si>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</si>
  <si>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</si>
  <si>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</si>
  <si>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</si>
  <si>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</si>
  <si>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</si>
  <si>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</si>
  <si>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</si>
  <si>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</si>
  <si>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</si>
  <si>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</si>
  <si>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</si>
  <si>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</si>
  <si>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</si>
  <si>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</si>
  <si>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</si>
  <si>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</si>
  <si>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</si>
  <si>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</si>
  <si>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</si>
  <si>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</si>
  <si>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</si>
  <si>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</si>
  <si>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</si>
  <si>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</si>
  <si>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</si>
  <si>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</si>
  <si>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</si>
  <si>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</si>
  <si>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</si>
  <si>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</si>
  <si>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</si>
  <si>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</si>
  <si>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</si>
  <si>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</si>
  <si>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</si>
  <si>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</si>
  <si>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</si>
  <si>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</si>
  <si>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</si>
  <si>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</si>
  <si>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</si>
  <si>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</si>
  <si>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</si>
  <si>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</si>
  <si>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</si>
  <si>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</si>
  <si>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</si>
  <si>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</si>
  <si>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</si>
  <si>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</si>
  <si>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</si>
  <si>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</si>
  <si>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</si>
  <si>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</si>
  <si>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</si>
  <si>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</si>
  <si>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</si>
  <si>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</si>
  <si>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</si>
  <si>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</si>
  <si>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</si>
  <si>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</si>
  <si>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</si>
  <si>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</si>
  <si>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</si>
  <si>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</si>
  <si>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</si>
  <si>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</si>
  <si>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</si>
  <si>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</si>
  <si>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</si>
  <si>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</si>
  <si>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</si>
  <si>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</si>
  <si>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</si>
  <si>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</si>
  <si>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</si>
  <si>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</si>
  <si>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</si>
  <si>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</si>
  <si>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</si>
  <si>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</si>
  <si>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</si>
  <si>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</si>
  <si>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</si>
  <si>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</si>
  <si>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</si>
  <si>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</si>
  <si>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</si>
  <si>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</si>
  <si>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</si>
  <si>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</si>
  <si>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</si>
  <si>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</si>
  <si>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</si>
  <si>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</si>
  <si>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</si>
  <si>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</si>
  <si>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</si>
  <si>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</si>
  <si>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</si>
  <si>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</si>
  <si>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</si>
  <si>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</si>
  <si>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</si>
  <si>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</si>
  <si>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</si>
  <si>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</si>
  <si>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</si>
  <si>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</si>
  <si>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</si>
  <si>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</si>
  <si>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</si>
  <si>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</si>
  <si>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</si>
  <si>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</si>
  <si>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</si>
  <si>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</si>
  <si>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</si>
  <si>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</si>
  <si>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</si>
  <si>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</si>
  <si>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</si>
  <si>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</si>
  <si>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</si>
  <si>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</si>
  <si>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</si>
  <si>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</si>
  <si>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</si>
  <si>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</si>
  <si>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</si>
  <si>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</si>
  <si>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</si>
  <si>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</si>
  <si>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</si>
  <si>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</si>
  <si>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</si>
  <si>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</si>
  <si>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</si>
  <si>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</si>
  <si>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</si>
  <si>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</si>
  <si>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</si>
  <si>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</si>
  <si>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</si>
  <si>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</si>
  <si>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</si>
  <si>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</si>
  <si>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</si>
  <si>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</si>
  <si>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</si>
  <si>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</si>
  <si>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</si>
  <si>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</si>
  <si>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</si>
  <si>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</si>
  <si>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</si>
  <si>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</si>
  <si>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</si>
  <si>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</si>
  <si>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</si>
  <si>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</si>
  <si>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</si>
  <si>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</si>
  <si>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</si>
  <si>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</si>
  <si>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</si>
  <si>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</si>
  <si>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</si>
  <si>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</si>
  <si>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</si>
  <si>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</si>
  <si>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</si>
  <si>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</si>
  <si>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</si>
  <si>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</si>
  <si>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</si>
  <si>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</si>
  <si>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</si>
  <si>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</si>
  <si>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</si>
  <si>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</si>
  <si>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</si>
  <si>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</si>
  <si>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</si>
  <si>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</si>
  <si>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</si>
  <si>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</si>
  <si>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</si>
  <si>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</si>
  <si>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</si>
  <si>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</si>
  <si>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</si>
  <si>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</si>
  <si>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</si>
  <si>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</si>
  <si>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</si>
  <si>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</si>
  <si>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</si>
  <si>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</si>
  <si>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</si>
  <si>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</si>
  <si>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</si>
  <si>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</si>
  <si>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</si>
  <si>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</si>
  <si>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</si>
  <si>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</si>
  <si>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</si>
  <si>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</si>
  <si>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</si>
  <si>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</si>
  <si>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</si>
  <si>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</si>
  <si>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</si>
  <si>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</si>
  <si>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</si>
  <si>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</si>
  <si>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</si>
  <si>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</si>
  <si>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</si>
  <si>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</si>
  <si>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</si>
  <si>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</si>
  <si>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</si>
  <si>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</si>
  <si>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</si>
  <si>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</si>
  <si>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</si>
  <si>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</si>
  <si>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</si>
  <si>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</si>
  <si>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</si>
  <si>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</si>
  <si>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</si>
  <si>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</si>
  <si>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</si>
  <si>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</si>
  <si>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</si>
  <si>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</si>
  <si>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</si>
  <si>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</si>
  <si>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</si>
  <si>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</si>
  <si>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</si>
  <si>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</si>
  <si>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</si>
  <si>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</si>
  <si>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</si>
  <si>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</si>
  <si>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</si>
  <si>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</si>
  <si>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</si>
  <si>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</si>
  <si>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</si>
  <si>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</si>
  <si>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</si>
  <si>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</si>
  <si>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</si>
  <si>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</si>
  <si>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</si>
  <si>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</si>
  <si>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</si>
  <si>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</si>
  <si>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</si>
  <si>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</si>
  <si>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</si>
  <si>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</si>
  <si>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</si>
  <si>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</si>
  <si>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</si>
  <si>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</si>
  <si>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</si>
  <si>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</si>
  <si>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</si>
  <si>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</si>
  <si>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</si>
  <si>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</si>
  <si>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</si>
  <si>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</si>
  <si>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</si>
  <si>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</si>
  <si>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</si>
  <si>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</si>
  <si>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</si>
  <si>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</si>
  <si>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</si>
  <si>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</si>
  <si>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</si>
  <si>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</si>
  <si>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</si>
  <si>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</si>
  <si>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</si>
  <si>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</si>
  <si>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</si>
  <si>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</si>
  <si>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</si>
  <si>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</si>
  <si>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</si>
  <si>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</si>
  <si>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</si>
  <si>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</si>
  <si>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</si>
  <si>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</si>
  <si>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</si>
  <si>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</si>
  <si>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</si>
  <si>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</si>
  <si>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</si>
  <si>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</si>
  <si>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</si>
  <si>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</si>
  <si>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</si>
  <si>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</si>
  <si>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</si>
  <si>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</si>
  <si>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</si>
  <si>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</si>
  <si>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</si>
  <si>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</si>
  <si>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</si>
  <si>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</si>
  <si>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</si>
  <si>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</si>
  <si>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</si>
  <si>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</si>
  <si>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</si>
  <si>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</si>
  <si>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</si>
  <si>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</si>
  <si>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</si>
  <si>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</si>
  <si>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</si>
  <si>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</si>
  <si>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</si>
  <si>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</si>
  <si>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</si>
  <si>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</si>
  <si>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</si>
  <si>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</si>
  <si>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</si>
  <si>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</si>
  <si>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</si>
  <si>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</si>
  <si>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</si>
  <si>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</si>
  <si>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</si>
  <si>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</si>
  <si>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</si>
  <si>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</si>
  <si>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</si>
  <si>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</si>
  <si>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</si>
  <si>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</si>
  <si>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</si>
  <si>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</si>
  <si>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</si>
  <si>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</si>
  <si>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</si>
  <si>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</si>
  <si>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</si>
  <si>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</si>
  <si>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</si>
  <si>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</si>
  <si>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</si>
  <si>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</si>
  <si>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</si>
  <si>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</si>
  <si>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</si>
  <si>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</si>
  <si>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</si>
  <si>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</si>
  <si>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</si>
  <si>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</si>
  <si>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</si>
  <si>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</si>
  <si>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</si>
  <si>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</si>
  <si>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</si>
  <si>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</si>
  <si>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</si>
  <si>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</si>
  <si>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</si>
  <si>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</si>
  <si>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</si>
  <si>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</si>
  <si>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</si>
  <si>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</si>
  <si>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</si>
  <si>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</si>
  <si>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</si>
  <si>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</si>
  <si>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</si>
  <si>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</si>
  <si>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</si>
  <si>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</si>
  <si>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</si>
  <si>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</si>
  <si>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</si>
  <si>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</si>
  <si>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</si>
  <si>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</si>
  <si>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</si>
  <si>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</si>
  <si>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</si>
  <si>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</si>
  <si>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</si>
  <si>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</si>
  <si>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</si>
  <si>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</si>
  <si>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</si>
  <si>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</si>
  <si>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</si>
  <si>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</si>
  <si>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</si>
  <si>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</si>
  <si>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</si>
  <si>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</si>
  <si>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</si>
  <si>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</si>
  <si>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</si>
  <si>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</si>
  <si>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</si>
  <si>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</si>
  <si>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</si>
  <si>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</si>
  <si>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</si>
  <si>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</si>
  <si>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</si>
  <si>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</si>
  <si>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</si>
  <si>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</si>
  <si>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</si>
  <si>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</si>
  <si>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</si>
  <si>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</si>
  <si>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</si>
  <si>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</si>
  <si>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</si>
  <si>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</si>
  <si>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</si>
  <si>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</si>
  <si>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</si>
  <si>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</si>
  <si>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</si>
  <si>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</si>
  <si>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</si>
  <si>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</si>
  <si>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</si>
  <si>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</si>
  <si>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</si>
  <si>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</si>
  <si>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</si>
  <si>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</si>
  <si>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</si>
  <si>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</si>
  <si>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</si>
  <si>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</si>
  <si>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</si>
  <si>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</si>
  <si>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</si>
  <si>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</si>
  <si>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</si>
  <si>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</si>
  <si>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</si>
  <si>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</si>
  <si>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</si>
  <si>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</si>
  <si>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</si>
  <si>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</si>
  <si>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</si>
  <si>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</si>
  <si>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</si>
  <si>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</si>
  <si>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</si>
  <si>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</si>
  <si>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</si>
  <si>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</si>
  <si>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</si>
  <si>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</si>
  <si>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</si>
  <si>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</si>
  <si>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</si>
  <si>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</si>
  <si>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</si>
  <si>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</si>
  <si>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</si>
  <si>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</si>
  <si>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</si>
  <si>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</si>
  <si>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</si>
  <si>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</si>
  <si>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</si>
  <si>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</si>
  <si>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</si>
  <si>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</si>
  <si>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</si>
  <si>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</si>
  <si>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</si>
  <si>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</si>
  <si>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</si>
  <si>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</si>
  <si>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</si>
  <si>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</si>
  <si>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</si>
  <si>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</si>
  <si>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</si>
  <si>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</si>
  <si>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</si>
  <si>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</si>
  <si>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</si>
  <si>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</si>
  <si>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</si>
  <si>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</si>
  <si>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</si>
  <si>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</si>
  <si>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</si>
  <si>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</si>
  <si>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</si>
  <si>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</si>
  <si>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</si>
  <si>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</si>
  <si>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</si>
  <si>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</si>
  <si>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</si>
  <si>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</si>
  <si>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</si>
  <si>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</si>
  <si>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</si>
  <si>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</si>
  <si>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</si>
  <si>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</si>
  <si>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</si>
  <si>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</si>
  <si>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</si>
  <si>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</si>
  <si>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</si>
  <si>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</si>
  <si>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</si>
  <si>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</si>
  <si>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</si>
  <si>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</si>
  <si>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</si>
  <si>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</si>
  <si>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</si>
  <si>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</si>
  <si>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</si>
  <si>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</si>
  <si>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</si>
  <si>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</si>
  <si>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</si>
  <si>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</si>
  <si>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</si>
  <si>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</si>
  <si>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</si>
  <si>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</si>
  <si>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</si>
  <si>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</si>
  <si>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</si>
  <si>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</si>
  <si>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</si>
  <si>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</si>
  <si>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</si>
  <si>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</si>
  <si>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</si>
  <si>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</si>
  <si>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</si>
  <si>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</si>
  <si>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</si>
  <si>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</si>
  <si>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</si>
  <si>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</si>
  <si>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</si>
  <si>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</si>
  <si>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</si>
  <si>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</si>
  <si>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</si>
  <si>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</si>
  <si>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</si>
  <si>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</si>
  <si>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</si>
  <si>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</si>
  <si>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</si>
  <si>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</si>
  <si>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</si>
  <si>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</si>
  <si>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</si>
  <si>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</si>
  <si>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</si>
  <si>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</si>
  <si>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</si>
  <si>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</si>
  <si>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</si>
  <si>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</si>
  <si>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</si>
  <si>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</si>
  <si>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</si>
  <si>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</si>
  <si>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</si>
  <si>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</si>
  <si>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</si>
  <si>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</si>
  <si>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</si>
  <si>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</si>
  <si>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</si>
  <si>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</si>
  <si>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</si>
  <si>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</si>
  <si>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</si>
  <si>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</si>
  <si>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</si>
  <si>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</si>
  <si>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</si>
  <si>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</si>
  <si>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</si>
  <si>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</si>
  <si>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</si>
  <si>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</si>
  <si>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</si>
  <si>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</si>
  <si>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</si>
  <si>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</si>
  <si>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</si>
  <si>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</si>
  <si>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</si>
  <si>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</si>
  <si>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</si>
  <si>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</si>
  <si>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</si>
  <si>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</si>
  <si>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</si>
  <si>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</si>
  <si>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</si>
  <si>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</si>
  <si>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</si>
  <si>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</si>
  <si>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</si>
  <si>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</si>
  <si>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</si>
  <si>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</si>
  <si>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</si>
  <si>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</si>
  <si>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</si>
  <si>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</si>
  <si>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</si>
  <si>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</si>
  <si>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</si>
  <si>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</si>
  <si>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</si>
  <si>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</si>
  <si>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</si>
  <si>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</si>
  <si>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</si>
  <si>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</si>
  <si>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</si>
  <si>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</si>
  <si>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</si>
  <si>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</si>
  <si>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</si>
  <si>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</si>
  <si>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</si>
  <si>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</si>
  <si>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</si>
  <si>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</si>
  <si>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</si>
  <si>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</si>
  <si>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</si>
  <si>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</si>
  <si>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</si>
  <si>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</si>
  <si>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</si>
  <si>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</si>
  <si>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</si>
  <si>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</si>
  <si>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</si>
  <si>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</si>
  <si>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</si>
  <si>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</si>
  <si>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</si>
  <si>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</si>
  <si>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</si>
  <si>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</si>
  <si>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</si>
  <si>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</si>
  <si>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</si>
  <si>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</si>
  <si>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</si>
  <si>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</si>
  <si>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</si>
  <si>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</si>
  <si>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</si>
  <si>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</si>
  <si>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</si>
  <si>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</si>
  <si>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</si>
  <si>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</si>
  <si>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</si>
  <si>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</si>
  <si>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</si>
  <si>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</si>
  <si>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</si>
  <si>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</si>
  <si>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</si>
  <si>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</si>
  <si>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</si>
  <si>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</si>
  <si>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</si>
  <si>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</si>
  <si>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</si>
  <si>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</si>
  <si>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</si>
  <si>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</si>
  <si>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</si>
  <si>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</si>
  <si>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</si>
  <si>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</si>
  <si>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</si>
  <si>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</si>
  <si>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</si>
  <si>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</si>
  <si>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</si>
  <si>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</si>
  <si>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</si>
  <si>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</si>
  <si>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</si>
  <si>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</si>
  <si>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</si>
  <si>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</si>
  <si>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</si>
  <si>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</si>
  <si>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</si>
  <si>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</si>
  <si>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</si>
  <si>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</si>
  <si>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</si>
  <si>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</si>
  <si>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</si>
  <si>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</si>
  <si>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</si>
  <si>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</si>
  <si>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</si>
  <si>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</si>
  <si>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</si>
  <si>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</si>
  <si>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</si>
  <si>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</si>
  <si>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</si>
  <si>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</si>
  <si>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</si>
  <si>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</si>
  <si>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</si>
  <si>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</si>
  <si>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</si>
  <si>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</si>
  <si>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</si>
  <si>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</si>
  <si>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</si>
  <si>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</si>
  <si>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</si>
  <si>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</si>
  <si>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</si>
  <si>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</si>
  <si>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</si>
  <si>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</si>
  <si>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</si>
  <si>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</si>
  <si>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</si>
  <si>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</si>
  <si>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</si>
  <si>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</si>
  <si>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</si>
  <si>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</si>
  <si>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</si>
  <si>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</si>
  <si>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</si>
  <si>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</si>
  <si>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</si>
  <si>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</si>
  <si>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</si>
  <si>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</si>
  <si>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</si>
  <si>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</si>
  <si>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</si>
  <si>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</si>
  <si>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</si>
  <si>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</si>
  <si>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</si>
  <si>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</si>
  <si>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</si>
  <si>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</si>
  <si>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</si>
  <si>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</si>
  <si>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</si>
  <si>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</si>
  <si>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</si>
  <si>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</si>
  <si>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</si>
  <si>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</si>
  <si>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</si>
  <si>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</si>
  <si>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</si>
  <si>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</si>
  <si>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</si>
  <si>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</si>
  <si>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</si>
  <si>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</si>
  <si>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</si>
  <si>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</si>
  <si>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</si>
  <si>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</si>
  <si>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</si>
  <si>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</si>
  <si>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</si>
  <si>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</si>
  <si>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</si>
  <si>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</si>
  <si>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</si>
  <si>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</si>
  <si>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</si>
  <si>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</si>
  <si>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</si>
  <si>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</si>
  <si>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</si>
  <si>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</si>
  <si>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</si>
  <si>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</si>
  <si>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</si>
  <si>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</si>
  <si>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</si>
  <si>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</si>
  <si>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</si>
  <si>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</si>
  <si>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</si>
  <si>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</si>
  <si>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</si>
  <si>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</si>
  <si>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</si>
  <si>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</si>
  <si>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</si>
  <si>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</si>
  <si>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</si>
  <si>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</si>
  <si>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</si>
  <si>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</si>
  <si>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</si>
  <si>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</si>
  <si>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</si>
  <si>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</si>
  <si>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</si>
  <si>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</si>
  <si>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</si>
  <si>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</si>
  <si>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</si>
  <si>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</si>
  <si>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</si>
  <si>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</si>
  <si>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</si>
  <si>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</si>
  <si>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</si>
  <si>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</si>
  <si>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</si>
  <si>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</si>
  <si>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</si>
  <si>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</si>
  <si>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</si>
  <si>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</si>
  <si>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</si>
  <si>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</si>
  <si>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</si>
  <si>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</si>
  <si>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</si>
  <si>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</si>
  <si>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</si>
  <si>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</si>
  <si>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</si>
  <si>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</si>
  <si>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</si>
  <si>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</si>
  <si>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</si>
  <si>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</si>
  <si>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</si>
  <si>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</si>
  <si>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</si>
  <si>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</si>
  <si>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</si>
  <si>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</si>
  <si>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</si>
  <si>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</si>
  <si>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</si>
  <si>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</si>
  <si>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</si>
  <si>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</si>
  <si>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</si>
  <si>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</si>
  <si>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</si>
  <si>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</si>
  <si>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</si>
  <si>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</si>
  <si>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</si>
  <si>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</si>
  <si>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</si>
  <si>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</si>
  <si>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</si>
  <si>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</si>
  <si>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</si>
  <si>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</si>
  <si>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</si>
  <si>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</si>
  <si>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</si>
  <si>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</si>
  <si>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</si>
  <si>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</si>
  <si>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</si>
  <si>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</si>
  <si>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</si>
  <si>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</si>
  <si>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</si>
  <si>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</si>
  <si>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</si>
  <si>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</si>
  <si>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</si>
  <si>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</si>
  <si>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</si>
  <si>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</si>
  <si>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</si>
  <si>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</si>
  <si>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</si>
  <si>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</si>
  <si>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</si>
  <si>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</si>
  <si>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</si>
  <si>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</si>
  <si>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</si>
  <si>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</si>
  <si>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</si>
  <si>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</si>
  <si>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</si>
  <si>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</si>
  <si>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</si>
  <si>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</si>
  <si>
    <t>katalog, dus tanggung, hangtag, tisu, sticker</t>
  </si>
  <si>
    <t>katalog, dusmini, hangtag, tisu, sticker</t>
  </si>
  <si>
    <t>katalog, dus dompet, hangtag, slip</t>
  </si>
  <si>
    <t>katalog, laken s hangtag, slip</t>
  </si>
  <si>
    <t xml:space="preserve">LTE </t>
  </si>
  <si>
    <t xml:space="preserve">LGG </t>
  </si>
  <si>
    <t>katalog, slip, hangtag, logam emas, laken xl</t>
  </si>
  <si>
    <t>LGG 272</t>
  </si>
  <si>
    <t>LYT 898</t>
  </si>
  <si>
    <t>LYT 282</t>
  </si>
  <si>
    <t>LYT 894</t>
  </si>
  <si>
    <t>LPS 240</t>
  </si>
  <si>
    <t>LJO 437</t>
  </si>
  <si>
    <t>LBU 865</t>
  </si>
  <si>
    <t>LSB 953</t>
  </si>
  <si>
    <t>LSB 223</t>
  </si>
  <si>
    <t>LMI 121</t>
  </si>
  <si>
    <t>LNF 160</t>
  </si>
  <si>
    <t>LNF 746</t>
  </si>
  <si>
    <t>LNF 117</t>
  </si>
  <si>
    <t>LKP 202</t>
  </si>
  <si>
    <t>LDI 220</t>
  </si>
  <si>
    <t>LDE 264</t>
  </si>
  <si>
    <t>katalog, slip, hangtag, dus</t>
  </si>
  <si>
    <t xml:space="preserve">BCL - Co - Sepatu - Casual </t>
  </si>
  <si>
    <t>Net</t>
  </si>
  <si>
    <t>katalog, hangtag, slip kain, label ID, logam nikel, laken XL</t>
  </si>
  <si>
    <t>katalog, hangtag, slip, label ID, label kain, kulit lubang</t>
  </si>
  <si>
    <t>katalog, hangtag, slip, label ID, kulit lubang, laken XL</t>
  </si>
  <si>
    <t>katalog, hangtag, slip kain, label ID, logam nikel, lakken XL</t>
  </si>
  <si>
    <t>katalog, hangtag, slip kain, label id, logam nikel, laken XL</t>
  </si>
  <si>
    <t>katalog, hangtag, slip, label ID, laken XL</t>
  </si>
  <si>
    <t>katalog, hangtag, slip, label ID, kulit, laken XL</t>
  </si>
  <si>
    <t>katalog, hangtag, slip, label ID, kulit jeans, laken M</t>
  </si>
  <si>
    <t>katalog, hangtag, slip, label ID, kulit + woven, laken XL</t>
  </si>
  <si>
    <t>katalog, hangtag, slip, label ID, kulit jeans, laken L</t>
  </si>
  <si>
    <t>LED 948</t>
  </si>
  <si>
    <t>LUD 280</t>
  </si>
  <si>
    <t xml:space="preserve">Ahmad Suganda </t>
  </si>
  <si>
    <t>Katalog - Laken (S) - Hangtag Kulit - Slip Kain</t>
  </si>
  <si>
    <t>Katalog - Dus - Hangtag Kulit - Slip Kain</t>
  </si>
  <si>
    <t>Katalog - Dus - Hangtag Kulit - Slip Kain - Logam Cor Nikel</t>
  </si>
  <si>
    <t>Katalog - Laken (XL) - Hangtag Kulit - Slip Kain - Label ID - Label Kain New</t>
  </si>
  <si>
    <t>Katalog - Laken (M) - Hangtag Kulit - Slip Karet - Logam Cor Nikel</t>
  </si>
  <si>
    <t>Buffer / Net</t>
  </si>
  <si>
    <t>Buffer / Gross</t>
  </si>
  <si>
    <t>katalog, slip, label ID, hangtag, label woven + kulit, slip karet laptop, laken XL</t>
  </si>
  <si>
    <t>katalog, hangtag, tisu, sticker, dus anak</t>
  </si>
  <si>
    <t>katalog, dus anak, hangtag, tisu, sticker, slip</t>
  </si>
  <si>
    <t>katalog, dus pria, hangtag, tisu, sticker, slip lidah</t>
  </si>
  <si>
    <t>katalog,slip,label ID,handtag,laken XL,Label+woven, Slip karet tali laptop</t>
  </si>
  <si>
    <t>BCL - Anak - Sepatu - Co - Boot 30</t>
  </si>
  <si>
    <t>BCL - Anak - Ce - Sepatu - 30</t>
  </si>
  <si>
    <t>BCL - Anak - Sandal - Co - 30</t>
  </si>
  <si>
    <t>katalog, dus tanggung, tisu, hangtag, sticker</t>
  </si>
  <si>
    <t>katalog, slip karet, hangtag, logam nikel, laken L</t>
  </si>
  <si>
    <t>katalog, hangtag kulit, slip kain, emblem baju #2, laken XL</t>
  </si>
  <si>
    <t>katalog, dus pria, hangtag, tisu, sticker,</t>
  </si>
  <si>
    <t>katalog, slip, label ID, hangtag, woven + kulit, lakeb XL</t>
  </si>
  <si>
    <t>Katalog, Laken (L), Hangtag Kulit, Slip Kain - Label ID, Logam Cor Bakar</t>
  </si>
  <si>
    <t xml:space="preserve">Ervin - SVN </t>
  </si>
  <si>
    <t>Katalog, Hangtag Kulit, Slip Kain, Label ID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</si>
</sst>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41" fontId="8" fillId="8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horizontal="center" vertical="center"/>
    </xf>
    <xf numFmtId="41" fontId="8" fillId="4" borderId="0" xfId="2" applyFont="1" applyFill="1" applyBorder="1"/>
    <xf numFmtId="0" fontId="6" fillId="8" borderId="0" xfId="0" applyFont="1" applyFill="1" applyAlignment="1">
      <alignment vertical="center"/>
    </xf>
    <xf numFmtId="164" fontId="3" fillId="4" borderId="0" xfId="1" applyNumberFormat="1" applyFont="1" applyFill="1" applyAlignment="1">
      <alignment horizontal="center"/>
    </xf>
    <xf numFmtId="41" fontId="3" fillId="4" borderId="0" xfId="2" applyFont="1" applyFill="1" applyAlignment="1">
      <alignment horizontal="center"/>
    </xf>
    <xf numFmtId="3" fontId="0" fillId="8" borderId="0" xfId="0" applyNumberFormat="1" applyFill="1"/>
    <xf numFmtId="164" fontId="0" fillId="8" borderId="0" xfId="1" applyNumberFormat="1" applyFont="1" applyFill="1"/>
    <xf numFmtId="41" fontId="3" fillId="8" borderId="0" xfId="2" applyFont="1" applyFill="1" applyAlignment="1"/>
    <xf numFmtId="0" fontId="0" fillId="13" borderId="0" xfId="0" applyFill="1" applyAlignment="1">
      <alignment horizontal="center"/>
    </xf>
    <xf numFmtId="41" fontId="0" fillId="8" borderId="0" xfId="2" applyFont="1" applyFill="1" applyAlignment="1"/>
    <xf numFmtId="41" fontId="3" fillId="8" borderId="0" xfId="2" applyFont="1" applyFill="1" applyAlignment="1">
      <alignment horizontal="center"/>
    </xf>
    <xf numFmtId="41" fontId="1" fillId="8" borderId="0" xfId="2" applyFont="1" applyFill="1" applyAlignment="1"/>
    <xf numFmtId="41" fontId="10" fillId="8" borderId="0" xfId="2" applyFont="1" applyFill="1" applyAlignment="1">
      <alignment horizontal="left"/>
    </xf>
    <xf numFmtId="41" fontId="10" fillId="8" borderId="0" xfId="2" applyFont="1" applyFill="1" applyAlignment="1">
      <alignment horizontal="left" vertical="center"/>
    </xf>
    <xf numFmtId="0" fontId="0" fillId="8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41" fontId="8" fillId="4" borderId="0" xfId="2" applyFont="1" applyFill="1" applyBorder="1" applyAlignment="1">
      <alignment horizontal="center"/>
    </xf>
    <xf numFmtId="41" fontId="6" fillId="8" borderId="0" xfId="2" applyFont="1" applyFill="1" applyAlignment="1">
      <alignment horizontal="left" vertical="center"/>
    </xf>
    <xf numFmtId="3" fontId="0" fillId="8" borderId="0" xfId="0" applyNumberFormat="1" applyFont="1" applyFill="1"/>
    <xf numFmtId="41" fontId="1" fillId="8" borderId="0" xfId="2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41" fontId="1" fillId="4" borderId="0" xfId="2" applyFont="1" applyFill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1:AA442"/>
  <sheetViews>
    <sheetView zoomScale="80" zoomScaleNormal="80" workbookViewId="0">
      <pane xSplit="5" topLeftCell="L1" activePane="topRight" state="frozen"/>
      <selection pane="topRight" activeCell="O445" sqref="O445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5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66" t="e">
        <f>AVERAGE(X5:X424)</f>
        <v>#DIV/0!</v>
      </c>
      <c r="Y2" s="31"/>
      <c r="Z2" s="67">
        <v>4008</v>
      </c>
      <c r="AA2" s="31"/>
    </row>
    <row r="3" spans="1:27" ht="25.95" customHeight="1">
      <c r="A3" s="31"/>
      <c r="B3" s="65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107" t="s">
        <v>0</v>
      </c>
      <c r="S3" s="107"/>
      <c r="T3" s="107"/>
      <c r="U3" s="107"/>
      <c r="V3" s="107"/>
      <c r="W3" s="107"/>
      <c r="X3" s="108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7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68" t="s">
        <v>13</v>
      </c>
      <c r="S4" s="68" t="s">
        <v>14</v>
      </c>
      <c r="T4" s="68" t="s">
        <v>15</v>
      </c>
      <c r="U4" s="69" t="s">
        <v>16</v>
      </c>
      <c r="V4" s="69" t="s">
        <v>17</v>
      </c>
      <c r="W4" s="69" t="s">
        <v>18</v>
      </c>
      <c r="X4" s="70" t="s">
        <v>19</v>
      </c>
      <c r="Y4" s="71" t="s">
        <v>20</v>
      </c>
      <c r="Z4" s="71" t="s">
        <v>21</v>
      </c>
      <c r="AA4" s="71"/>
    </row>
    <row r="5" spans="1:27" ht="14.4" hidden="1" customHeight="1">
      <c r="A5" s="35">
        <v>1</v>
      </c>
      <c r="B5" s="39"/>
      <c r="C5" s="73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68" si="1">IF(C5=E5,0,1)</f>
        <v>0</v>
      </c>
      <c r="G5" s="76" t="s">
        <v>335</v>
      </c>
      <c r="H5" s="77" t="s">
        <v>333</v>
      </c>
      <c r="I5" s="77" t="s">
        <v>334</v>
      </c>
      <c r="J5" s="41">
        <v>76500</v>
      </c>
      <c r="K5" s="42">
        <f t="shared" ref="K5:K36" si="2">J5-M5</f>
        <v>8250</v>
      </c>
      <c r="L5" s="39" t="s">
        <v>22</v>
      </c>
      <c r="M5" s="43">
        <f t="shared" ref="M5:M36" si="3">J5-N5</f>
        <v>68250</v>
      </c>
      <c r="N5" s="43">
        <f>2000+5200+600+200+250</f>
        <v>8250</v>
      </c>
      <c r="O5" s="72">
        <f t="shared" ref="O5:O36" si="4">M5+N5</f>
        <v>76500</v>
      </c>
      <c r="P5" s="29"/>
      <c r="Q5" s="40" t="s">
        <v>71</v>
      </c>
      <c r="R5" s="44"/>
      <c r="S5" s="44">
        <f t="shared" ref="S5:S36" si="5">R5+O5</f>
        <v>76500</v>
      </c>
      <c r="T5" s="44">
        <f t="shared" ref="T5:T36" si="6">S5/0.7</f>
        <v>109285.71428571429</v>
      </c>
      <c r="U5" s="45">
        <f t="shared" ref="U5:U36" si="7">T5/0.875</f>
        <v>124897.95918367348</v>
      </c>
      <c r="V5" s="46">
        <f t="shared" ref="V5:V36" si="8">(U5-T5)/U5</f>
        <v>0.12500000000000003</v>
      </c>
      <c r="W5" s="45">
        <f t="shared" ref="W5:W36" si="9">(ROUNDUP((U5/100),0))*100</f>
        <v>124900</v>
      </c>
      <c r="X5" s="47">
        <f t="shared" ref="X5:X36" si="10">(T5-O5)/T5</f>
        <v>0.30000000000000004</v>
      </c>
      <c r="Y5" s="48"/>
      <c r="Z5" s="48"/>
      <c r="AA5" s="48"/>
    </row>
    <row r="6" spans="1:27" ht="14.4" hidden="1" customHeight="1">
      <c r="A6" s="35">
        <v>2</v>
      </c>
      <c r="B6" s="39"/>
      <c r="C6" s="73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76" t="s">
        <v>335</v>
      </c>
      <c r="H6" s="77" t="s">
        <v>323</v>
      </c>
      <c r="I6" s="77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2">
        <f t="shared" si="4"/>
        <v>87000</v>
      </c>
      <c r="P6" s="29"/>
      <c r="Q6" s="40" t="s">
        <v>74</v>
      </c>
      <c r="R6" s="44"/>
      <c r="S6" s="44">
        <f t="shared" si="5"/>
        <v>87000</v>
      </c>
      <c r="T6" s="44">
        <f t="shared" si="6"/>
        <v>124285.71428571429</v>
      </c>
      <c r="U6" s="45">
        <f t="shared" si="7"/>
        <v>142040.81632653062</v>
      </c>
      <c r="V6" s="46">
        <f t="shared" si="8"/>
        <v>0.12500000000000003</v>
      </c>
      <c r="W6" s="45">
        <f t="shared" si="9"/>
        <v>142100</v>
      </c>
      <c r="X6" s="47">
        <f t="shared" si="10"/>
        <v>0.30000000000000004</v>
      </c>
      <c r="Y6" s="48"/>
      <c r="Z6" s="48"/>
      <c r="AA6" s="50"/>
    </row>
    <row r="7" spans="1:27" ht="14.4" hidden="1" customHeight="1">
      <c r="A7" s="35">
        <v>3</v>
      </c>
      <c r="B7" s="39"/>
      <c r="C7" s="73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76" t="s">
        <v>335</v>
      </c>
      <c r="H7" s="77" t="s">
        <v>333</v>
      </c>
      <c r="I7" s="77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2">
        <f t="shared" si="4"/>
        <v>76500</v>
      </c>
      <c r="P7" s="29"/>
      <c r="Q7" s="40" t="s">
        <v>71</v>
      </c>
      <c r="R7" s="44"/>
      <c r="S7" s="44">
        <f t="shared" si="5"/>
        <v>76500</v>
      </c>
      <c r="T7" s="44">
        <f t="shared" si="6"/>
        <v>109285.71428571429</v>
      </c>
      <c r="U7" s="45">
        <f t="shared" si="7"/>
        <v>124897.95918367348</v>
      </c>
      <c r="V7" s="46">
        <f t="shared" si="8"/>
        <v>0.12500000000000003</v>
      </c>
      <c r="W7" s="45">
        <f t="shared" si="9"/>
        <v>124900</v>
      </c>
      <c r="X7" s="47">
        <f t="shared" si="10"/>
        <v>0.30000000000000004</v>
      </c>
      <c r="Y7" s="48"/>
      <c r="Z7" s="48"/>
      <c r="AA7" s="50"/>
    </row>
    <row r="8" spans="1:27" ht="14.4" hidden="1" customHeight="1">
      <c r="A8" s="51">
        <v>4</v>
      </c>
      <c r="B8" s="39"/>
      <c r="C8" s="74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76" t="s">
        <v>335</v>
      </c>
      <c r="H8" s="77" t="s">
        <v>324</v>
      </c>
      <c r="I8" s="77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2">
        <f t="shared" si="4"/>
        <v>91000</v>
      </c>
      <c r="P8" s="29"/>
      <c r="Q8" s="40" t="s">
        <v>69</v>
      </c>
      <c r="R8" s="53"/>
      <c r="S8" s="44">
        <f t="shared" si="5"/>
        <v>91000</v>
      </c>
      <c r="T8" s="44">
        <f t="shared" si="6"/>
        <v>130000.00000000001</v>
      </c>
      <c r="U8" s="45">
        <f t="shared" si="7"/>
        <v>148571.42857142858</v>
      </c>
      <c r="V8" s="46">
        <f t="shared" si="8"/>
        <v>0.12499999999999994</v>
      </c>
      <c r="W8" s="45">
        <f t="shared" si="9"/>
        <v>148600</v>
      </c>
      <c r="X8" s="47">
        <f t="shared" si="10"/>
        <v>0.3000000000000001</v>
      </c>
      <c r="Y8" s="54"/>
      <c r="Z8" s="54"/>
      <c r="AA8" s="55"/>
    </row>
    <row r="9" spans="1:27" ht="14.4" hidden="1" customHeight="1">
      <c r="A9" s="56">
        <v>5</v>
      </c>
      <c r="B9" s="39"/>
      <c r="C9" s="73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76" t="s">
        <v>340</v>
      </c>
      <c r="H9" s="77" t="s">
        <v>324</v>
      </c>
      <c r="I9" s="77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2">
        <f t="shared" si="4"/>
        <v>74500</v>
      </c>
      <c r="P9" s="29"/>
      <c r="Q9" s="40" t="s">
        <v>69</v>
      </c>
      <c r="R9" s="53"/>
      <c r="S9" s="44">
        <f t="shared" si="5"/>
        <v>74500</v>
      </c>
      <c r="T9" s="44">
        <f t="shared" si="6"/>
        <v>106428.57142857143</v>
      </c>
      <c r="U9" s="45">
        <f t="shared" si="7"/>
        <v>121632.6530612245</v>
      </c>
      <c r="V9" s="46">
        <f t="shared" si="8"/>
        <v>0.125</v>
      </c>
      <c r="W9" s="45">
        <f t="shared" si="9"/>
        <v>121700</v>
      </c>
      <c r="X9" s="47">
        <f t="shared" si="10"/>
        <v>0.30000000000000004</v>
      </c>
      <c r="Y9" s="57">
        <v>103075</v>
      </c>
      <c r="Z9" s="58">
        <f>T9-Y9</f>
        <v>3353.5714285714348</v>
      </c>
      <c r="AA9" s="59">
        <f>Z9/Y9</f>
        <v>3.2535255188662959E-2</v>
      </c>
    </row>
    <row r="10" spans="1:27" ht="14.4" hidden="1" customHeight="1">
      <c r="A10" s="51">
        <v>6</v>
      </c>
      <c r="B10" s="39"/>
      <c r="C10" s="74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76" t="s">
        <v>335</v>
      </c>
      <c r="H10" s="77" t="s">
        <v>324</v>
      </c>
      <c r="I10" s="77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2">
        <f t="shared" si="4"/>
        <v>91000</v>
      </c>
      <c r="P10" s="29"/>
      <c r="Q10" s="40" t="s">
        <v>69</v>
      </c>
      <c r="R10" s="53"/>
      <c r="S10" s="44">
        <f t="shared" si="5"/>
        <v>91000</v>
      </c>
      <c r="T10" s="44">
        <f t="shared" si="6"/>
        <v>130000.00000000001</v>
      </c>
      <c r="U10" s="45">
        <f t="shared" si="7"/>
        <v>148571.42857142858</v>
      </c>
      <c r="V10" s="46">
        <f t="shared" si="8"/>
        <v>0.12499999999999994</v>
      </c>
      <c r="W10" s="45">
        <f t="shared" si="9"/>
        <v>148600</v>
      </c>
      <c r="X10" s="47">
        <f t="shared" si="10"/>
        <v>0.3000000000000001</v>
      </c>
      <c r="Y10" s="54"/>
      <c r="Z10" s="54"/>
      <c r="AA10" s="55"/>
    </row>
    <row r="11" spans="1:27" ht="14.4" hidden="1" customHeight="1">
      <c r="A11" s="51">
        <v>7</v>
      </c>
      <c r="B11" s="39"/>
      <c r="C11" s="75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76" t="s">
        <v>340</v>
      </c>
      <c r="H11" s="77" t="s">
        <v>324</v>
      </c>
      <c r="I11" s="77" t="s">
        <v>344</v>
      </c>
      <c r="J11" s="52">
        <v>72000</v>
      </c>
      <c r="K11" s="42">
        <f t="shared" si="2"/>
        <v>8250</v>
      </c>
      <c r="L11" s="39" t="s">
        <v>22</v>
      </c>
      <c r="M11" s="43">
        <f t="shared" si="3"/>
        <v>63750</v>
      </c>
      <c r="N11" s="52">
        <f>2000+600+200+250+5200</f>
        <v>8250</v>
      </c>
      <c r="O11" s="72">
        <f t="shared" si="4"/>
        <v>72000</v>
      </c>
      <c r="P11" s="29"/>
      <c r="Q11" s="40"/>
      <c r="R11" s="53"/>
      <c r="S11" s="44">
        <f t="shared" si="5"/>
        <v>72000</v>
      </c>
      <c r="T11" s="44">
        <f t="shared" si="6"/>
        <v>102857.14285714287</v>
      </c>
      <c r="U11" s="45">
        <f t="shared" si="7"/>
        <v>117551.02040816328</v>
      </c>
      <c r="V11" s="46">
        <f t="shared" si="8"/>
        <v>0.12500000000000003</v>
      </c>
      <c r="W11" s="45">
        <f t="shared" si="9"/>
        <v>117600</v>
      </c>
      <c r="X11" s="47">
        <f t="shared" si="10"/>
        <v>0.3000000000000001</v>
      </c>
      <c r="Y11" s="57">
        <v>103075</v>
      </c>
      <c r="Z11" s="58">
        <f>T11-Y11</f>
        <v>-217.85714285713038</v>
      </c>
      <c r="AA11" s="59">
        <f>Z11/Y11</f>
        <v>-2.1135788780706319E-3</v>
      </c>
    </row>
    <row r="12" spans="1:27" ht="14.4" hidden="1" customHeight="1">
      <c r="A12" s="35">
        <v>8</v>
      </c>
      <c r="B12" s="39"/>
      <c r="C12" s="73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76" t="s">
        <v>335</v>
      </c>
      <c r="H12" s="77" t="s">
        <v>323</v>
      </c>
      <c r="I12" s="77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2">
        <f t="shared" si="4"/>
        <v>80000</v>
      </c>
      <c r="P12" s="29"/>
      <c r="Q12" s="40" t="s">
        <v>69</v>
      </c>
      <c r="R12" s="44"/>
      <c r="S12" s="44">
        <f t="shared" si="5"/>
        <v>80000</v>
      </c>
      <c r="T12" s="44">
        <f t="shared" si="6"/>
        <v>114285.71428571429</v>
      </c>
      <c r="U12" s="45">
        <f t="shared" si="7"/>
        <v>130612.24489795919</v>
      </c>
      <c r="V12" s="46">
        <f t="shared" si="8"/>
        <v>0.12499999999999999</v>
      </c>
      <c r="W12" s="45">
        <f t="shared" si="9"/>
        <v>130700</v>
      </c>
      <c r="X12" s="47">
        <f t="shared" si="10"/>
        <v>0.30000000000000004</v>
      </c>
      <c r="Y12" s="48"/>
      <c r="Z12" s="48"/>
      <c r="AA12" s="50"/>
    </row>
    <row r="13" spans="1:27" ht="14.4" hidden="1" customHeight="1">
      <c r="A13" s="51">
        <v>9</v>
      </c>
      <c r="B13" s="39"/>
      <c r="C13" s="74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76" t="s">
        <v>340</v>
      </c>
      <c r="H13" s="77" t="s">
        <v>323</v>
      </c>
      <c r="I13" s="77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2">
        <f t="shared" si="4"/>
        <v>91000</v>
      </c>
      <c r="P13" s="29"/>
      <c r="Q13" s="40" t="s">
        <v>69</v>
      </c>
      <c r="R13" s="53"/>
      <c r="S13" s="44">
        <f t="shared" si="5"/>
        <v>91000</v>
      </c>
      <c r="T13" s="44">
        <f t="shared" si="6"/>
        <v>130000.00000000001</v>
      </c>
      <c r="U13" s="45">
        <f t="shared" si="7"/>
        <v>148571.42857142858</v>
      </c>
      <c r="V13" s="46">
        <f t="shared" si="8"/>
        <v>0.12499999999999994</v>
      </c>
      <c r="W13" s="45">
        <f t="shared" si="9"/>
        <v>148600</v>
      </c>
      <c r="X13" s="47">
        <f t="shared" si="10"/>
        <v>0.3000000000000001</v>
      </c>
      <c r="Y13" s="57">
        <v>127050</v>
      </c>
      <c r="Z13" s="58">
        <f>T13-Y13</f>
        <v>2950.0000000000146</v>
      </c>
      <c r="AA13" s="59">
        <f>Z13/Y13</f>
        <v>2.3219205037386972E-2</v>
      </c>
    </row>
    <row r="14" spans="1:27" ht="14.4" hidden="1" customHeight="1">
      <c r="A14" s="51">
        <v>10</v>
      </c>
      <c r="B14" s="39"/>
      <c r="C14" s="75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76" t="s">
        <v>335</v>
      </c>
      <c r="H14" s="77" t="s">
        <v>324</v>
      </c>
      <c r="I14" s="77" t="s">
        <v>349</v>
      </c>
      <c r="J14" s="52">
        <v>77500</v>
      </c>
      <c r="K14" s="42">
        <f t="shared" si="2"/>
        <v>8250</v>
      </c>
      <c r="L14" s="39" t="s">
        <v>22</v>
      </c>
      <c r="M14" s="43">
        <f t="shared" si="3"/>
        <v>69250</v>
      </c>
      <c r="N14" s="52">
        <f>2000+5200+600+200+250</f>
        <v>8250</v>
      </c>
      <c r="O14" s="72">
        <v>97500</v>
      </c>
      <c r="P14" s="29"/>
      <c r="Q14" s="40" t="s">
        <v>1340</v>
      </c>
      <c r="R14" s="53"/>
      <c r="S14" s="44">
        <f t="shared" si="5"/>
        <v>97500</v>
      </c>
      <c r="T14" s="44">
        <f t="shared" si="6"/>
        <v>139285.71428571429</v>
      </c>
      <c r="U14" s="45">
        <f t="shared" si="7"/>
        <v>159183.67346938775</v>
      </c>
      <c r="V14" s="46">
        <f t="shared" si="8"/>
        <v>0.12499999999999996</v>
      </c>
      <c r="W14" s="45">
        <f t="shared" si="9"/>
        <v>159200</v>
      </c>
      <c r="X14" s="47">
        <f t="shared" si="10"/>
        <v>0.30000000000000004</v>
      </c>
      <c r="Y14" s="54"/>
      <c r="Z14" s="54"/>
      <c r="AA14" s="55"/>
    </row>
    <row r="15" spans="1:27" ht="14.4" hidden="1" customHeight="1">
      <c r="A15" s="56">
        <v>11</v>
      </c>
      <c r="B15" s="39"/>
      <c r="C15" s="73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76" t="s">
        <v>340</v>
      </c>
      <c r="H15" s="77" t="s">
        <v>324</v>
      </c>
      <c r="I15" s="77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2">
        <f t="shared" si="4"/>
        <v>72500</v>
      </c>
      <c r="P15" s="29"/>
      <c r="Q15" s="40" t="s">
        <v>69</v>
      </c>
      <c r="R15" s="53"/>
      <c r="S15" s="44">
        <f t="shared" si="5"/>
        <v>72500</v>
      </c>
      <c r="T15" s="44">
        <f t="shared" si="6"/>
        <v>103571.42857142858</v>
      </c>
      <c r="U15" s="45">
        <f t="shared" si="7"/>
        <v>118367.34693877552</v>
      </c>
      <c r="V15" s="46">
        <f t="shared" si="8"/>
        <v>0.12499999999999999</v>
      </c>
      <c r="W15" s="45">
        <f t="shared" si="9"/>
        <v>118400</v>
      </c>
      <c r="X15" s="47">
        <f t="shared" si="10"/>
        <v>0.30000000000000004</v>
      </c>
      <c r="Y15" s="57">
        <v>102025</v>
      </c>
      <c r="Z15" s="58">
        <f>T15-Y15</f>
        <v>1546.4285714285797</v>
      </c>
      <c r="AA15" s="59">
        <f>Z15/Y15</f>
        <v>1.5157349389155401E-2</v>
      </c>
    </row>
    <row r="16" spans="1:27" ht="14.4" hidden="1" customHeight="1">
      <c r="A16" s="35">
        <v>12</v>
      </c>
      <c r="B16" s="39"/>
      <c r="C16" s="73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76" t="s">
        <v>335</v>
      </c>
      <c r="H16" s="77" t="s">
        <v>324</v>
      </c>
      <c r="I16" s="77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2">
        <f t="shared" si="4"/>
        <v>71500</v>
      </c>
      <c r="P16" s="29"/>
      <c r="Q16" s="40" t="s">
        <v>70</v>
      </c>
      <c r="R16" s="44"/>
      <c r="S16" s="44">
        <f t="shared" si="5"/>
        <v>71500</v>
      </c>
      <c r="T16" s="44">
        <f t="shared" si="6"/>
        <v>102142.85714285714</v>
      </c>
      <c r="U16" s="45">
        <f t="shared" si="7"/>
        <v>116734.69387755102</v>
      </c>
      <c r="V16" s="46">
        <f t="shared" si="8"/>
        <v>0.12499999999999999</v>
      </c>
      <c r="W16" s="45">
        <f t="shared" si="9"/>
        <v>116800</v>
      </c>
      <c r="X16" s="47">
        <f t="shared" si="10"/>
        <v>0.3</v>
      </c>
      <c r="Y16" s="48"/>
      <c r="Z16" s="48"/>
      <c r="AA16" s="48"/>
    </row>
    <row r="17" spans="1:27" ht="14.4" hidden="1" customHeight="1">
      <c r="A17" s="56">
        <v>13</v>
      </c>
      <c r="B17" s="39"/>
      <c r="C17" s="73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76" t="s">
        <v>335</v>
      </c>
      <c r="H17" s="77" t="s">
        <v>324</v>
      </c>
      <c r="I17" s="77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2">
        <f t="shared" si="4"/>
        <v>65000</v>
      </c>
      <c r="P17" s="29"/>
      <c r="Q17" s="40" t="s">
        <v>70</v>
      </c>
      <c r="R17" s="53"/>
      <c r="S17" s="44">
        <f t="shared" si="5"/>
        <v>65000</v>
      </c>
      <c r="T17" s="44">
        <f t="shared" si="6"/>
        <v>92857.14285714287</v>
      </c>
      <c r="U17" s="45">
        <f t="shared" si="7"/>
        <v>106122.44897959185</v>
      </c>
      <c r="V17" s="46">
        <f t="shared" si="8"/>
        <v>0.12499999999999999</v>
      </c>
      <c r="W17" s="45">
        <f t="shared" si="9"/>
        <v>106200</v>
      </c>
      <c r="X17" s="47">
        <f t="shared" si="10"/>
        <v>0.3000000000000001</v>
      </c>
      <c r="Y17" s="54"/>
      <c r="Z17" s="54"/>
      <c r="AA17" s="55"/>
    </row>
    <row r="18" spans="1:27" ht="14.4" hidden="1" customHeight="1">
      <c r="A18" s="35">
        <v>14</v>
      </c>
      <c r="B18" s="36"/>
      <c r="C18" s="75" t="s">
        <v>503</v>
      </c>
      <c r="D18" s="37" t="str">
        <f t="shared" si="0"/>
        <v xml:space="preserve"> 505</v>
      </c>
      <c r="E18" s="38" t="s">
        <v>503</v>
      </c>
      <c r="F18" s="39">
        <f t="shared" si="1"/>
        <v>0</v>
      </c>
      <c r="G18" s="76" t="s">
        <v>335</v>
      </c>
      <c r="H18" s="77" t="s">
        <v>324</v>
      </c>
      <c r="I18" s="77" t="s">
        <v>360</v>
      </c>
      <c r="J18" s="41">
        <v>82500</v>
      </c>
      <c r="K18" s="42">
        <f t="shared" si="2"/>
        <v>7900</v>
      </c>
      <c r="L18" s="39" t="s">
        <v>22</v>
      </c>
      <c r="M18" s="43">
        <f t="shared" si="3"/>
        <v>74600</v>
      </c>
      <c r="N18" s="49">
        <f>2000+4850+600+200+250</f>
        <v>7900</v>
      </c>
      <c r="O18" s="72">
        <f t="shared" si="4"/>
        <v>82500</v>
      </c>
      <c r="P18" s="29"/>
      <c r="Q18" s="40" t="s">
        <v>1308</v>
      </c>
      <c r="R18" s="44"/>
      <c r="S18" s="44">
        <f t="shared" si="5"/>
        <v>82500</v>
      </c>
      <c r="T18" s="44">
        <f t="shared" si="6"/>
        <v>117857.14285714287</v>
      </c>
      <c r="U18" s="45">
        <f t="shared" si="7"/>
        <v>134693.87755102041</v>
      </c>
      <c r="V18" s="46">
        <f t="shared" si="8"/>
        <v>0.12499999999999994</v>
      </c>
      <c r="W18" s="45">
        <f t="shared" si="9"/>
        <v>134700</v>
      </c>
      <c r="X18" s="47">
        <f t="shared" si="10"/>
        <v>0.3000000000000001</v>
      </c>
      <c r="Y18" s="48"/>
      <c r="Z18" s="48"/>
      <c r="AA18" s="50"/>
    </row>
    <row r="19" spans="1:27" ht="14.4" hidden="1" customHeight="1">
      <c r="A19" s="35">
        <v>15</v>
      </c>
      <c r="B19" s="36"/>
      <c r="C19" s="73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76" t="s">
        <v>335</v>
      </c>
      <c r="H19" s="77" t="s">
        <v>326</v>
      </c>
      <c r="I19" s="77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2">
        <f t="shared" si="4"/>
        <v>71000</v>
      </c>
      <c r="P19" s="29"/>
      <c r="Q19" s="40" t="s">
        <v>70</v>
      </c>
      <c r="R19" s="44"/>
      <c r="S19" s="44">
        <f t="shared" si="5"/>
        <v>71000</v>
      </c>
      <c r="T19" s="44">
        <f t="shared" si="6"/>
        <v>101428.57142857143</v>
      </c>
      <c r="U19" s="45">
        <f t="shared" si="7"/>
        <v>115918.36734693879</v>
      </c>
      <c r="V19" s="46">
        <f t="shared" si="8"/>
        <v>0.12500000000000003</v>
      </c>
      <c r="W19" s="45">
        <f t="shared" si="9"/>
        <v>116000</v>
      </c>
      <c r="X19" s="47">
        <f t="shared" si="10"/>
        <v>0.30000000000000004</v>
      </c>
      <c r="Y19" s="48"/>
      <c r="Z19" s="48"/>
      <c r="AA19" s="50"/>
    </row>
    <row r="20" spans="1:27" ht="14.4" hidden="1" customHeight="1">
      <c r="A20" s="35">
        <v>16</v>
      </c>
      <c r="B20" s="36"/>
      <c r="C20" s="73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76" t="s">
        <v>340</v>
      </c>
      <c r="H20" s="77" t="s">
        <v>324</v>
      </c>
      <c r="I20" s="77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2">
        <f t="shared" si="4"/>
        <v>67000</v>
      </c>
      <c r="P20" s="30"/>
      <c r="Q20" s="40" t="s">
        <v>69</v>
      </c>
      <c r="R20" s="44"/>
      <c r="S20" s="44">
        <f t="shared" si="5"/>
        <v>67000</v>
      </c>
      <c r="T20" s="44">
        <f t="shared" si="6"/>
        <v>95714.285714285725</v>
      </c>
      <c r="U20" s="45">
        <f t="shared" si="7"/>
        <v>109387.75510204083</v>
      </c>
      <c r="V20" s="46">
        <f t="shared" si="8"/>
        <v>0.125</v>
      </c>
      <c r="W20" s="45">
        <f t="shared" si="9"/>
        <v>109400</v>
      </c>
      <c r="X20" s="47">
        <f t="shared" si="10"/>
        <v>0.3000000000000001</v>
      </c>
      <c r="Y20" s="57">
        <v>96075</v>
      </c>
      <c r="Z20" s="58">
        <f>T20-Y20</f>
        <v>-360.71428571427532</v>
      </c>
      <c r="AA20" s="59">
        <f>Z20/Y20</f>
        <v>-3.7545072673877211E-3</v>
      </c>
    </row>
    <row r="21" spans="1:27" ht="14.4" hidden="1" customHeight="1">
      <c r="A21" s="35">
        <v>17</v>
      </c>
      <c r="B21" s="36"/>
      <c r="C21" s="75" t="s">
        <v>1376</v>
      </c>
      <c r="D21" s="37" t="str">
        <f t="shared" si="0"/>
        <v xml:space="preserve"> 948</v>
      </c>
      <c r="E21" s="38" t="s">
        <v>1376</v>
      </c>
      <c r="F21" s="39">
        <f t="shared" si="1"/>
        <v>0</v>
      </c>
      <c r="G21" s="76" t="s">
        <v>335</v>
      </c>
      <c r="H21" s="77" t="s">
        <v>324</v>
      </c>
      <c r="I21" s="77" t="s">
        <v>360</v>
      </c>
      <c r="J21" s="41">
        <v>95000</v>
      </c>
      <c r="K21" s="42">
        <f t="shared" si="2"/>
        <v>8150</v>
      </c>
      <c r="L21" s="39" t="s">
        <v>22</v>
      </c>
      <c r="M21" s="43">
        <f t="shared" si="3"/>
        <v>86850</v>
      </c>
      <c r="N21" s="43">
        <f>2000+5100+600+200+250</f>
        <v>8150</v>
      </c>
      <c r="O21" s="72">
        <f t="shared" si="4"/>
        <v>95000</v>
      </c>
      <c r="P21" s="30"/>
      <c r="Q21" s="40" t="s">
        <v>1307</v>
      </c>
      <c r="R21" s="44"/>
      <c r="S21" s="44">
        <f t="shared" si="5"/>
        <v>95000</v>
      </c>
      <c r="T21" s="44">
        <f t="shared" si="6"/>
        <v>135714.28571428571</v>
      </c>
      <c r="U21" s="45">
        <f t="shared" si="7"/>
        <v>155102.04081632654</v>
      </c>
      <c r="V21" s="46">
        <f t="shared" si="8"/>
        <v>0.12500000000000008</v>
      </c>
      <c r="W21" s="45">
        <f t="shared" si="9"/>
        <v>155200</v>
      </c>
      <c r="X21" s="47">
        <f t="shared" si="10"/>
        <v>0.3</v>
      </c>
      <c r="Y21" s="57"/>
      <c r="Z21" s="58"/>
      <c r="AA21" s="59"/>
    </row>
    <row r="22" spans="1:27" ht="14.4" hidden="1" customHeight="1">
      <c r="A22" s="35">
        <v>18</v>
      </c>
      <c r="B22" s="36"/>
      <c r="C22" s="75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76" t="s">
        <v>340</v>
      </c>
      <c r="H22" s="77" t="s">
        <v>324</v>
      </c>
      <c r="I22" s="77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2">
        <f t="shared" si="4"/>
        <v>0</v>
      </c>
      <c r="P22" s="30"/>
      <c r="Q22" s="40"/>
      <c r="R22" s="44"/>
      <c r="S22" s="44">
        <f t="shared" si="5"/>
        <v>0</v>
      </c>
      <c r="T22" s="44">
        <f t="shared" si="6"/>
        <v>0</v>
      </c>
      <c r="U22" s="45">
        <f t="shared" si="7"/>
        <v>0</v>
      </c>
      <c r="V22" s="46" t="e">
        <f t="shared" si="8"/>
        <v>#DIV/0!</v>
      </c>
      <c r="W22" s="45">
        <f t="shared" si="9"/>
        <v>0</v>
      </c>
      <c r="X22" s="47" t="e">
        <f t="shared" si="10"/>
        <v>#DIV/0!</v>
      </c>
      <c r="Y22" s="57">
        <v>105088</v>
      </c>
      <c r="Z22" s="58">
        <f>T22-Y22</f>
        <v>-105088</v>
      </c>
      <c r="AA22" s="59">
        <f>Z22/Y22</f>
        <v>-1</v>
      </c>
    </row>
    <row r="23" spans="1:27" ht="14.4" hidden="1" customHeight="1">
      <c r="A23" s="35">
        <v>19</v>
      </c>
      <c r="B23" s="36"/>
      <c r="C23" s="75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76" t="s">
        <v>335</v>
      </c>
      <c r="H23" s="77" t="s">
        <v>324</v>
      </c>
      <c r="I23" s="77" t="s">
        <v>366</v>
      </c>
      <c r="J23" s="41">
        <v>72500</v>
      </c>
      <c r="K23" s="42">
        <f t="shared" si="2"/>
        <v>8150</v>
      </c>
      <c r="L23" s="39"/>
      <c r="M23" s="43">
        <f t="shared" si="3"/>
        <v>64350</v>
      </c>
      <c r="N23" s="43">
        <f>2000+5100+600+200+250</f>
        <v>8150</v>
      </c>
      <c r="O23" s="72">
        <f t="shared" si="4"/>
        <v>72500</v>
      </c>
      <c r="P23" s="30"/>
      <c r="Q23" s="40" t="s">
        <v>1307</v>
      </c>
      <c r="R23" s="44"/>
      <c r="S23" s="44">
        <f t="shared" si="5"/>
        <v>72500</v>
      </c>
      <c r="T23" s="44">
        <f t="shared" si="6"/>
        <v>103571.42857142858</v>
      </c>
      <c r="U23" s="45">
        <f t="shared" si="7"/>
        <v>118367.34693877552</v>
      </c>
      <c r="V23" s="46">
        <f t="shared" si="8"/>
        <v>0.12499999999999999</v>
      </c>
      <c r="W23" s="45">
        <f t="shared" si="9"/>
        <v>118400</v>
      </c>
      <c r="X23" s="47">
        <f t="shared" si="10"/>
        <v>0.30000000000000004</v>
      </c>
      <c r="Y23" s="57"/>
      <c r="Z23" s="58"/>
      <c r="AA23" s="59"/>
    </row>
    <row r="24" spans="1:27" ht="14.4" hidden="1" customHeight="1">
      <c r="A24" s="35">
        <v>20</v>
      </c>
      <c r="B24" s="36"/>
      <c r="C24" s="75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76" t="s">
        <v>340</v>
      </c>
      <c r="H24" s="77" t="s">
        <v>324</v>
      </c>
      <c r="I24" s="77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2">
        <f t="shared" si="4"/>
        <v>0</v>
      </c>
      <c r="P24" s="30"/>
      <c r="Q24" s="40"/>
      <c r="R24" s="44"/>
      <c r="S24" s="44">
        <f t="shared" si="5"/>
        <v>0</v>
      </c>
      <c r="T24" s="44">
        <f t="shared" si="6"/>
        <v>0</v>
      </c>
      <c r="U24" s="45">
        <f t="shared" si="7"/>
        <v>0</v>
      </c>
      <c r="V24" s="46" t="e">
        <f t="shared" si="8"/>
        <v>#DIV/0!</v>
      </c>
      <c r="W24" s="45">
        <f t="shared" si="9"/>
        <v>0</v>
      </c>
      <c r="X24" s="47" t="e">
        <f t="shared" si="10"/>
        <v>#DIV/0!</v>
      </c>
      <c r="Y24" s="57">
        <v>101588</v>
      </c>
      <c r="Z24" s="58">
        <f>T24-Y24</f>
        <v>-101588</v>
      </c>
      <c r="AA24" s="59">
        <f>Z24/Y24</f>
        <v>-1</v>
      </c>
    </row>
    <row r="25" spans="1:27" ht="14.4" hidden="1" customHeight="1">
      <c r="A25" s="35">
        <v>21</v>
      </c>
      <c r="B25" s="36"/>
      <c r="C25" s="75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76" t="s">
        <v>335</v>
      </c>
      <c r="H25" s="77" t="s">
        <v>324</v>
      </c>
      <c r="I25" s="77" t="s">
        <v>372</v>
      </c>
      <c r="J25" s="41">
        <v>70000</v>
      </c>
      <c r="K25" s="42">
        <f t="shared" si="2"/>
        <v>8150</v>
      </c>
      <c r="L25" s="39" t="s">
        <v>22</v>
      </c>
      <c r="M25" s="43">
        <f t="shared" si="3"/>
        <v>61850</v>
      </c>
      <c r="N25" s="43">
        <f>2000+5100+600+200+250</f>
        <v>8150</v>
      </c>
      <c r="O25" s="72">
        <f t="shared" si="4"/>
        <v>70000</v>
      </c>
      <c r="P25" s="30"/>
      <c r="Q25" s="40"/>
      <c r="R25" s="44"/>
      <c r="S25" s="44">
        <f t="shared" si="5"/>
        <v>70000</v>
      </c>
      <c r="T25" s="44">
        <f t="shared" si="6"/>
        <v>100000</v>
      </c>
      <c r="U25" s="45">
        <f t="shared" si="7"/>
        <v>114285.71428571429</v>
      </c>
      <c r="V25" s="46">
        <f t="shared" si="8"/>
        <v>0.12500000000000003</v>
      </c>
      <c r="W25" s="45">
        <f t="shared" si="9"/>
        <v>114300</v>
      </c>
      <c r="X25" s="47">
        <f t="shared" si="10"/>
        <v>0.3</v>
      </c>
      <c r="Y25" s="57"/>
      <c r="Z25" s="58"/>
      <c r="AA25" s="59"/>
    </row>
    <row r="26" spans="1:27" ht="14.4" hidden="1" customHeight="1">
      <c r="A26" s="56">
        <v>22</v>
      </c>
      <c r="B26" s="36"/>
      <c r="C26" s="73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76" t="s">
        <v>335</v>
      </c>
      <c r="H26" s="77" t="s">
        <v>324</v>
      </c>
      <c r="I26" s="77" t="s">
        <v>374</v>
      </c>
      <c r="J26" s="60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2">
        <f t="shared" si="4"/>
        <v>154000</v>
      </c>
      <c r="P26" s="29"/>
      <c r="Q26" s="40" t="s">
        <v>69</v>
      </c>
      <c r="R26" s="53"/>
      <c r="S26" s="44">
        <f t="shared" si="5"/>
        <v>154000</v>
      </c>
      <c r="T26" s="44">
        <f t="shared" si="6"/>
        <v>220000</v>
      </c>
      <c r="U26" s="45">
        <f t="shared" si="7"/>
        <v>251428.57142857142</v>
      </c>
      <c r="V26" s="46">
        <f t="shared" si="8"/>
        <v>0.12499999999999997</v>
      </c>
      <c r="W26" s="45">
        <f t="shared" si="9"/>
        <v>251500</v>
      </c>
      <c r="X26" s="47">
        <f t="shared" si="10"/>
        <v>0.3</v>
      </c>
      <c r="Y26" s="54"/>
      <c r="Z26" s="54"/>
      <c r="AA26" s="55"/>
    </row>
    <row r="27" spans="1:27" ht="14.4" hidden="1" customHeight="1">
      <c r="A27" s="56">
        <v>23</v>
      </c>
      <c r="B27" s="36"/>
      <c r="C27" s="75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76" t="s">
        <v>340</v>
      </c>
      <c r="H27" s="77" t="s">
        <v>324</v>
      </c>
      <c r="I27" s="77" t="s">
        <v>377</v>
      </c>
      <c r="J27" s="60">
        <v>70500</v>
      </c>
      <c r="K27" s="42">
        <f t="shared" si="2"/>
        <v>7900</v>
      </c>
      <c r="L27" s="39" t="s">
        <v>22</v>
      </c>
      <c r="M27" s="43">
        <f t="shared" si="3"/>
        <v>62600</v>
      </c>
      <c r="N27" s="43">
        <f>2000+4850+600+200+250</f>
        <v>7900</v>
      </c>
      <c r="O27" s="72">
        <f t="shared" si="4"/>
        <v>70500</v>
      </c>
      <c r="P27" s="29"/>
      <c r="Q27" s="40" t="s">
        <v>1308</v>
      </c>
      <c r="R27" s="53"/>
      <c r="S27" s="44">
        <f t="shared" si="5"/>
        <v>70500</v>
      </c>
      <c r="T27" s="44">
        <f t="shared" si="6"/>
        <v>100714.28571428572</v>
      </c>
      <c r="U27" s="45">
        <f t="shared" si="7"/>
        <v>115102.04081632654</v>
      </c>
      <c r="V27" s="46">
        <f t="shared" si="8"/>
        <v>0.12499999999999997</v>
      </c>
      <c r="W27" s="45">
        <f t="shared" si="9"/>
        <v>115200</v>
      </c>
      <c r="X27" s="47">
        <f t="shared" si="10"/>
        <v>0.3000000000000001</v>
      </c>
      <c r="Y27" s="57">
        <v>101063</v>
      </c>
      <c r="Z27" s="58">
        <f>T27-Y27</f>
        <v>-348.71428571427532</v>
      </c>
      <c r="AA27" s="59">
        <f>Z27/Y27</f>
        <v>-3.4504644203543862E-3</v>
      </c>
    </row>
    <row r="28" spans="1:27" ht="14.4" hidden="1" customHeight="1">
      <c r="A28" s="56">
        <v>24</v>
      </c>
      <c r="B28" s="36"/>
      <c r="C28" s="73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76" t="s">
        <v>335</v>
      </c>
      <c r="H28" s="76"/>
      <c r="I28" s="77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2">
        <f t="shared" si="4"/>
        <v>138000</v>
      </c>
      <c r="P28" s="29"/>
      <c r="Q28" s="40" t="s">
        <v>70</v>
      </c>
      <c r="R28" s="53"/>
      <c r="S28" s="44">
        <f t="shared" si="5"/>
        <v>138000</v>
      </c>
      <c r="T28" s="44">
        <f t="shared" si="6"/>
        <v>197142.85714285716</v>
      </c>
      <c r="U28" s="45">
        <f t="shared" si="7"/>
        <v>225306.12244897962</v>
      </c>
      <c r="V28" s="46">
        <f t="shared" si="8"/>
        <v>0.12500000000000003</v>
      </c>
      <c r="W28" s="45">
        <f t="shared" si="9"/>
        <v>225400</v>
      </c>
      <c r="X28" s="47">
        <f t="shared" si="10"/>
        <v>0.30000000000000004</v>
      </c>
      <c r="Y28" s="54"/>
      <c r="Z28" s="54"/>
      <c r="AA28" s="55"/>
    </row>
    <row r="29" spans="1:27" ht="14.4" hidden="1" customHeight="1">
      <c r="A29" s="56">
        <v>25</v>
      </c>
      <c r="B29" s="36"/>
      <c r="C29" s="75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76" t="s">
        <v>335</v>
      </c>
      <c r="H29" s="77" t="s">
        <v>382</v>
      </c>
      <c r="I29" s="77" t="s">
        <v>355</v>
      </c>
      <c r="J29" s="41">
        <v>71000</v>
      </c>
      <c r="K29" s="42">
        <f t="shared" si="2"/>
        <v>8250</v>
      </c>
      <c r="L29" s="39"/>
      <c r="M29" s="43">
        <f t="shared" si="3"/>
        <v>62750</v>
      </c>
      <c r="N29" s="43">
        <f t="shared" ref="N29:N35" si="11">2000+5200+600+200+250</f>
        <v>8250</v>
      </c>
      <c r="O29" s="72">
        <f t="shared" si="4"/>
        <v>71000</v>
      </c>
      <c r="P29" s="29"/>
      <c r="Q29" s="40"/>
      <c r="R29" s="53"/>
      <c r="S29" s="44">
        <f t="shared" si="5"/>
        <v>71000</v>
      </c>
      <c r="T29" s="44">
        <f t="shared" si="6"/>
        <v>101428.57142857143</v>
      </c>
      <c r="U29" s="45">
        <f t="shared" si="7"/>
        <v>115918.36734693879</v>
      </c>
      <c r="V29" s="46">
        <f t="shared" si="8"/>
        <v>0.12500000000000003</v>
      </c>
      <c r="W29" s="45">
        <f t="shared" si="9"/>
        <v>116000</v>
      </c>
      <c r="X29" s="47">
        <f t="shared" si="10"/>
        <v>0.30000000000000004</v>
      </c>
      <c r="Y29" s="54"/>
      <c r="Z29" s="54"/>
      <c r="AA29" s="55"/>
    </row>
    <row r="30" spans="1:27" ht="14.4" hidden="1" customHeight="1">
      <c r="A30" s="56">
        <v>26</v>
      </c>
      <c r="B30" s="36"/>
      <c r="C30" s="75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76" t="s">
        <v>340</v>
      </c>
      <c r="H30" s="77" t="s">
        <v>382</v>
      </c>
      <c r="I30" s="77" t="s">
        <v>383</v>
      </c>
      <c r="J30" s="41">
        <v>74000</v>
      </c>
      <c r="K30" s="42">
        <f t="shared" si="2"/>
        <v>8250</v>
      </c>
      <c r="L30" s="39" t="s">
        <v>22</v>
      </c>
      <c r="M30" s="43">
        <f t="shared" si="3"/>
        <v>65750</v>
      </c>
      <c r="N30" s="43">
        <f t="shared" si="11"/>
        <v>8250</v>
      </c>
      <c r="O30" s="72">
        <f t="shared" si="4"/>
        <v>74000</v>
      </c>
      <c r="P30" s="29"/>
      <c r="Q30" s="40" t="s">
        <v>1307</v>
      </c>
      <c r="R30" s="53"/>
      <c r="S30" s="44">
        <f t="shared" si="5"/>
        <v>74000</v>
      </c>
      <c r="T30" s="44">
        <f t="shared" si="6"/>
        <v>105714.28571428572</v>
      </c>
      <c r="U30" s="45">
        <f t="shared" si="7"/>
        <v>120816.32653061226</v>
      </c>
      <c r="V30" s="46">
        <f t="shared" si="8"/>
        <v>0.12500000000000006</v>
      </c>
      <c r="W30" s="45">
        <f t="shared" si="9"/>
        <v>120900</v>
      </c>
      <c r="X30" s="47">
        <f t="shared" si="10"/>
        <v>0.30000000000000004</v>
      </c>
      <c r="Y30" s="57">
        <v>106050</v>
      </c>
      <c r="Z30" s="58">
        <f>T30-Y30</f>
        <v>-335.71428571427532</v>
      </c>
      <c r="AA30" s="59">
        <f>Z30/Y30</f>
        <v>-3.1656226847173534E-3</v>
      </c>
    </row>
    <row r="31" spans="1:27" ht="14.4" hidden="1" customHeight="1">
      <c r="A31" s="56">
        <v>27</v>
      </c>
      <c r="B31" s="36"/>
      <c r="C31" s="75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76" t="s">
        <v>335</v>
      </c>
      <c r="H31" s="77" t="s">
        <v>382</v>
      </c>
      <c r="I31" s="77" t="s">
        <v>355</v>
      </c>
      <c r="J31" s="41">
        <v>69000</v>
      </c>
      <c r="K31" s="42">
        <f t="shared" si="2"/>
        <v>8250</v>
      </c>
      <c r="L31" s="39"/>
      <c r="M31" s="43">
        <f t="shared" si="3"/>
        <v>60750</v>
      </c>
      <c r="N31" s="43">
        <f t="shared" si="11"/>
        <v>8250</v>
      </c>
      <c r="O31" s="72">
        <f t="shared" si="4"/>
        <v>69000</v>
      </c>
      <c r="P31" s="29"/>
      <c r="Q31" s="40"/>
      <c r="R31" s="53"/>
      <c r="S31" s="44">
        <f t="shared" si="5"/>
        <v>69000</v>
      </c>
      <c r="T31" s="44">
        <f t="shared" si="6"/>
        <v>98571.42857142858</v>
      </c>
      <c r="U31" s="45">
        <f t="shared" si="7"/>
        <v>112653.06122448981</v>
      </c>
      <c r="V31" s="46">
        <f t="shared" si="8"/>
        <v>0.12500000000000003</v>
      </c>
      <c r="W31" s="45">
        <f t="shared" si="9"/>
        <v>112700</v>
      </c>
      <c r="X31" s="47">
        <f t="shared" si="10"/>
        <v>0.30000000000000004</v>
      </c>
      <c r="Y31" s="54"/>
      <c r="Z31" s="54"/>
      <c r="AA31" s="55"/>
    </row>
    <row r="32" spans="1:27" ht="14.4" hidden="1" customHeight="1">
      <c r="A32" s="56">
        <v>28</v>
      </c>
      <c r="B32" s="36"/>
      <c r="C32" s="73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76" t="s">
        <v>340</v>
      </c>
      <c r="H32" s="77" t="s">
        <v>382</v>
      </c>
      <c r="I32" s="77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 t="shared" si="11"/>
        <v>8250</v>
      </c>
      <c r="O32" s="72">
        <f t="shared" si="4"/>
        <v>75000</v>
      </c>
      <c r="P32" s="29"/>
      <c r="Q32" s="40" t="s">
        <v>71</v>
      </c>
      <c r="R32" s="53"/>
      <c r="S32" s="44">
        <f t="shared" si="5"/>
        <v>75000</v>
      </c>
      <c r="T32" s="44">
        <f t="shared" si="6"/>
        <v>107142.85714285714</v>
      </c>
      <c r="U32" s="45">
        <f t="shared" si="7"/>
        <v>122448.97959183673</v>
      </c>
      <c r="V32" s="46">
        <f t="shared" si="8"/>
        <v>0.12499999999999996</v>
      </c>
      <c r="W32" s="45">
        <f t="shared" si="9"/>
        <v>122500</v>
      </c>
      <c r="X32" s="47">
        <f t="shared" si="10"/>
        <v>0.3</v>
      </c>
      <c r="Y32" s="57">
        <v>113050</v>
      </c>
      <c r="Z32" s="58">
        <f>T32-Y32</f>
        <v>-5907.1428571428551</v>
      </c>
      <c r="AA32" s="59">
        <f>Z32/Y32</f>
        <v>-5.2252479939344142E-2</v>
      </c>
    </row>
    <row r="33" spans="1:27" ht="14.4" hidden="1" customHeight="1">
      <c r="A33" s="56">
        <v>29</v>
      </c>
      <c r="B33" s="36"/>
      <c r="C33" s="75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76" t="s">
        <v>335</v>
      </c>
      <c r="H33" s="77" t="s">
        <v>382</v>
      </c>
      <c r="I33" s="77" t="s">
        <v>355</v>
      </c>
      <c r="J33" s="41">
        <f>72000</f>
        <v>72000</v>
      </c>
      <c r="K33" s="42">
        <f t="shared" si="2"/>
        <v>8250</v>
      </c>
      <c r="L33" s="39"/>
      <c r="M33" s="43">
        <f t="shared" si="3"/>
        <v>63750</v>
      </c>
      <c r="N33" s="43">
        <f t="shared" si="11"/>
        <v>8250</v>
      </c>
      <c r="O33" s="72">
        <f t="shared" si="4"/>
        <v>72000</v>
      </c>
      <c r="P33" s="29"/>
      <c r="Q33" s="40"/>
      <c r="R33" s="53"/>
      <c r="S33" s="44">
        <f t="shared" si="5"/>
        <v>72000</v>
      </c>
      <c r="T33" s="44">
        <f t="shared" si="6"/>
        <v>102857.14285714287</v>
      </c>
      <c r="U33" s="45">
        <f t="shared" si="7"/>
        <v>117551.02040816328</v>
      </c>
      <c r="V33" s="46">
        <f t="shared" si="8"/>
        <v>0.12500000000000003</v>
      </c>
      <c r="W33" s="45">
        <f t="shared" si="9"/>
        <v>117600</v>
      </c>
      <c r="X33" s="47">
        <f t="shared" si="10"/>
        <v>0.3000000000000001</v>
      </c>
      <c r="Y33" s="54"/>
      <c r="Z33" s="54"/>
      <c r="AA33" s="55"/>
    </row>
    <row r="34" spans="1:27" ht="14.4" hidden="1" customHeight="1">
      <c r="A34" s="56">
        <v>30</v>
      </c>
      <c r="B34" s="36"/>
      <c r="C34" s="75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76" t="s">
        <v>340</v>
      </c>
      <c r="H34" s="77" t="s">
        <v>382</v>
      </c>
      <c r="I34" s="77" t="s">
        <v>355</v>
      </c>
      <c r="J34" s="41">
        <f>73000</f>
        <v>73000</v>
      </c>
      <c r="K34" s="42">
        <f t="shared" si="2"/>
        <v>8250</v>
      </c>
      <c r="L34" s="39"/>
      <c r="M34" s="43">
        <f t="shared" si="3"/>
        <v>64750</v>
      </c>
      <c r="N34" s="43">
        <f t="shared" si="11"/>
        <v>8250</v>
      </c>
      <c r="O34" s="72">
        <f t="shared" si="4"/>
        <v>73000</v>
      </c>
      <c r="P34" s="29"/>
      <c r="Q34" s="40"/>
      <c r="R34" s="53"/>
      <c r="S34" s="44">
        <f t="shared" si="5"/>
        <v>73000</v>
      </c>
      <c r="T34" s="44">
        <f t="shared" si="6"/>
        <v>104285.71428571429</v>
      </c>
      <c r="U34" s="45">
        <f t="shared" si="7"/>
        <v>119183.67346938777</v>
      </c>
      <c r="V34" s="46">
        <f t="shared" si="8"/>
        <v>0.12500000000000006</v>
      </c>
      <c r="W34" s="45">
        <f t="shared" si="9"/>
        <v>119200</v>
      </c>
      <c r="X34" s="47">
        <f t="shared" si="10"/>
        <v>0.30000000000000004</v>
      </c>
      <c r="Y34" s="57">
        <v>103075</v>
      </c>
      <c r="Z34" s="58">
        <f>T34-Y34</f>
        <v>1210.7142857142899</v>
      </c>
      <c r="AA34" s="59">
        <f>Z34/Y34</f>
        <v>1.174595474862275E-2</v>
      </c>
    </row>
    <row r="35" spans="1:27" ht="14.4" hidden="1" customHeight="1">
      <c r="A35" s="35">
        <v>31</v>
      </c>
      <c r="B35" s="36"/>
      <c r="C35" s="73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76" t="s">
        <v>335</v>
      </c>
      <c r="H35" s="77" t="s">
        <v>333</v>
      </c>
      <c r="I35" s="77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 t="shared" si="11"/>
        <v>8250</v>
      </c>
      <c r="O35" s="72">
        <f t="shared" si="4"/>
        <v>68000</v>
      </c>
      <c r="P35" s="29"/>
      <c r="Q35" s="40" t="s">
        <v>71</v>
      </c>
      <c r="R35" s="44"/>
      <c r="S35" s="44">
        <f t="shared" si="5"/>
        <v>68000</v>
      </c>
      <c r="T35" s="44">
        <f t="shared" si="6"/>
        <v>97142.857142857145</v>
      </c>
      <c r="U35" s="45">
        <f t="shared" si="7"/>
        <v>111020.40816326531</v>
      </c>
      <c r="V35" s="46">
        <f t="shared" si="8"/>
        <v>0.12500000000000003</v>
      </c>
      <c r="W35" s="45">
        <f t="shared" si="9"/>
        <v>111100</v>
      </c>
      <c r="X35" s="47">
        <f t="shared" si="10"/>
        <v>0.3</v>
      </c>
      <c r="Y35" s="48"/>
      <c r="Z35" s="48"/>
      <c r="AA35" s="50"/>
    </row>
    <row r="36" spans="1:27" ht="14.4" hidden="1" customHeight="1">
      <c r="A36" s="56">
        <v>32</v>
      </c>
      <c r="B36" s="36"/>
      <c r="C36" s="75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76" t="s">
        <v>340</v>
      </c>
      <c r="H36" s="77" t="s">
        <v>382</v>
      </c>
      <c r="I36" s="77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2">
        <f t="shared" si="4"/>
        <v>0</v>
      </c>
      <c r="P36" s="29"/>
      <c r="Q36" s="40"/>
      <c r="R36" s="44"/>
      <c r="S36" s="44">
        <f t="shared" si="5"/>
        <v>0</v>
      </c>
      <c r="T36" s="44">
        <f t="shared" si="6"/>
        <v>0</v>
      </c>
      <c r="U36" s="45">
        <f t="shared" si="7"/>
        <v>0</v>
      </c>
      <c r="V36" s="46" t="e">
        <f t="shared" si="8"/>
        <v>#DIV/0!</v>
      </c>
      <c r="W36" s="45">
        <f t="shared" si="9"/>
        <v>0</v>
      </c>
      <c r="X36" s="47" t="e">
        <f t="shared" si="10"/>
        <v>#DIV/0!</v>
      </c>
      <c r="Y36" s="57">
        <v>109025</v>
      </c>
      <c r="Z36" s="58">
        <f>T36-Y36</f>
        <v>-109025</v>
      </c>
      <c r="AA36" s="59">
        <f>Z36/Y36</f>
        <v>-1</v>
      </c>
    </row>
    <row r="37" spans="1:27" ht="14.4" hidden="1" customHeight="1">
      <c r="A37" s="35">
        <v>33</v>
      </c>
      <c r="B37" s="36"/>
      <c r="C37" s="73" t="s">
        <v>240</v>
      </c>
      <c r="D37" s="37" t="str">
        <f t="shared" si="0"/>
        <v xml:space="preserve"> 372</v>
      </c>
      <c r="E37" s="38" t="s">
        <v>240</v>
      </c>
      <c r="F37" s="39">
        <f t="shared" si="1"/>
        <v>0</v>
      </c>
      <c r="G37" s="76" t="s">
        <v>335</v>
      </c>
      <c r="H37" s="77" t="s">
        <v>382</v>
      </c>
      <c r="I37" s="77" t="s">
        <v>60</v>
      </c>
      <c r="J37" s="41">
        <v>80000</v>
      </c>
      <c r="K37" s="42">
        <f t="shared" ref="K37:K59" si="12">J37-M37</f>
        <v>8250</v>
      </c>
      <c r="L37" s="39" t="s">
        <v>22</v>
      </c>
      <c r="M37" s="43">
        <f t="shared" ref="M37:M59" si="13">J37-N37</f>
        <v>71750</v>
      </c>
      <c r="N37" s="49">
        <f>2000+5200+600+200+250</f>
        <v>8250</v>
      </c>
      <c r="O37" s="72">
        <f t="shared" ref="O37:O59" si="14">M37+N37</f>
        <v>80000</v>
      </c>
      <c r="P37" s="29"/>
      <c r="Q37" s="40" t="s">
        <v>71</v>
      </c>
      <c r="R37" s="44"/>
      <c r="S37" s="44">
        <f t="shared" ref="S37:S59" si="15">R37+O37</f>
        <v>80000</v>
      </c>
      <c r="T37" s="44">
        <f t="shared" ref="T37:T59" si="16">S37/0.7</f>
        <v>114285.71428571429</v>
      </c>
      <c r="U37" s="45">
        <f t="shared" ref="U37:U59" si="17">T37/0.875</f>
        <v>130612.24489795919</v>
      </c>
      <c r="V37" s="46">
        <f t="shared" ref="V37:V59" si="18">(U37-T37)/U37</f>
        <v>0.12499999999999999</v>
      </c>
      <c r="W37" s="45">
        <f t="shared" ref="W37:W59" si="19">(ROUNDUP((U37/100),0))*100</f>
        <v>130700</v>
      </c>
      <c r="X37" s="47">
        <f t="shared" ref="X37:X59" si="20">(T37-O37)/T37</f>
        <v>0.30000000000000004</v>
      </c>
      <c r="Y37" s="48"/>
      <c r="Z37" s="48"/>
      <c r="AA37" s="48"/>
    </row>
    <row r="38" spans="1:27" ht="14.4" hidden="1" customHeight="1">
      <c r="A38" s="56">
        <v>34</v>
      </c>
      <c r="B38" s="36"/>
      <c r="C38" s="75" t="s">
        <v>396</v>
      </c>
      <c r="D38" s="37" t="str">
        <f t="shared" si="0"/>
        <v xml:space="preserve"> 477</v>
      </c>
      <c r="E38" s="38" t="s">
        <v>396</v>
      </c>
      <c r="F38" s="39">
        <f t="shared" si="1"/>
        <v>0</v>
      </c>
      <c r="G38" s="76" t="s">
        <v>335</v>
      </c>
      <c r="H38" s="77" t="s">
        <v>382</v>
      </c>
      <c r="I38" s="77" t="s">
        <v>355</v>
      </c>
      <c r="J38" s="41">
        <f>72500</f>
        <v>72500</v>
      </c>
      <c r="K38" s="42">
        <f t="shared" si="12"/>
        <v>8250</v>
      </c>
      <c r="L38" s="39"/>
      <c r="M38" s="43">
        <f t="shared" si="13"/>
        <v>64250</v>
      </c>
      <c r="N38" s="49">
        <f>2000+5200+600+200+250</f>
        <v>8250</v>
      </c>
      <c r="O38" s="72">
        <f t="shared" si="14"/>
        <v>72500</v>
      </c>
      <c r="P38" s="29"/>
      <c r="Q38" s="40"/>
      <c r="R38" s="44"/>
      <c r="S38" s="44">
        <f t="shared" si="15"/>
        <v>72500</v>
      </c>
      <c r="T38" s="44">
        <f t="shared" si="16"/>
        <v>103571.42857142858</v>
      </c>
      <c r="U38" s="45">
        <f t="shared" si="17"/>
        <v>118367.34693877552</v>
      </c>
      <c r="V38" s="46">
        <f t="shared" si="18"/>
        <v>0.12499999999999999</v>
      </c>
      <c r="W38" s="45">
        <f t="shared" si="19"/>
        <v>118400</v>
      </c>
      <c r="X38" s="47">
        <f t="shared" si="20"/>
        <v>0.30000000000000004</v>
      </c>
      <c r="Y38" s="48"/>
      <c r="Z38" s="48"/>
      <c r="AA38" s="48"/>
    </row>
    <row r="39" spans="1:27" ht="14.4" hidden="1" customHeight="1">
      <c r="A39" s="35">
        <v>35</v>
      </c>
      <c r="B39" s="36"/>
      <c r="C39" s="75" t="s">
        <v>398</v>
      </c>
      <c r="D39" s="37" t="str">
        <f t="shared" si="0"/>
        <v xml:space="preserve"> 918</v>
      </c>
      <c r="E39" s="38" t="s">
        <v>398</v>
      </c>
      <c r="F39" s="39">
        <f t="shared" si="1"/>
        <v>0</v>
      </c>
      <c r="G39" s="76" t="s">
        <v>340</v>
      </c>
      <c r="H39" s="77" t="s">
        <v>382</v>
      </c>
      <c r="I39" s="77" t="s">
        <v>383</v>
      </c>
      <c r="J39" s="41">
        <v>66000</v>
      </c>
      <c r="K39" s="42">
        <f t="shared" si="12"/>
        <v>8250</v>
      </c>
      <c r="L39" s="39" t="s">
        <v>22</v>
      </c>
      <c r="M39" s="43">
        <f t="shared" si="13"/>
        <v>57750</v>
      </c>
      <c r="N39" s="49">
        <f>2000+5200+600+200+250</f>
        <v>8250</v>
      </c>
      <c r="O39" s="72">
        <f t="shared" si="14"/>
        <v>66000</v>
      </c>
      <c r="P39" s="29"/>
      <c r="Q39" s="40" t="s">
        <v>1340</v>
      </c>
      <c r="R39" s="44"/>
      <c r="S39" s="44">
        <f t="shared" si="15"/>
        <v>66000</v>
      </c>
      <c r="T39" s="44">
        <f t="shared" si="16"/>
        <v>94285.71428571429</v>
      </c>
      <c r="U39" s="45">
        <f t="shared" si="17"/>
        <v>107755.10204081633</v>
      </c>
      <c r="V39" s="46">
        <f t="shared" si="18"/>
        <v>0.125</v>
      </c>
      <c r="W39" s="45">
        <f t="shared" si="19"/>
        <v>107800</v>
      </c>
      <c r="X39" s="47">
        <f t="shared" si="20"/>
        <v>0.30000000000000004</v>
      </c>
      <c r="Y39" s="57">
        <v>93975</v>
      </c>
      <c r="Z39" s="58">
        <f>T39-Y39</f>
        <v>310.71428571428987</v>
      </c>
      <c r="AA39" s="59">
        <f>Z39/Y39</f>
        <v>3.3063504731501983E-3</v>
      </c>
    </row>
    <row r="40" spans="1:27" ht="14.4" hidden="1" customHeight="1">
      <c r="A40" s="56">
        <v>36</v>
      </c>
      <c r="B40" s="36"/>
      <c r="C40" s="73" t="s">
        <v>163</v>
      </c>
      <c r="D40" s="37" t="str">
        <f t="shared" si="0"/>
        <v xml:space="preserve"> 263</v>
      </c>
      <c r="E40" s="38" t="s">
        <v>163</v>
      </c>
      <c r="F40" s="39">
        <f t="shared" si="1"/>
        <v>0</v>
      </c>
      <c r="G40" s="76" t="s">
        <v>335</v>
      </c>
      <c r="H40" s="77" t="s">
        <v>333</v>
      </c>
      <c r="I40" s="77" t="s">
        <v>54</v>
      </c>
      <c r="J40" s="41">
        <v>73500</v>
      </c>
      <c r="K40" s="42">
        <f t="shared" si="12"/>
        <v>8150</v>
      </c>
      <c r="L40" s="39" t="s">
        <v>22</v>
      </c>
      <c r="M40" s="43">
        <f t="shared" si="13"/>
        <v>65350</v>
      </c>
      <c r="N40" s="49">
        <f>2000+5100+600+200+250</f>
        <v>8150</v>
      </c>
      <c r="O40" s="72">
        <f t="shared" si="14"/>
        <v>73500</v>
      </c>
      <c r="P40" s="29"/>
      <c r="Q40" s="40" t="s">
        <v>69</v>
      </c>
      <c r="R40" s="44"/>
      <c r="S40" s="44">
        <f t="shared" si="15"/>
        <v>73500</v>
      </c>
      <c r="T40" s="44">
        <f t="shared" si="16"/>
        <v>105000</v>
      </c>
      <c r="U40" s="45">
        <f t="shared" si="17"/>
        <v>120000</v>
      </c>
      <c r="V40" s="46">
        <f t="shared" si="18"/>
        <v>0.125</v>
      </c>
      <c r="W40" s="45">
        <f t="shared" si="19"/>
        <v>120000</v>
      </c>
      <c r="X40" s="47">
        <f t="shared" si="20"/>
        <v>0.3</v>
      </c>
      <c r="Y40" s="48"/>
      <c r="Z40" s="48"/>
      <c r="AA40" s="48"/>
    </row>
    <row r="41" spans="1:27" ht="14.4" hidden="1" customHeight="1">
      <c r="A41" s="35">
        <v>37</v>
      </c>
      <c r="B41" s="36"/>
      <c r="C41" s="75" t="s">
        <v>401</v>
      </c>
      <c r="D41" s="37" t="str">
        <f t="shared" si="0"/>
        <v xml:space="preserve"> 800</v>
      </c>
      <c r="E41" s="38" t="s">
        <v>401</v>
      </c>
      <c r="F41" s="39">
        <f t="shared" si="1"/>
        <v>0</v>
      </c>
      <c r="G41" s="76" t="s">
        <v>340</v>
      </c>
      <c r="H41" s="77" t="s">
        <v>333</v>
      </c>
      <c r="I41" s="77" t="s">
        <v>349</v>
      </c>
      <c r="J41" s="41">
        <v>97500</v>
      </c>
      <c r="K41" s="42">
        <f t="shared" si="12"/>
        <v>8250</v>
      </c>
      <c r="L41" s="39" t="s">
        <v>22</v>
      </c>
      <c r="M41" s="43">
        <f t="shared" si="13"/>
        <v>89250</v>
      </c>
      <c r="N41" s="52">
        <f>2000+5200+600+200+250</f>
        <v>8250</v>
      </c>
      <c r="O41" s="72">
        <v>77500</v>
      </c>
      <c r="P41" s="29"/>
      <c r="Q41" s="40" t="s">
        <v>1340</v>
      </c>
      <c r="R41" s="44"/>
      <c r="S41" s="44">
        <f t="shared" si="15"/>
        <v>77500</v>
      </c>
      <c r="T41" s="44">
        <f t="shared" si="16"/>
        <v>110714.28571428572</v>
      </c>
      <c r="U41" s="45">
        <f t="shared" si="17"/>
        <v>126530.61224489797</v>
      </c>
      <c r="V41" s="46">
        <f t="shared" si="18"/>
        <v>0.12500000000000003</v>
      </c>
      <c r="W41" s="45">
        <f t="shared" si="19"/>
        <v>126600</v>
      </c>
      <c r="X41" s="47">
        <f t="shared" si="20"/>
        <v>0.30000000000000004</v>
      </c>
      <c r="Y41" s="57">
        <v>110075</v>
      </c>
      <c r="Z41" s="58">
        <f>T41-Y41</f>
        <v>639.28571428572468</v>
      </c>
      <c r="AA41" s="59">
        <f>Z41/Y41</f>
        <v>5.8077284968042217E-3</v>
      </c>
    </row>
    <row r="42" spans="1:27" ht="14.4" hidden="1" customHeight="1">
      <c r="A42" s="56">
        <v>38</v>
      </c>
      <c r="B42" s="36"/>
      <c r="C42" s="75" t="s">
        <v>403</v>
      </c>
      <c r="D42" s="37" t="str">
        <f t="shared" si="0"/>
        <v xml:space="preserve"> 738</v>
      </c>
      <c r="E42" s="38" t="s">
        <v>403</v>
      </c>
      <c r="F42" s="39">
        <f t="shared" si="1"/>
        <v>0</v>
      </c>
      <c r="G42" s="76" t="s">
        <v>335</v>
      </c>
      <c r="H42" s="77" t="s">
        <v>333</v>
      </c>
      <c r="I42" s="77" t="s">
        <v>355</v>
      </c>
      <c r="J42" s="41">
        <v>72500</v>
      </c>
      <c r="K42" s="42">
        <f t="shared" si="12"/>
        <v>8250</v>
      </c>
      <c r="L42" s="39"/>
      <c r="M42" s="43">
        <f t="shared" si="13"/>
        <v>64250</v>
      </c>
      <c r="N42" s="49">
        <f>2000+5200+200+250+600</f>
        <v>8250</v>
      </c>
      <c r="O42" s="72">
        <f t="shared" si="14"/>
        <v>72500</v>
      </c>
      <c r="P42" s="29"/>
      <c r="Q42" s="40"/>
      <c r="R42" s="44"/>
      <c r="S42" s="44">
        <f t="shared" si="15"/>
        <v>72500</v>
      </c>
      <c r="T42" s="44">
        <f t="shared" si="16"/>
        <v>103571.42857142858</v>
      </c>
      <c r="U42" s="45">
        <f t="shared" si="17"/>
        <v>118367.34693877552</v>
      </c>
      <c r="V42" s="46">
        <f t="shared" si="18"/>
        <v>0.12499999999999999</v>
      </c>
      <c r="W42" s="45">
        <f t="shared" si="19"/>
        <v>118400</v>
      </c>
      <c r="X42" s="47">
        <f t="shared" si="20"/>
        <v>0.30000000000000004</v>
      </c>
      <c r="Y42" s="48"/>
      <c r="Z42" s="48"/>
      <c r="AA42" s="48"/>
    </row>
    <row r="43" spans="1:27" ht="14.4" hidden="1" customHeight="1">
      <c r="A43" s="35">
        <v>39</v>
      </c>
      <c r="B43" s="36"/>
      <c r="C43" s="73" t="s">
        <v>275</v>
      </c>
      <c r="D43" s="37" t="str">
        <f t="shared" si="0"/>
        <v xml:space="preserve"> 495</v>
      </c>
      <c r="E43" s="38" t="s">
        <v>275</v>
      </c>
      <c r="F43" s="39">
        <f t="shared" si="1"/>
        <v>0</v>
      </c>
      <c r="G43" s="76" t="s">
        <v>340</v>
      </c>
      <c r="H43" s="77" t="s">
        <v>333</v>
      </c>
      <c r="I43" s="77" t="s">
        <v>294</v>
      </c>
      <c r="J43" s="41">
        <v>74000</v>
      </c>
      <c r="K43" s="42">
        <f t="shared" si="12"/>
        <v>8250</v>
      </c>
      <c r="L43" s="39" t="s">
        <v>22</v>
      </c>
      <c r="M43" s="43">
        <f t="shared" si="13"/>
        <v>65750</v>
      </c>
      <c r="N43" s="43">
        <f>2000+5200+600+200+250</f>
        <v>8250</v>
      </c>
      <c r="O43" s="72">
        <f t="shared" si="14"/>
        <v>74000</v>
      </c>
      <c r="P43" s="29"/>
      <c r="Q43" s="40" t="s">
        <v>71</v>
      </c>
      <c r="R43" s="53"/>
      <c r="S43" s="44">
        <f t="shared" si="15"/>
        <v>74000</v>
      </c>
      <c r="T43" s="44">
        <f t="shared" si="16"/>
        <v>105714.28571428572</v>
      </c>
      <c r="U43" s="45">
        <f t="shared" si="17"/>
        <v>120816.32653061226</v>
      </c>
      <c r="V43" s="46">
        <f t="shared" si="18"/>
        <v>0.12500000000000006</v>
      </c>
      <c r="W43" s="45">
        <f t="shared" si="19"/>
        <v>120900</v>
      </c>
      <c r="X43" s="47">
        <f t="shared" si="20"/>
        <v>0.30000000000000004</v>
      </c>
      <c r="Y43" s="57">
        <v>102025</v>
      </c>
      <c r="Z43" s="58">
        <f>T43-Y43</f>
        <v>3689.2857142857247</v>
      </c>
      <c r="AA43" s="59">
        <f>Z43/Y43</f>
        <v>3.6160604893758636E-2</v>
      </c>
    </row>
    <row r="44" spans="1:27" ht="14.4" hidden="1" customHeight="1">
      <c r="A44" s="56">
        <v>40</v>
      </c>
      <c r="B44" s="36"/>
      <c r="C44" s="75" t="s">
        <v>406</v>
      </c>
      <c r="D44" s="37" t="str">
        <f t="shared" si="0"/>
        <v xml:space="preserve"> 629</v>
      </c>
      <c r="E44" s="38" t="s">
        <v>406</v>
      </c>
      <c r="F44" s="39">
        <f t="shared" si="1"/>
        <v>0</v>
      </c>
      <c r="G44" s="76" t="s">
        <v>335</v>
      </c>
      <c r="H44" s="77" t="s">
        <v>333</v>
      </c>
      <c r="I44" s="77" t="s">
        <v>355</v>
      </c>
      <c r="J44" s="41">
        <f>72500</f>
        <v>72500</v>
      </c>
      <c r="K44" s="42">
        <f t="shared" si="12"/>
        <v>8250</v>
      </c>
      <c r="L44" s="39"/>
      <c r="M44" s="43">
        <f t="shared" si="13"/>
        <v>64250</v>
      </c>
      <c r="N44" s="43">
        <f>2000+5200+600+200+250</f>
        <v>8250</v>
      </c>
      <c r="O44" s="72">
        <f t="shared" si="14"/>
        <v>72500</v>
      </c>
      <c r="P44" s="29"/>
      <c r="Q44" s="40"/>
      <c r="R44" s="53"/>
      <c r="S44" s="44">
        <f t="shared" si="15"/>
        <v>72500</v>
      </c>
      <c r="T44" s="44">
        <f t="shared" si="16"/>
        <v>103571.42857142858</v>
      </c>
      <c r="U44" s="45">
        <f t="shared" si="17"/>
        <v>118367.34693877552</v>
      </c>
      <c r="V44" s="46">
        <f t="shared" si="18"/>
        <v>0.12499999999999999</v>
      </c>
      <c r="W44" s="45">
        <f t="shared" si="19"/>
        <v>118400</v>
      </c>
      <c r="X44" s="47">
        <f t="shared" si="20"/>
        <v>0.30000000000000004</v>
      </c>
      <c r="Y44" s="54"/>
      <c r="Z44" s="54"/>
      <c r="AA44" s="55"/>
    </row>
    <row r="45" spans="1:27" ht="14.4" hidden="1" customHeight="1">
      <c r="A45" s="35">
        <v>41</v>
      </c>
      <c r="B45" s="36"/>
      <c r="C45" s="75" t="s">
        <v>408</v>
      </c>
      <c r="D45" s="37" t="str">
        <f t="shared" si="0"/>
        <v xml:space="preserve"> 781</v>
      </c>
      <c r="E45" s="38" t="s">
        <v>408</v>
      </c>
      <c r="F45" s="39">
        <f t="shared" si="1"/>
        <v>0</v>
      </c>
      <c r="G45" s="76" t="s">
        <v>340</v>
      </c>
      <c r="H45" s="77" t="s">
        <v>333</v>
      </c>
      <c r="I45" s="77" t="s">
        <v>409</v>
      </c>
      <c r="J45" s="41"/>
      <c r="K45" s="42">
        <f t="shared" si="12"/>
        <v>0</v>
      </c>
      <c r="L45" s="39"/>
      <c r="M45" s="43">
        <f t="shared" si="13"/>
        <v>0</v>
      </c>
      <c r="N45" s="43"/>
      <c r="O45" s="72">
        <f t="shared" si="14"/>
        <v>0</v>
      </c>
      <c r="P45" s="29"/>
      <c r="Q45" s="40"/>
      <c r="R45" s="53"/>
      <c r="S45" s="44">
        <f t="shared" si="15"/>
        <v>0</v>
      </c>
      <c r="T45" s="44">
        <f t="shared" si="16"/>
        <v>0</v>
      </c>
      <c r="U45" s="45">
        <f t="shared" si="17"/>
        <v>0</v>
      </c>
      <c r="V45" s="46" t="e">
        <f t="shared" si="18"/>
        <v>#DIV/0!</v>
      </c>
      <c r="W45" s="45">
        <f t="shared" si="19"/>
        <v>0</v>
      </c>
      <c r="X45" s="47" t="e">
        <f t="shared" si="20"/>
        <v>#DIV/0!</v>
      </c>
      <c r="Y45" s="57">
        <v>110075</v>
      </c>
      <c r="Z45" s="58">
        <f>T45-Y45</f>
        <v>-110075</v>
      </c>
      <c r="AA45" s="59">
        <f>Z45/Y45</f>
        <v>-1</v>
      </c>
    </row>
    <row r="46" spans="1:27" ht="14.4" hidden="1" customHeight="1">
      <c r="A46" s="56">
        <v>42</v>
      </c>
      <c r="B46" s="36"/>
      <c r="C46" s="75" t="s">
        <v>1297</v>
      </c>
      <c r="D46" s="37" t="str">
        <f t="shared" si="0"/>
        <v xml:space="preserve"> 285</v>
      </c>
      <c r="E46" s="38" t="s">
        <v>1297</v>
      </c>
      <c r="F46" s="39">
        <f t="shared" si="1"/>
        <v>0</v>
      </c>
      <c r="G46" s="76" t="s">
        <v>335</v>
      </c>
      <c r="H46" s="77" t="s">
        <v>333</v>
      </c>
      <c r="I46" s="77" t="s">
        <v>355</v>
      </c>
      <c r="J46" s="41">
        <v>72500</v>
      </c>
      <c r="K46" s="42">
        <f t="shared" si="12"/>
        <v>8250</v>
      </c>
      <c r="L46" s="39"/>
      <c r="M46" s="43">
        <f t="shared" si="13"/>
        <v>64250</v>
      </c>
      <c r="N46" s="43">
        <f>2000+5200+600+200+250</f>
        <v>8250</v>
      </c>
      <c r="O46" s="72">
        <f t="shared" si="14"/>
        <v>72500</v>
      </c>
      <c r="P46" s="29"/>
      <c r="Q46" s="40"/>
      <c r="R46" s="53"/>
      <c r="S46" s="44">
        <f t="shared" si="15"/>
        <v>72500</v>
      </c>
      <c r="T46" s="44">
        <f t="shared" si="16"/>
        <v>103571.42857142858</v>
      </c>
      <c r="U46" s="45">
        <f t="shared" si="17"/>
        <v>118367.34693877552</v>
      </c>
      <c r="V46" s="46">
        <f t="shared" si="18"/>
        <v>0.12499999999999999</v>
      </c>
      <c r="W46" s="45">
        <f t="shared" si="19"/>
        <v>118400</v>
      </c>
      <c r="X46" s="47">
        <f t="shared" si="20"/>
        <v>0.30000000000000004</v>
      </c>
      <c r="Y46" s="54"/>
      <c r="Z46" s="54"/>
      <c r="AA46" s="55"/>
    </row>
    <row r="47" spans="1:27" ht="14.4" hidden="1" customHeight="1">
      <c r="A47" s="35">
        <v>43</v>
      </c>
      <c r="B47" s="36"/>
      <c r="C47" s="75" t="s">
        <v>1347</v>
      </c>
      <c r="D47" s="37" t="str">
        <f t="shared" si="0"/>
        <v xml:space="preserve"> 272</v>
      </c>
      <c r="E47" s="38" t="s">
        <v>1347</v>
      </c>
      <c r="F47" s="39">
        <f t="shared" si="1"/>
        <v>0</v>
      </c>
      <c r="G47" s="76" t="s">
        <v>340</v>
      </c>
      <c r="H47" s="77" t="s">
        <v>333</v>
      </c>
      <c r="I47" s="77" t="s">
        <v>355</v>
      </c>
      <c r="J47" s="41">
        <v>67500</v>
      </c>
      <c r="K47" s="42">
        <f t="shared" si="12"/>
        <v>8150</v>
      </c>
      <c r="L47" s="39"/>
      <c r="M47" s="43">
        <f t="shared" si="13"/>
        <v>59350</v>
      </c>
      <c r="N47" s="43">
        <f>2000+5100+600+200+250</f>
        <v>8150</v>
      </c>
      <c r="O47" s="72">
        <f t="shared" si="14"/>
        <v>67500</v>
      </c>
      <c r="P47" s="29"/>
      <c r="Q47" s="40"/>
      <c r="R47" s="53"/>
      <c r="S47" s="44">
        <f t="shared" si="15"/>
        <v>67500</v>
      </c>
      <c r="T47" s="44">
        <f t="shared" si="16"/>
        <v>96428.571428571435</v>
      </c>
      <c r="U47" s="45">
        <f t="shared" si="17"/>
        <v>110204.08163265306</v>
      </c>
      <c r="V47" s="46">
        <f t="shared" si="18"/>
        <v>0.12499999999999994</v>
      </c>
      <c r="W47" s="45">
        <f t="shared" si="19"/>
        <v>110300</v>
      </c>
      <c r="X47" s="47">
        <f t="shared" si="20"/>
        <v>0.30000000000000004</v>
      </c>
      <c r="Y47" s="57">
        <v>93013</v>
      </c>
      <c r="Z47" s="58">
        <f>T47-Y47</f>
        <v>3415.5714285714348</v>
      </c>
      <c r="AA47" s="59">
        <f>Z47/Y47</f>
        <v>3.6721441396056841E-2</v>
      </c>
    </row>
    <row r="48" spans="1:27" ht="14.4" hidden="1" customHeight="1">
      <c r="A48" s="56">
        <v>44</v>
      </c>
      <c r="B48" s="36"/>
      <c r="C48" s="73" t="s">
        <v>145</v>
      </c>
      <c r="D48" s="37" t="str">
        <f t="shared" si="0"/>
        <v xml:space="preserve"> 775</v>
      </c>
      <c r="E48" s="38" t="s">
        <v>145</v>
      </c>
      <c r="F48" s="39">
        <f t="shared" si="1"/>
        <v>0</v>
      </c>
      <c r="G48" s="76" t="s">
        <v>335</v>
      </c>
      <c r="H48" s="77" t="s">
        <v>333</v>
      </c>
      <c r="I48" s="77" t="s">
        <v>43</v>
      </c>
      <c r="J48" s="41">
        <v>65000</v>
      </c>
      <c r="K48" s="42">
        <f t="shared" si="12"/>
        <v>8150</v>
      </c>
      <c r="L48" s="39" t="s">
        <v>22</v>
      </c>
      <c r="M48" s="43">
        <f t="shared" si="13"/>
        <v>56850</v>
      </c>
      <c r="N48" s="43">
        <f>2000+5100+600+200+250</f>
        <v>8150</v>
      </c>
      <c r="O48" s="72">
        <f t="shared" si="14"/>
        <v>65000</v>
      </c>
      <c r="P48" s="29"/>
      <c r="Q48" s="40" t="s">
        <v>69</v>
      </c>
      <c r="R48" s="44"/>
      <c r="S48" s="44">
        <f t="shared" si="15"/>
        <v>65000</v>
      </c>
      <c r="T48" s="44">
        <f t="shared" si="16"/>
        <v>92857.14285714287</v>
      </c>
      <c r="U48" s="45">
        <f t="shared" si="17"/>
        <v>106122.44897959185</v>
      </c>
      <c r="V48" s="46">
        <f t="shared" si="18"/>
        <v>0.12499999999999999</v>
      </c>
      <c r="W48" s="45">
        <f t="shared" si="19"/>
        <v>106200</v>
      </c>
      <c r="X48" s="47">
        <f t="shared" si="20"/>
        <v>0.3000000000000001</v>
      </c>
      <c r="Y48" s="48"/>
      <c r="Z48" s="48"/>
      <c r="AA48" s="48"/>
    </row>
    <row r="49" spans="1:27" ht="14.4" hidden="1" customHeight="1">
      <c r="A49" s="35">
        <v>45</v>
      </c>
      <c r="B49" s="36"/>
      <c r="C49" s="73" t="s">
        <v>117</v>
      </c>
      <c r="D49" s="37" t="str">
        <f t="shared" si="0"/>
        <v xml:space="preserve"> 019</v>
      </c>
      <c r="E49" s="38" t="s">
        <v>117</v>
      </c>
      <c r="F49" s="39">
        <f t="shared" si="1"/>
        <v>0</v>
      </c>
      <c r="G49" s="76" t="s">
        <v>340</v>
      </c>
      <c r="H49" s="77" t="s">
        <v>333</v>
      </c>
      <c r="I49" s="77" t="s">
        <v>415</v>
      </c>
      <c r="J49" s="41">
        <v>71500</v>
      </c>
      <c r="K49" s="42">
        <f t="shared" si="12"/>
        <v>8150</v>
      </c>
      <c r="L49" s="39" t="s">
        <v>22</v>
      </c>
      <c r="M49" s="43">
        <f t="shared" si="13"/>
        <v>63350</v>
      </c>
      <c r="N49" s="43">
        <f>2000+5100+600+200+250</f>
        <v>8150</v>
      </c>
      <c r="O49" s="72">
        <f t="shared" si="14"/>
        <v>71500</v>
      </c>
      <c r="P49" s="29"/>
      <c r="Q49" s="40" t="s">
        <v>69</v>
      </c>
      <c r="R49" s="44"/>
      <c r="S49" s="44">
        <f t="shared" si="15"/>
        <v>71500</v>
      </c>
      <c r="T49" s="44">
        <f t="shared" si="16"/>
        <v>102142.85714285714</v>
      </c>
      <c r="U49" s="45">
        <f t="shared" si="17"/>
        <v>116734.69387755102</v>
      </c>
      <c r="V49" s="46">
        <f t="shared" si="18"/>
        <v>0.12499999999999999</v>
      </c>
      <c r="W49" s="45">
        <f t="shared" si="19"/>
        <v>116800</v>
      </c>
      <c r="X49" s="47">
        <f t="shared" si="20"/>
        <v>0.3</v>
      </c>
      <c r="Y49" s="57">
        <v>98525</v>
      </c>
      <c r="Z49" s="58">
        <f>T49-Y49</f>
        <v>3617.8571428571449</v>
      </c>
      <c r="AA49" s="59">
        <f>Z49/Y49</f>
        <v>3.6720194294414053E-2</v>
      </c>
    </row>
    <row r="50" spans="1:27" ht="14.4" hidden="1" customHeight="1">
      <c r="A50" s="56">
        <v>46</v>
      </c>
      <c r="B50" s="36"/>
      <c r="C50" s="73" t="s">
        <v>119</v>
      </c>
      <c r="D50" s="37" t="str">
        <f t="shared" si="0"/>
        <v xml:space="preserve"> 743</v>
      </c>
      <c r="E50" s="38" t="s">
        <v>119</v>
      </c>
      <c r="F50" s="39">
        <f t="shared" si="1"/>
        <v>0</v>
      </c>
      <c r="G50" s="76" t="s">
        <v>335</v>
      </c>
      <c r="H50" s="77" t="s">
        <v>333</v>
      </c>
      <c r="I50" s="77" t="s">
        <v>415</v>
      </c>
      <c r="J50" s="41">
        <v>71500</v>
      </c>
      <c r="K50" s="42">
        <f t="shared" si="12"/>
        <v>8150</v>
      </c>
      <c r="L50" s="39" t="s">
        <v>22</v>
      </c>
      <c r="M50" s="43">
        <f t="shared" si="13"/>
        <v>63350</v>
      </c>
      <c r="N50" s="43">
        <f>2000+5100+600+200+250</f>
        <v>8150</v>
      </c>
      <c r="O50" s="72">
        <f t="shared" si="14"/>
        <v>71500</v>
      </c>
      <c r="P50" s="29"/>
      <c r="Q50" s="40" t="s">
        <v>69</v>
      </c>
      <c r="R50" s="44"/>
      <c r="S50" s="44">
        <f t="shared" si="15"/>
        <v>71500</v>
      </c>
      <c r="T50" s="44">
        <f t="shared" si="16"/>
        <v>102142.85714285714</v>
      </c>
      <c r="U50" s="45">
        <f t="shared" si="17"/>
        <v>116734.69387755102</v>
      </c>
      <c r="V50" s="46">
        <f t="shared" si="18"/>
        <v>0.12499999999999999</v>
      </c>
      <c r="W50" s="45">
        <f t="shared" si="19"/>
        <v>116800</v>
      </c>
      <c r="X50" s="47">
        <f t="shared" si="20"/>
        <v>0.3</v>
      </c>
      <c r="Y50" s="48"/>
      <c r="Z50" s="48"/>
      <c r="AA50" s="48"/>
    </row>
    <row r="51" spans="1:27" ht="14.4" hidden="1" customHeight="1">
      <c r="A51" s="35">
        <v>47</v>
      </c>
      <c r="B51" s="36"/>
      <c r="C51" s="75" t="s">
        <v>1348</v>
      </c>
      <c r="D51" s="37" t="str">
        <f t="shared" si="0"/>
        <v xml:space="preserve"> 898</v>
      </c>
      <c r="E51" s="38" t="s">
        <v>1348</v>
      </c>
      <c r="F51" s="39">
        <f t="shared" si="1"/>
        <v>0</v>
      </c>
      <c r="G51" s="76" t="s">
        <v>340</v>
      </c>
      <c r="H51" s="77" t="s">
        <v>324</v>
      </c>
      <c r="I51" s="77" t="s">
        <v>419</v>
      </c>
      <c r="J51" s="41">
        <v>62500</v>
      </c>
      <c r="K51" s="42">
        <f t="shared" si="12"/>
        <v>8150</v>
      </c>
      <c r="L51" s="39" t="s">
        <v>22</v>
      </c>
      <c r="M51" s="43">
        <f t="shared" si="13"/>
        <v>54350</v>
      </c>
      <c r="N51" s="43">
        <f>2000+5100+600+200+250</f>
        <v>8150</v>
      </c>
      <c r="O51" s="72">
        <f t="shared" si="14"/>
        <v>62500</v>
      </c>
      <c r="P51" s="29"/>
      <c r="Q51" s="40" t="s">
        <v>1307</v>
      </c>
      <c r="R51" s="44"/>
      <c r="S51" s="44">
        <f t="shared" si="15"/>
        <v>62500</v>
      </c>
      <c r="T51" s="44">
        <f t="shared" si="16"/>
        <v>89285.71428571429</v>
      </c>
      <c r="U51" s="45">
        <f t="shared" si="17"/>
        <v>102040.81632653062</v>
      </c>
      <c r="V51" s="46">
        <f t="shared" si="18"/>
        <v>0.12500000000000003</v>
      </c>
      <c r="W51" s="45">
        <f t="shared" si="19"/>
        <v>102100</v>
      </c>
      <c r="X51" s="47">
        <f t="shared" si="20"/>
        <v>0.30000000000000004</v>
      </c>
      <c r="Y51" s="57">
        <v>88025</v>
      </c>
      <c r="Z51" s="58">
        <f>T51-Y51</f>
        <v>1260.7142857142899</v>
      </c>
      <c r="AA51" s="59">
        <f>Z51/Y51</f>
        <v>1.4322229885990228E-2</v>
      </c>
    </row>
    <row r="52" spans="1:27" ht="14.4" hidden="1" customHeight="1">
      <c r="A52" s="56">
        <v>48</v>
      </c>
      <c r="B52" s="36"/>
      <c r="C52" s="75" t="s">
        <v>421</v>
      </c>
      <c r="D52" s="37" t="str">
        <f t="shared" si="0"/>
        <v xml:space="preserve"> 221</v>
      </c>
      <c r="E52" s="38" t="s">
        <v>421</v>
      </c>
      <c r="F52" s="39">
        <f t="shared" si="1"/>
        <v>0</v>
      </c>
      <c r="G52" s="76" t="s">
        <v>335</v>
      </c>
      <c r="H52" s="77" t="s">
        <v>333</v>
      </c>
      <c r="I52" s="77" t="s">
        <v>377</v>
      </c>
      <c r="J52" s="41">
        <v>73000</v>
      </c>
      <c r="K52" s="42">
        <f t="shared" si="12"/>
        <v>7900</v>
      </c>
      <c r="L52" s="39" t="s">
        <v>22</v>
      </c>
      <c r="M52" s="43">
        <f t="shared" si="13"/>
        <v>65100</v>
      </c>
      <c r="N52" s="43">
        <f>2000+4850+600+200+250</f>
        <v>7900</v>
      </c>
      <c r="O52" s="72">
        <f t="shared" si="14"/>
        <v>73000</v>
      </c>
      <c r="P52" s="29"/>
      <c r="Q52" s="40" t="s">
        <v>1308</v>
      </c>
      <c r="R52" s="44"/>
      <c r="S52" s="44">
        <f t="shared" si="15"/>
        <v>73000</v>
      </c>
      <c r="T52" s="44">
        <f t="shared" si="16"/>
        <v>104285.71428571429</v>
      </c>
      <c r="U52" s="45">
        <f t="shared" si="17"/>
        <v>119183.67346938777</v>
      </c>
      <c r="V52" s="46">
        <f t="shared" si="18"/>
        <v>0.12500000000000006</v>
      </c>
      <c r="W52" s="45">
        <f t="shared" si="19"/>
        <v>119200</v>
      </c>
      <c r="X52" s="47">
        <f t="shared" si="20"/>
        <v>0.30000000000000004</v>
      </c>
      <c r="Y52" s="48"/>
      <c r="Z52" s="48"/>
      <c r="AA52" s="48"/>
    </row>
    <row r="53" spans="1:27" ht="14.4" hidden="1" customHeight="1">
      <c r="A53" s="35">
        <v>49</v>
      </c>
      <c r="B53" s="36"/>
      <c r="C53" s="73" t="s">
        <v>142</v>
      </c>
      <c r="D53" s="37" t="str">
        <f t="shared" si="0"/>
        <v xml:space="preserve"> 462</v>
      </c>
      <c r="E53" s="38" t="s">
        <v>142</v>
      </c>
      <c r="F53" s="39">
        <f t="shared" si="1"/>
        <v>0</v>
      </c>
      <c r="G53" s="76" t="s">
        <v>335</v>
      </c>
      <c r="H53" s="77" t="s">
        <v>333</v>
      </c>
      <c r="I53" s="77" t="s">
        <v>43</v>
      </c>
      <c r="J53" s="41">
        <v>65000</v>
      </c>
      <c r="K53" s="42">
        <f t="shared" si="12"/>
        <v>8150</v>
      </c>
      <c r="L53" s="39" t="s">
        <v>22</v>
      </c>
      <c r="M53" s="43">
        <f t="shared" si="13"/>
        <v>56850</v>
      </c>
      <c r="N53" s="43">
        <f>2000+5100+600+200+250</f>
        <v>8150</v>
      </c>
      <c r="O53" s="72">
        <f t="shared" si="14"/>
        <v>65000</v>
      </c>
      <c r="P53" s="29"/>
      <c r="Q53" s="40" t="s">
        <v>69</v>
      </c>
      <c r="R53" s="44"/>
      <c r="S53" s="44">
        <f t="shared" si="15"/>
        <v>65000</v>
      </c>
      <c r="T53" s="44">
        <f t="shared" si="16"/>
        <v>92857.14285714287</v>
      </c>
      <c r="U53" s="45">
        <f t="shared" si="17"/>
        <v>106122.44897959185</v>
      </c>
      <c r="V53" s="46">
        <f t="shared" si="18"/>
        <v>0.12499999999999999</v>
      </c>
      <c r="W53" s="45">
        <f t="shared" si="19"/>
        <v>106200</v>
      </c>
      <c r="X53" s="47">
        <f t="shared" si="20"/>
        <v>0.3000000000000001</v>
      </c>
      <c r="Y53" s="48"/>
      <c r="Z53" s="48"/>
      <c r="AA53" s="50"/>
    </row>
    <row r="54" spans="1:27" ht="14.4" hidden="1" customHeight="1">
      <c r="A54" s="56">
        <v>50</v>
      </c>
      <c r="B54" s="36"/>
      <c r="C54" s="73" t="s">
        <v>259</v>
      </c>
      <c r="D54" s="37" t="str">
        <f t="shared" si="0"/>
        <v xml:space="preserve"> 496</v>
      </c>
      <c r="E54" s="38" t="s">
        <v>259</v>
      </c>
      <c r="F54" s="39">
        <f t="shared" si="1"/>
        <v>0</v>
      </c>
      <c r="G54" s="76" t="s">
        <v>335</v>
      </c>
      <c r="H54" s="77" t="s">
        <v>333</v>
      </c>
      <c r="I54" s="77" t="s">
        <v>289</v>
      </c>
      <c r="J54" s="41">
        <v>69000</v>
      </c>
      <c r="K54" s="42">
        <f t="shared" si="12"/>
        <v>8150</v>
      </c>
      <c r="L54" s="39" t="s">
        <v>22</v>
      </c>
      <c r="M54" s="43">
        <f t="shared" si="13"/>
        <v>60850</v>
      </c>
      <c r="N54" s="43">
        <f>2000+5100+600+200+250</f>
        <v>8150</v>
      </c>
      <c r="O54" s="72">
        <f t="shared" si="14"/>
        <v>69000</v>
      </c>
      <c r="P54" s="29"/>
      <c r="Q54" s="40" t="s">
        <v>69</v>
      </c>
      <c r="R54" s="53"/>
      <c r="S54" s="44">
        <f t="shared" si="15"/>
        <v>69000</v>
      </c>
      <c r="T54" s="44">
        <f t="shared" si="16"/>
        <v>98571.42857142858</v>
      </c>
      <c r="U54" s="45">
        <f t="shared" si="17"/>
        <v>112653.06122448981</v>
      </c>
      <c r="V54" s="46">
        <f t="shared" si="18"/>
        <v>0.12500000000000003</v>
      </c>
      <c r="W54" s="45">
        <f t="shared" si="19"/>
        <v>112700</v>
      </c>
      <c r="X54" s="47">
        <f t="shared" si="20"/>
        <v>0.30000000000000004</v>
      </c>
      <c r="Y54" s="54"/>
      <c r="Z54" s="54"/>
      <c r="AA54" s="55"/>
    </row>
    <row r="55" spans="1:27" ht="14.4" hidden="1" customHeight="1">
      <c r="A55" s="35">
        <v>51</v>
      </c>
      <c r="B55" s="36"/>
      <c r="C55" s="73" t="s">
        <v>274</v>
      </c>
      <c r="D55" s="37" t="str">
        <f t="shared" si="0"/>
        <v xml:space="preserve"> 868</v>
      </c>
      <c r="E55" s="38" t="s">
        <v>274</v>
      </c>
      <c r="F55" s="39">
        <f t="shared" si="1"/>
        <v>0</v>
      </c>
      <c r="G55" s="76" t="s">
        <v>335</v>
      </c>
      <c r="H55" s="77" t="s">
        <v>333</v>
      </c>
      <c r="I55" s="77" t="s">
        <v>294</v>
      </c>
      <c r="J55" s="41">
        <v>78000</v>
      </c>
      <c r="K55" s="42">
        <f t="shared" si="12"/>
        <v>8250</v>
      </c>
      <c r="L55" s="39" t="s">
        <v>22</v>
      </c>
      <c r="M55" s="43">
        <f t="shared" si="13"/>
        <v>69750</v>
      </c>
      <c r="N55" s="43">
        <f>2000+5200+600+200+250</f>
        <v>8250</v>
      </c>
      <c r="O55" s="72">
        <f t="shared" si="14"/>
        <v>78000</v>
      </c>
      <c r="P55" s="29"/>
      <c r="Q55" s="40" t="s">
        <v>71</v>
      </c>
      <c r="R55" s="53"/>
      <c r="S55" s="44">
        <f t="shared" si="15"/>
        <v>78000</v>
      </c>
      <c r="T55" s="44">
        <f t="shared" si="16"/>
        <v>111428.57142857143</v>
      </c>
      <c r="U55" s="45">
        <f t="shared" si="17"/>
        <v>127346.93877551021</v>
      </c>
      <c r="V55" s="46">
        <f t="shared" si="18"/>
        <v>0.12499999999999997</v>
      </c>
      <c r="W55" s="45">
        <f t="shared" si="19"/>
        <v>127400</v>
      </c>
      <c r="X55" s="47">
        <f t="shared" si="20"/>
        <v>0.30000000000000004</v>
      </c>
      <c r="Y55" s="54"/>
      <c r="Z55" s="54"/>
      <c r="AA55" s="55"/>
    </row>
    <row r="56" spans="1:27" ht="14.4" hidden="1" customHeight="1">
      <c r="A56" s="56">
        <v>52</v>
      </c>
      <c r="B56" s="36"/>
      <c r="C56" s="73" t="s">
        <v>143</v>
      </c>
      <c r="D56" s="37" t="str">
        <f t="shared" si="0"/>
        <v xml:space="preserve"> 343</v>
      </c>
      <c r="E56" s="38" t="s">
        <v>143</v>
      </c>
      <c r="F56" s="39">
        <f t="shared" si="1"/>
        <v>0</v>
      </c>
      <c r="G56" s="76" t="s">
        <v>340</v>
      </c>
      <c r="H56" s="77" t="s">
        <v>333</v>
      </c>
      <c r="I56" s="77" t="s">
        <v>43</v>
      </c>
      <c r="J56" s="41">
        <v>62500</v>
      </c>
      <c r="K56" s="42">
        <f t="shared" si="12"/>
        <v>8150</v>
      </c>
      <c r="L56" s="39" t="s">
        <v>22</v>
      </c>
      <c r="M56" s="43">
        <f t="shared" si="13"/>
        <v>54350</v>
      </c>
      <c r="N56" s="43">
        <f>2000+5100+600+200+250</f>
        <v>8150</v>
      </c>
      <c r="O56" s="72">
        <f t="shared" si="14"/>
        <v>62500</v>
      </c>
      <c r="P56" s="29"/>
      <c r="Q56" s="40" t="s">
        <v>69</v>
      </c>
      <c r="R56" s="44"/>
      <c r="S56" s="44">
        <f t="shared" si="15"/>
        <v>62500</v>
      </c>
      <c r="T56" s="44">
        <f t="shared" si="16"/>
        <v>89285.71428571429</v>
      </c>
      <c r="U56" s="45">
        <f t="shared" si="17"/>
        <v>102040.81632653062</v>
      </c>
      <c r="V56" s="46">
        <f t="shared" si="18"/>
        <v>0.12500000000000003</v>
      </c>
      <c r="W56" s="45">
        <f t="shared" si="19"/>
        <v>102100</v>
      </c>
      <c r="X56" s="47">
        <f t="shared" si="20"/>
        <v>0.30000000000000004</v>
      </c>
      <c r="Y56" s="57">
        <v>86013</v>
      </c>
      <c r="Z56" s="58">
        <f>T56-Y56</f>
        <v>3272.7142857142899</v>
      </c>
      <c r="AA56" s="59">
        <f>Z56/Y56</f>
        <v>3.8049065672797019E-2</v>
      </c>
    </row>
    <row r="57" spans="1:27" ht="14.4" hidden="1" customHeight="1">
      <c r="A57" s="35">
        <v>53</v>
      </c>
      <c r="B57" s="36"/>
      <c r="C57" s="73" t="s">
        <v>144</v>
      </c>
      <c r="D57" s="37" t="str">
        <f t="shared" si="0"/>
        <v xml:space="preserve"> 710</v>
      </c>
      <c r="E57" s="38" t="s">
        <v>144</v>
      </c>
      <c r="F57" s="39">
        <f t="shared" si="1"/>
        <v>0</v>
      </c>
      <c r="G57" s="76" t="s">
        <v>335</v>
      </c>
      <c r="H57" s="77" t="s">
        <v>333</v>
      </c>
      <c r="I57" s="77" t="s">
        <v>43</v>
      </c>
      <c r="J57" s="41">
        <v>65000</v>
      </c>
      <c r="K57" s="42">
        <f t="shared" si="12"/>
        <v>8150</v>
      </c>
      <c r="L57" s="39" t="s">
        <v>22</v>
      </c>
      <c r="M57" s="43">
        <f t="shared" si="13"/>
        <v>56850</v>
      </c>
      <c r="N57" s="43">
        <f>2000+5100+600+200+250</f>
        <v>8150</v>
      </c>
      <c r="O57" s="72">
        <f t="shared" si="14"/>
        <v>65000</v>
      </c>
      <c r="P57" s="29"/>
      <c r="Q57" s="40" t="s">
        <v>69</v>
      </c>
      <c r="R57" s="44"/>
      <c r="S57" s="44">
        <f t="shared" si="15"/>
        <v>65000</v>
      </c>
      <c r="T57" s="44">
        <f t="shared" si="16"/>
        <v>92857.14285714287</v>
      </c>
      <c r="U57" s="45">
        <f t="shared" si="17"/>
        <v>106122.44897959185</v>
      </c>
      <c r="V57" s="46">
        <f t="shared" si="18"/>
        <v>0.12499999999999999</v>
      </c>
      <c r="W57" s="45">
        <f t="shared" si="19"/>
        <v>106200</v>
      </c>
      <c r="X57" s="47">
        <f t="shared" si="20"/>
        <v>0.3000000000000001</v>
      </c>
      <c r="Y57" s="48"/>
      <c r="Z57" s="48"/>
      <c r="AA57" s="50"/>
    </row>
    <row r="58" spans="1:27" ht="14.4" hidden="1" customHeight="1">
      <c r="A58" s="56">
        <v>54</v>
      </c>
      <c r="B58" s="36"/>
      <c r="C58" s="75" t="s">
        <v>1349</v>
      </c>
      <c r="D58" s="37" t="str">
        <f t="shared" si="0"/>
        <v xml:space="preserve"> 282</v>
      </c>
      <c r="E58" s="38" t="s">
        <v>1349</v>
      </c>
      <c r="F58" s="39">
        <f t="shared" si="1"/>
        <v>0</v>
      </c>
      <c r="G58" s="76" t="s">
        <v>340</v>
      </c>
      <c r="H58" s="77" t="s">
        <v>333</v>
      </c>
      <c r="I58" s="77" t="s">
        <v>419</v>
      </c>
      <c r="J58" s="41">
        <v>62500</v>
      </c>
      <c r="K58" s="42">
        <f t="shared" si="12"/>
        <v>8150</v>
      </c>
      <c r="L58" s="39" t="s">
        <v>22</v>
      </c>
      <c r="M58" s="43">
        <f t="shared" si="13"/>
        <v>54350</v>
      </c>
      <c r="N58" s="43">
        <f>2000+5100+600+200+250</f>
        <v>8150</v>
      </c>
      <c r="O58" s="72">
        <f t="shared" si="14"/>
        <v>62500</v>
      </c>
      <c r="P58" s="29"/>
      <c r="Q58" s="40" t="s">
        <v>1307</v>
      </c>
      <c r="R58" s="44"/>
      <c r="S58" s="44">
        <f t="shared" si="15"/>
        <v>62500</v>
      </c>
      <c r="T58" s="44">
        <f t="shared" si="16"/>
        <v>89285.71428571429</v>
      </c>
      <c r="U58" s="45">
        <f t="shared" si="17"/>
        <v>102040.81632653062</v>
      </c>
      <c r="V58" s="46">
        <f t="shared" si="18"/>
        <v>0.12500000000000003</v>
      </c>
      <c r="W58" s="45">
        <f t="shared" si="19"/>
        <v>102100</v>
      </c>
      <c r="X58" s="47">
        <f t="shared" si="20"/>
        <v>0.30000000000000004</v>
      </c>
      <c r="Y58" s="57">
        <v>86013</v>
      </c>
      <c r="Z58" s="58">
        <f>T58-Y58</f>
        <v>3272.7142857142899</v>
      </c>
      <c r="AA58" s="59">
        <f>Z58/Y58</f>
        <v>3.8049065672797019E-2</v>
      </c>
    </row>
    <row r="59" spans="1:27" ht="14.4" hidden="1" customHeight="1">
      <c r="A59" s="35">
        <v>55</v>
      </c>
      <c r="B59" s="36"/>
      <c r="C59" s="75" t="s">
        <v>430</v>
      </c>
      <c r="D59" s="37" t="str">
        <f t="shared" si="0"/>
        <v xml:space="preserve"> 927</v>
      </c>
      <c r="E59" s="38" t="s">
        <v>430</v>
      </c>
      <c r="F59" s="39">
        <f t="shared" si="1"/>
        <v>0</v>
      </c>
      <c r="G59" s="76" t="s">
        <v>340</v>
      </c>
      <c r="H59" s="77" t="s">
        <v>324</v>
      </c>
      <c r="I59" s="77" t="s">
        <v>419</v>
      </c>
      <c r="J59" s="41">
        <v>67500</v>
      </c>
      <c r="K59" s="42">
        <f t="shared" si="12"/>
        <v>8150</v>
      </c>
      <c r="L59" s="39" t="s">
        <v>22</v>
      </c>
      <c r="M59" s="43">
        <f t="shared" si="13"/>
        <v>59350</v>
      </c>
      <c r="N59" s="43">
        <f>2000+5100+600+200+250</f>
        <v>8150</v>
      </c>
      <c r="O59" s="72">
        <f t="shared" si="14"/>
        <v>67500</v>
      </c>
      <c r="P59" s="29"/>
      <c r="Q59" s="40" t="s">
        <v>1307</v>
      </c>
      <c r="R59" s="44"/>
      <c r="S59" s="44">
        <f t="shared" si="15"/>
        <v>67500</v>
      </c>
      <c r="T59" s="44">
        <f t="shared" si="16"/>
        <v>96428.571428571435</v>
      </c>
      <c r="U59" s="45">
        <f t="shared" si="17"/>
        <v>110204.08163265306</v>
      </c>
      <c r="V59" s="46">
        <f t="shared" si="18"/>
        <v>0.12499999999999994</v>
      </c>
      <c r="W59" s="45">
        <f t="shared" si="19"/>
        <v>110300</v>
      </c>
      <c r="X59" s="47">
        <f t="shared" si="20"/>
        <v>0.30000000000000004</v>
      </c>
      <c r="Y59" s="57">
        <v>95025</v>
      </c>
      <c r="Z59" s="58">
        <f>T59-Y59</f>
        <v>1403.5714285714348</v>
      </c>
      <c r="AA59" s="59">
        <f>Z59/Y59</f>
        <v>1.4770549103619414E-2</v>
      </c>
    </row>
    <row r="60" spans="1:27" ht="14.4" hidden="1" customHeight="1">
      <c r="A60" s="35">
        <v>56</v>
      </c>
      <c r="B60" s="36"/>
      <c r="C60" s="75" t="s">
        <v>1377</v>
      </c>
      <c r="D60" s="37" t="str">
        <f t="shared" si="0"/>
        <v xml:space="preserve"> 280</v>
      </c>
      <c r="E60" s="38" t="s">
        <v>1377</v>
      </c>
      <c r="F60" s="39">
        <f t="shared" si="1"/>
        <v>0</v>
      </c>
      <c r="G60" s="76"/>
      <c r="H60" s="77" t="s">
        <v>324</v>
      </c>
      <c r="I60" s="77" t="s">
        <v>1378</v>
      </c>
      <c r="J60" s="41"/>
      <c r="K60" s="42"/>
      <c r="L60" s="39"/>
      <c r="M60" s="43"/>
      <c r="N60" s="43"/>
      <c r="O60" s="72"/>
      <c r="P60" s="29"/>
      <c r="Q60" s="40"/>
      <c r="R60" s="44"/>
      <c r="S60" s="44"/>
      <c r="T60" s="44"/>
      <c r="U60" s="45"/>
      <c r="V60" s="46"/>
      <c r="W60" s="45"/>
      <c r="X60" s="47"/>
      <c r="Y60" s="57"/>
      <c r="Z60" s="58"/>
      <c r="AA60" s="59"/>
    </row>
    <row r="61" spans="1:27" ht="14.4" hidden="1" customHeight="1">
      <c r="A61" s="35">
        <v>57</v>
      </c>
      <c r="B61" s="36"/>
      <c r="C61" s="75" t="s">
        <v>1350</v>
      </c>
      <c r="D61" s="37" t="str">
        <f t="shared" si="0"/>
        <v xml:space="preserve"> 894</v>
      </c>
      <c r="E61" s="38" t="s">
        <v>1350</v>
      </c>
      <c r="F61" s="39">
        <f t="shared" si="1"/>
        <v>0</v>
      </c>
      <c r="G61" s="76" t="s">
        <v>340</v>
      </c>
      <c r="H61" s="77" t="s">
        <v>324</v>
      </c>
      <c r="I61" s="77" t="s">
        <v>419</v>
      </c>
      <c r="J61" s="41">
        <v>62500</v>
      </c>
      <c r="K61" s="42">
        <f t="shared" ref="K61:K124" si="21">J61-M61</f>
        <v>8150</v>
      </c>
      <c r="L61" s="39" t="s">
        <v>22</v>
      </c>
      <c r="M61" s="43">
        <f t="shared" ref="M61:M124" si="22">J61-N61</f>
        <v>54350</v>
      </c>
      <c r="N61" s="43">
        <f>2000+5100+600+200+250</f>
        <v>8150</v>
      </c>
      <c r="O61" s="72">
        <f t="shared" ref="O61:O124" si="23">M61+N61</f>
        <v>62500</v>
      </c>
      <c r="P61" s="29"/>
      <c r="Q61" s="40" t="s">
        <v>1307</v>
      </c>
      <c r="R61" s="44"/>
      <c r="S61" s="44">
        <f t="shared" ref="S61:S124" si="24">R61+O61</f>
        <v>62500</v>
      </c>
      <c r="T61" s="44">
        <f t="shared" ref="T61:T124" si="25">S61/0.7</f>
        <v>89285.71428571429</v>
      </c>
      <c r="U61" s="45">
        <f t="shared" ref="U61:U124" si="26">T61/0.875</f>
        <v>102040.81632653062</v>
      </c>
      <c r="V61" s="46">
        <f t="shared" ref="V61:V124" si="27">(U61-T61)/U61</f>
        <v>0.12500000000000003</v>
      </c>
      <c r="W61" s="45">
        <f t="shared" ref="W61:W124" si="28">(ROUNDUP((U61/100),0))*100</f>
        <v>102100</v>
      </c>
      <c r="X61" s="47">
        <f t="shared" ref="X61:X124" si="29">(T61-O61)/T61</f>
        <v>0.30000000000000004</v>
      </c>
      <c r="Y61" s="57">
        <v>86013</v>
      </c>
      <c r="Z61" s="58">
        <f>T61-Y61</f>
        <v>3272.7142857142899</v>
      </c>
      <c r="AA61" s="59">
        <f>Z61/Y61</f>
        <v>3.8049065672797019E-2</v>
      </c>
    </row>
    <row r="62" spans="1:27" ht="14.4" hidden="1" customHeight="1">
      <c r="A62" s="56">
        <v>58</v>
      </c>
      <c r="B62" s="36"/>
      <c r="C62" s="73" t="s">
        <v>161</v>
      </c>
      <c r="D62" s="37" t="str">
        <f t="shared" si="0"/>
        <v xml:space="preserve"> 762</v>
      </c>
      <c r="E62" s="38" t="s">
        <v>161</v>
      </c>
      <c r="F62" s="39">
        <f t="shared" si="1"/>
        <v>0</v>
      </c>
      <c r="G62" s="76" t="s">
        <v>335</v>
      </c>
      <c r="H62" s="77" t="s">
        <v>333</v>
      </c>
      <c r="I62" s="77" t="s">
        <v>54</v>
      </c>
      <c r="J62" s="41">
        <v>71750</v>
      </c>
      <c r="K62" s="42">
        <f t="shared" si="21"/>
        <v>8150</v>
      </c>
      <c r="L62" s="39" t="s">
        <v>22</v>
      </c>
      <c r="M62" s="43">
        <f t="shared" si="22"/>
        <v>63600</v>
      </c>
      <c r="N62" s="49">
        <f>2000+5100+600+200+250</f>
        <v>8150</v>
      </c>
      <c r="O62" s="72">
        <f t="shared" si="23"/>
        <v>71750</v>
      </c>
      <c r="P62" s="29"/>
      <c r="Q62" s="40" t="s">
        <v>69</v>
      </c>
      <c r="R62" s="44"/>
      <c r="S62" s="44">
        <f t="shared" si="24"/>
        <v>71750</v>
      </c>
      <c r="T62" s="44">
        <f t="shared" si="25"/>
        <v>102500</v>
      </c>
      <c r="U62" s="45">
        <f t="shared" si="26"/>
        <v>117142.85714285714</v>
      </c>
      <c r="V62" s="46">
        <f t="shared" si="27"/>
        <v>0.12500000000000003</v>
      </c>
      <c r="W62" s="45">
        <f t="shared" si="28"/>
        <v>117200</v>
      </c>
      <c r="X62" s="47">
        <f t="shared" si="29"/>
        <v>0.3</v>
      </c>
      <c r="Y62" s="48"/>
      <c r="Z62" s="48"/>
      <c r="AA62" s="50"/>
    </row>
    <row r="63" spans="1:27" ht="14.4" hidden="1" customHeight="1">
      <c r="A63" s="35">
        <v>59</v>
      </c>
      <c r="B63" s="36"/>
      <c r="C63" s="75" t="s">
        <v>437</v>
      </c>
      <c r="D63" s="37" t="str">
        <f t="shared" si="0"/>
        <v xml:space="preserve"> 555</v>
      </c>
      <c r="E63" s="38" t="s">
        <v>437</v>
      </c>
      <c r="F63" s="39">
        <f t="shared" si="1"/>
        <v>0</v>
      </c>
      <c r="G63" s="76" t="s">
        <v>340</v>
      </c>
      <c r="H63" s="77" t="s">
        <v>438</v>
      </c>
      <c r="I63" s="77" t="s">
        <v>355</v>
      </c>
      <c r="J63" s="41">
        <v>69000</v>
      </c>
      <c r="K63" s="42">
        <f t="shared" si="21"/>
        <v>8150</v>
      </c>
      <c r="L63" s="39"/>
      <c r="M63" s="43">
        <f t="shared" si="22"/>
        <v>60850</v>
      </c>
      <c r="N63" s="49">
        <f>2000+5100+600+200+250</f>
        <v>8150</v>
      </c>
      <c r="O63" s="72">
        <f t="shared" si="23"/>
        <v>69000</v>
      </c>
      <c r="P63" s="29"/>
      <c r="Q63" s="40"/>
      <c r="R63" s="44"/>
      <c r="S63" s="44">
        <f t="shared" si="24"/>
        <v>69000</v>
      </c>
      <c r="T63" s="44">
        <f t="shared" si="25"/>
        <v>98571.42857142858</v>
      </c>
      <c r="U63" s="45">
        <f t="shared" si="26"/>
        <v>112653.06122448981</v>
      </c>
      <c r="V63" s="46">
        <f t="shared" si="27"/>
        <v>0.12500000000000003</v>
      </c>
      <c r="W63" s="45">
        <f t="shared" si="28"/>
        <v>112700</v>
      </c>
      <c r="X63" s="47">
        <f t="shared" si="29"/>
        <v>0.30000000000000004</v>
      </c>
      <c r="Y63" s="57">
        <v>95025</v>
      </c>
      <c r="Z63" s="58">
        <f>T63-Y63</f>
        <v>3546.4285714285797</v>
      </c>
      <c r="AA63" s="59">
        <f>Z63/Y63</f>
        <v>3.732100575036653E-2</v>
      </c>
    </row>
    <row r="64" spans="1:27" ht="14.4" hidden="1" customHeight="1">
      <c r="A64" s="56">
        <v>60</v>
      </c>
      <c r="B64" s="36"/>
      <c r="C64" s="73" t="s">
        <v>222</v>
      </c>
      <c r="D64" s="37" t="str">
        <f t="shared" si="0"/>
        <v xml:space="preserve"> 195</v>
      </c>
      <c r="E64" s="38" t="s">
        <v>222</v>
      </c>
      <c r="F64" s="39">
        <f t="shared" si="1"/>
        <v>0</v>
      </c>
      <c r="G64" s="76" t="s">
        <v>335</v>
      </c>
      <c r="H64" s="77" t="s">
        <v>382</v>
      </c>
      <c r="I64" s="77" t="s">
        <v>57</v>
      </c>
      <c r="J64" s="41">
        <v>82500</v>
      </c>
      <c r="K64" s="42">
        <f t="shared" si="21"/>
        <v>8150</v>
      </c>
      <c r="L64" s="39" t="s">
        <v>22</v>
      </c>
      <c r="M64" s="43">
        <f t="shared" si="22"/>
        <v>74350</v>
      </c>
      <c r="N64" s="49">
        <f>2000+5100+600+200+250</f>
        <v>8150</v>
      </c>
      <c r="O64" s="72">
        <f t="shared" si="23"/>
        <v>82500</v>
      </c>
      <c r="P64" s="29"/>
      <c r="Q64" s="40" t="s">
        <v>69</v>
      </c>
      <c r="R64" s="44"/>
      <c r="S64" s="44">
        <f t="shared" si="24"/>
        <v>82500</v>
      </c>
      <c r="T64" s="44">
        <f t="shared" si="25"/>
        <v>117857.14285714287</v>
      </c>
      <c r="U64" s="45">
        <f t="shared" si="26"/>
        <v>134693.87755102041</v>
      </c>
      <c r="V64" s="46">
        <f t="shared" si="27"/>
        <v>0.12499999999999994</v>
      </c>
      <c r="W64" s="45">
        <f t="shared" si="28"/>
        <v>134700</v>
      </c>
      <c r="X64" s="47">
        <f t="shared" si="29"/>
        <v>0.3000000000000001</v>
      </c>
      <c r="Y64" s="48"/>
      <c r="Z64" s="48"/>
      <c r="AA64" s="48"/>
    </row>
    <row r="65" spans="1:27" ht="14.4" hidden="1" customHeight="1">
      <c r="A65" s="35">
        <v>61</v>
      </c>
      <c r="B65" s="36"/>
      <c r="C65" s="75" t="s">
        <v>1344</v>
      </c>
      <c r="D65" s="37" t="str">
        <f t="shared" si="0"/>
        <v xml:space="preserve"> </v>
      </c>
      <c r="E65" s="38" t="s">
        <v>441</v>
      </c>
      <c r="F65" s="39">
        <f t="shared" si="1"/>
        <v>1</v>
      </c>
      <c r="G65" s="76" t="s">
        <v>340</v>
      </c>
      <c r="H65" s="77" t="s">
        <v>438</v>
      </c>
      <c r="I65" s="77" t="s">
        <v>355</v>
      </c>
      <c r="J65" s="41"/>
      <c r="K65" s="42">
        <f t="shared" si="21"/>
        <v>0</v>
      </c>
      <c r="L65" s="39"/>
      <c r="M65" s="43">
        <f t="shared" si="22"/>
        <v>0</v>
      </c>
      <c r="N65" s="49"/>
      <c r="O65" s="72">
        <f t="shared" si="23"/>
        <v>0</v>
      </c>
      <c r="P65" s="29"/>
      <c r="Q65" s="40"/>
      <c r="R65" s="44"/>
      <c r="S65" s="44">
        <f t="shared" si="24"/>
        <v>0</v>
      </c>
      <c r="T65" s="44">
        <f t="shared" si="25"/>
        <v>0</v>
      </c>
      <c r="U65" s="45">
        <f t="shared" si="26"/>
        <v>0</v>
      </c>
      <c r="V65" s="46" t="e">
        <f t="shared" si="27"/>
        <v>#DIV/0!</v>
      </c>
      <c r="W65" s="45">
        <f t="shared" si="28"/>
        <v>0</v>
      </c>
      <c r="X65" s="47" t="e">
        <f t="shared" si="29"/>
        <v>#DIV/0!</v>
      </c>
      <c r="Y65" s="57"/>
      <c r="Z65" s="58">
        <f>T65-Y65</f>
        <v>0</v>
      </c>
      <c r="AA65" s="59" t="e">
        <f>Z65/Y65</f>
        <v>#DIV/0!</v>
      </c>
    </row>
    <row r="66" spans="1:27" ht="14.4" hidden="1" customHeight="1">
      <c r="A66" s="56">
        <v>62</v>
      </c>
      <c r="B66" s="36"/>
      <c r="C66" s="73" t="s">
        <v>223</v>
      </c>
      <c r="D66" s="37" t="str">
        <f t="shared" si="0"/>
        <v xml:space="preserve"> 402</v>
      </c>
      <c r="E66" s="38" t="s">
        <v>223</v>
      </c>
      <c r="F66" s="39">
        <f t="shared" si="1"/>
        <v>0</v>
      </c>
      <c r="G66" s="76" t="s">
        <v>335</v>
      </c>
      <c r="H66" s="77" t="s">
        <v>382</v>
      </c>
      <c r="I66" s="77" t="s">
        <v>57</v>
      </c>
      <c r="J66" s="41">
        <v>82500</v>
      </c>
      <c r="K66" s="42">
        <f t="shared" si="21"/>
        <v>8150</v>
      </c>
      <c r="L66" s="39" t="s">
        <v>22</v>
      </c>
      <c r="M66" s="43">
        <f t="shared" si="22"/>
        <v>74350</v>
      </c>
      <c r="N66" s="49">
        <f>2000+5100+600+200+250</f>
        <v>8150</v>
      </c>
      <c r="O66" s="72">
        <f t="shared" si="23"/>
        <v>82500</v>
      </c>
      <c r="P66" s="29"/>
      <c r="Q66" s="40" t="s">
        <v>69</v>
      </c>
      <c r="R66" s="44"/>
      <c r="S66" s="44">
        <f t="shared" si="24"/>
        <v>82500</v>
      </c>
      <c r="T66" s="44">
        <f t="shared" si="25"/>
        <v>117857.14285714287</v>
      </c>
      <c r="U66" s="45">
        <f t="shared" si="26"/>
        <v>134693.87755102041</v>
      </c>
      <c r="V66" s="46">
        <f t="shared" si="27"/>
        <v>0.12499999999999994</v>
      </c>
      <c r="W66" s="45">
        <f t="shared" si="28"/>
        <v>134700</v>
      </c>
      <c r="X66" s="47">
        <f t="shared" si="29"/>
        <v>0.3000000000000001</v>
      </c>
      <c r="Y66" s="48"/>
      <c r="Z66" s="48"/>
      <c r="AA66" s="50"/>
    </row>
    <row r="67" spans="1:27" ht="14.4" hidden="1" customHeight="1">
      <c r="A67" s="35">
        <v>63</v>
      </c>
      <c r="B67" s="36"/>
      <c r="C67" s="75" t="s">
        <v>444</v>
      </c>
      <c r="D67" s="37" t="str">
        <f t="shared" si="0"/>
        <v xml:space="preserve"> 227</v>
      </c>
      <c r="E67" s="38" t="s">
        <v>444</v>
      </c>
      <c r="F67" s="39">
        <f t="shared" si="1"/>
        <v>0</v>
      </c>
      <c r="G67" s="76" t="s">
        <v>340</v>
      </c>
      <c r="H67" s="77" t="s">
        <v>382</v>
      </c>
      <c r="I67" s="77" t="s">
        <v>355</v>
      </c>
      <c r="J67" s="41">
        <f>65000</f>
        <v>65000</v>
      </c>
      <c r="K67" s="42">
        <f t="shared" si="21"/>
        <v>8150</v>
      </c>
      <c r="L67" s="39"/>
      <c r="M67" s="43">
        <f t="shared" si="22"/>
        <v>56850</v>
      </c>
      <c r="N67" s="49">
        <f>2000+5100+600+200+250</f>
        <v>8150</v>
      </c>
      <c r="O67" s="72">
        <f t="shared" si="23"/>
        <v>65000</v>
      </c>
      <c r="P67" s="29"/>
      <c r="Q67" s="40"/>
      <c r="R67" s="44"/>
      <c r="S67" s="44">
        <f t="shared" si="24"/>
        <v>65000</v>
      </c>
      <c r="T67" s="44">
        <f t="shared" si="25"/>
        <v>92857.14285714287</v>
      </c>
      <c r="U67" s="45">
        <f t="shared" si="26"/>
        <v>106122.44897959185</v>
      </c>
      <c r="V67" s="46">
        <f t="shared" si="27"/>
        <v>0.12499999999999999</v>
      </c>
      <c r="W67" s="45">
        <f t="shared" si="28"/>
        <v>106200</v>
      </c>
      <c r="X67" s="47">
        <f t="shared" si="29"/>
        <v>0.3000000000000001</v>
      </c>
      <c r="Y67" s="57">
        <v>92488</v>
      </c>
      <c r="Z67" s="58">
        <f>T67-Y67</f>
        <v>369.14285714286962</v>
      </c>
      <c r="AA67" s="59">
        <f>Z67/Y67</f>
        <v>3.9912513746958485E-3</v>
      </c>
    </row>
    <row r="68" spans="1:27" ht="14.4" hidden="1" customHeight="1">
      <c r="A68" s="56">
        <v>64</v>
      </c>
      <c r="B68" s="36"/>
      <c r="C68" s="73" t="s">
        <v>107</v>
      </c>
      <c r="D68" s="37" t="str">
        <f t="shared" si="0"/>
        <v xml:space="preserve"> 317</v>
      </c>
      <c r="E68" s="38" t="s">
        <v>107</v>
      </c>
      <c r="F68" s="39">
        <f t="shared" si="1"/>
        <v>0</v>
      </c>
      <c r="G68" s="76" t="s">
        <v>335</v>
      </c>
      <c r="H68" s="77" t="s">
        <v>333</v>
      </c>
      <c r="I68" s="77" t="s">
        <v>334</v>
      </c>
      <c r="J68" s="41">
        <v>75000</v>
      </c>
      <c r="K68" s="42">
        <f t="shared" si="21"/>
        <v>8250</v>
      </c>
      <c r="L68" s="39" t="s">
        <v>22</v>
      </c>
      <c r="M68" s="43">
        <f t="shared" si="22"/>
        <v>66750</v>
      </c>
      <c r="N68" s="43">
        <f>2000+5200+600+200+250</f>
        <v>8250</v>
      </c>
      <c r="O68" s="72">
        <f t="shared" si="23"/>
        <v>75000</v>
      </c>
      <c r="P68" s="29"/>
      <c r="Q68" s="40" t="s">
        <v>71</v>
      </c>
      <c r="R68" s="44"/>
      <c r="S68" s="44">
        <f t="shared" si="24"/>
        <v>75000</v>
      </c>
      <c r="T68" s="44">
        <f t="shared" si="25"/>
        <v>107142.85714285714</v>
      </c>
      <c r="U68" s="45">
        <f t="shared" si="26"/>
        <v>122448.97959183673</v>
      </c>
      <c r="V68" s="46">
        <f t="shared" si="27"/>
        <v>0.12499999999999996</v>
      </c>
      <c r="W68" s="45">
        <f t="shared" si="28"/>
        <v>122500</v>
      </c>
      <c r="X68" s="47">
        <f t="shared" si="29"/>
        <v>0.3</v>
      </c>
      <c r="Y68" s="48"/>
      <c r="Z68" s="48"/>
      <c r="AA68" s="48"/>
    </row>
    <row r="69" spans="1:27" ht="14.4" hidden="1" customHeight="1">
      <c r="A69" s="35">
        <v>65</v>
      </c>
      <c r="B69" s="36"/>
      <c r="C69" s="75" t="s">
        <v>447</v>
      </c>
      <c r="D69" s="37" t="str">
        <f t="shared" ref="D69:D132" si="30">REPLACE(C69,1,3, )</f>
        <v xml:space="preserve"> 020</v>
      </c>
      <c r="E69" s="38" t="s">
        <v>447</v>
      </c>
      <c r="F69" s="39">
        <f t="shared" ref="F69:F132" si="31">IF(C69=E69,0,1)</f>
        <v>0</v>
      </c>
      <c r="G69" s="76" t="s">
        <v>340</v>
      </c>
      <c r="H69" s="77" t="s">
        <v>448</v>
      </c>
      <c r="I69" s="77" t="s">
        <v>449</v>
      </c>
      <c r="J69" s="41"/>
      <c r="K69" s="42">
        <f t="shared" si="21"/>
        <v>0</v>
      </c>
      <c r="L69" s="39"/>
      <c r="M69" s="43">
        <f t="shared" si="22"/>
        <v>0</v>
      </c>
      <c r="N69" s="43"/>
      <c r="O69" s="72">
        <f t="shared" si="23"/>
        <v>0</v>
      </c>
      <c r="P69" s="29"/>
      <c r="Q69" s="40"/>
      <c r="R69" s="44"/>
      <c r="S69" s="44">
        <f t="shared" si="24"/>
        <v>0</v>
      </c>
      <c r="T69" s="44">
        <f t="shared" si="25"/>
        <v>0</v>
      </c>
      <c r="U69" s="45">
        <f t="shared" si="26"/>
        <v>0</v>
      </c>
      <c r="V69" s="46" t="e">
        <f t="shared" si="27"/>
        <v>#DIV/0!</v>
      </c>
      <c r="W69" s="45">
        <f t="shared" si="28"/>
        <v>0</v>
      </c>
      <c r="X69" s="47" t="e">
        <f t="shared" si="29"/>
        <v>#DIV/0!</v>
      </c>
      <c r="Y69" s="57">
        <v>94588</v>
      </c>
      <c r="Z69" s="58">
        <f>T69-Y69</f>
        <v>-94588</v>
      </c>
      <c r="AA69" s="59">
        <f>Z69/Y69</f>
        <v>-1</v>
      </c>
    </row>
    <row r="70" spans="1:27" ht="14.4" hidden="1" customHeight="1">
      <c r="A70" s="56">
        <v>66</v>
      </c>
      <c r="B70" s="36"/>
      <c r="C70" s="73" t="s">
        <v>162</v>
      </c>
      <c r="D70" s="37" t="str">
        <f t="shared" si="30"/>
        <v xml:space="preserve"> 172</v>
      </c>
      <c r="E70" s="38" t="s">
        <v>162</v>
      </c>
      <c r="F70" s="39">
        <f t="shared" si="31"/>
        <v>0</v>
      </c>
      <c r="G70" s="76" t="s">
        <v>335</v>
      </c>
      <c r="H70" s="77" t="s">
        <v>333</v>
      </c>
      <c r="I70" s="77" t="s">
        <v>54</v>
      </c>
      <c r="J70" s="41">
        <v>71750</v>
      </c>
      <c r="K70" s="42">
        <f t="shared" si="21"/>
        <v>8150</v>
      </c>
      <c r="L70" s="39" t="s">
        <v>22</v>
      </c>
      <c r="M70" s="43">
        <f t="shared" si="22"/>
        <v>63600</v>
      </c>
      <c r="N70" s="49">
        <f>2000+5100+600+200+250</f>
        <v>8150</v>
      </c>
      <c r="O70" s="72">
        <f t="shared" si="23"/>
        <v>71750</v>
      </c>
      <c r="P70" s="29"/>
      <c r="Q70" s="40" t="s">
        <v>69</v>
      </c>
      <c r="R70" s="44"/>
      <c r="S70" s="44">
        <f t="shared" si="24"/>
        <v>71750</v>
      </c>
      <c r="T70" s="44">
        <f t="shared" si="25"/>
        <v>102500</v>
      </c>
      <c r="U70" s="45">
        <f t="shared" si="26"/>
        <v>117142.85714285714</v>
      </c>
      <c r="V70" s="46">
        <f t="shared" si="27"/>
        <v>0.12500000000000003</v>
      </c>
      <c r="W70" s="45">
        <f t="shared" si="28"/>
        <v>117200</v>
      </c>
      <c r="X70" s="47">
        <f t="shared" si="29"/>
        <v>0.3</v>
      </c>
      <c r="Y70" s="48"/>
      <c r="Z70" s="48"/>
      <c r="AA70" s="48"/>
    </row>
    <row r="71" spans="1:27" ht="14.4" hidden="1" customHeight="1">
      <c r="A71" s="35">
        <v>67</v>
      </c>
      <c r="B71" s="36"/>
      <c r="C71" s="75" t="s">
        <v>452</v>
      </c>
      <c r="D71" s="37" t="str">
        <f t="shared" si="30"/>
        <v xml:space="preserve"> 773</v>
      </c>
      <c r="E71" s="38" t="s">
        <v>452</v>
      </c>
      <c r="F71" s="39">
        <f t="shared" si="31"/>
        <v>0</v>
      </c>
      <c r="G71" s="76" t="s">
        <v>335</v>
      </c>
      <c r="H71" s="77" t="s">
        <v>333</v>
      </c>
      <c r="I71" s="77" t="s">
        <v>383</v>
      </c>
      <c r="J71" s="41">
        <v>67500</v>
      </c>
      <c r="K71" s="42">
        <f t="shared" si="21"/>
        <v>8150</v>
      </c>
      <c r="L71" s="39" t="s">
        <v>22</v>
      </c>
      <c r="M71" s="43">
        <f t="shared" si="22"/>
        <v>59350</v>
      </c>
      <c r="N71" s="49">
        <f>2000+5100+600+200+250</f>
        <v>8150</v>
      </c>
      <c r="O71" s="72">
        <f t="shared" si="23"/>
        <v>67500</v>
      </c>
      <c r="P71" s="29"/>
      <c r="Q71" s="40" t="s">
        <v>1307</v>
      </c>
      <c r="R71" s="44"/>
      <c r="S71" s="44">
        <f t="shared" si="24"/>
        <v>67500</v>
      </c>
      <c r="T71" s="44">
        <f t="shared" si="25"/>
        <v>96428.571428571435</v>
      </c>
      <c r="U71" s="45">
        <f t="shared" si="26"/>
        <v>110204.08163265306</v>
      </c>
      <c r="V71" s="46">
        <f t="shared" si="27"/>
        <v>0.12499999999999994</v>
      </c>
      <c r="W71" s="45">
        <f t="shared" si="28"/>
        <v>110300</v>
      </c>
      <c r="X71" s="47">
        <f t="shared" si="29"/>
        <v>0.30000000000000004</v>
      </c>
      <c r="Y71" s="48"/>
      <c r="Z71" s="48"/>
      <c r="AA71" s="48"/>
    </row>
    <row r="72" spans="1:27" ht="14.4" hidden="1" customHeight="1">
      <c r="A72" s="56">
        <v>68</v>
      </c>
      <c r="B72" s="36"/>
      <c r="C72" s="75" t="s">
        <v>454</v>
      </c>
      <c r="D72" s="37" t="str">
        <f t="shared" si="30"/>
        <v xml:space="preserve"> 423</v>
      </c>
      <c r="E72" s="38" t="s">
        <v>454</v>
      </c>
      <c r="F72" s="39">
        <f t="shared" si="31"/>
        <v>0</v>
      </c>
      <c r="G72" s="76" t="s">
        <v>340</v>
      </c>
      <c r="H72" s="77" t="s">
        <v>438</v>
      </c>
      <c r="I72" s="77" t="s">
        <v>355</v>
      </c>
      <c r="J72" s="41">
        <v>70000</v>
      </c>
      <c r="K72" s="42">
        <f t="shared" si="21"/>
        <v>8150</v>
      </c>
      <c r="L72" s="39"/>
      <c r="M72" s="43">
        <f t="shared" si="22"/>
        <v>61850</v>
      </c>
      <c r="N72" s="49">
        <f>2000+5100+600+200+250</f>
        <v>8150</v>
      </c>
      <c r="O72" s="72">
        <f t="shared" si="23"/>
        <v>70000</v>
      </c>
      <c r="P72" s="29"/>
      <c r="Q72" s="40"/>
      <c r="R72" s="44"/>
      <c r="S72" s="44">
        <f t="shared" si="24"/>
        <v>70000</v>
      </c>
      <c r="T72" s="44">
        <f t="shared" si="25"/>
        <v>100000</v>
      </c>
      <c r="U72" s="45">
        <f t="shared" si="26"/>
        <v>114285.71428571429</v>
      </c>
      <c r="V72" s="46">
        <f t="shared" si="27"/>
        <v>0.12500000000000003</v>
      </c>
      <c r="W72" s="45">
        <f t="shared" si="28"/>
        <v>114300</v>
      </c>
      <c r="X72" s="47">
        <f t="shared" si="29"/>
        <v>0.3</v>
      </c>
      <c r="Y72" s="57">
        <v>99050</v>
      </c>
      <c r="Z72" s="58">
        <f>T72-Y72</f>
        <v>950</v>
      </c>
      <c r="AA72" s="59">
        <f>Z72/Y72</f>
        <v>9.5911155981827367E-3</v>
      </c>
    </row>
    <row r="73" spans="1:27" ht="14.4" hidden="1" customHeight="1">
      <c r="A73" s="35">
        <v>69</v>
      </c>
      <c r="B73" s="36"/>
      <c r="C73" s="73" t="s">
        <v>286</v>
      </c>
      <c r="D73" s="37" t="str">
        <f t="shared" si="30"/>
        <v xml:space="preserve"> 771</v>
      </c>
      <c r="E73" s="38" t="s">
        <v>286</v>
      </c>
      <c r="F73" s="39">
        <f t="shared" si="31"/>
        <v>0</v>
      </c>
      <c r="G73" s="76" t="s">
        <v>335</v>
      </c>
      <c r="H73" s="77" t="s">
        <v>333</v>
      </c>
      <c r="I73" s="77" t="s">
        <v>298</v>
      </c>
      <c r="J73" s="41">
        <v>77500</v>
      </c>
      <c r="K73" s="42">
        <f t="shared" si="21"/>
        <v>8150</v>
      </c>
      <c r="L73" s="39" t="s">
        <v>22</v>
      </c>
      <c r="M73" s="43">
        <f t="shared" si="22"/>
        <v>69350</v>
      </c>
      <c r="N73" s="43">
        <f>5100+600+200+250+2000</f>
        <v>8150</v>
      </c>
      <c r="O73" s="72">
        <f t="shared" si="23"/>
        <v>77500</v>
      </c>
      <c r="P73" s="29"/>
      <c r="Q73" s="40" t="s">
        <v>69</v>
      </c>
      <c r="R73" s="53"/>
      <c r="S73" s="44">
        <f t="shared" si="24"/>
        <v>77500</v>
      </c>
      <c r="T73" s="44">
        <f t="shared" si="25"/>
        <v>110714.28571428572</v>
      </c>
      <c r="U73" s="45">
        <f t="shared" si="26"/>
        <v>126530.61224489797</v>
      </c>
      <c r="V73" s="46">
        <f t="shared" si="27"/>
        <v>0.12500000000000003</v>
      </c>
      <c r="W73" s="45">
        <f t="shared" si="28"/>
        <v>126600</v>
      </c>
      <c r="X73" s="47">
        <f t="shared" si="29"/>
        <v>0.30000000000000004</v>
      </c>
      <c r="Y73" s="54"/>
      <c r="Z73" s="54"/>
      <c r="AA73" s="55"/>
    </row>
    <row r="74" spans="1:27" ht="14.4" hidden="1" customHeight="1">
      <c r="A74" s="56">
        <v>70</v>
      </c>
      <c r="B74" s="36"/>
      <c r="C74" s="75" t="s">
        <v>457</v>
      </c>
      <c r="D74" s="37" t="str">
        <f t="shared" si="30"/>
        <v xml:space="preserve"> 767</v>
      </c>
      <c r="E74" s="38" t="s">
        <v>457</v>
      </c>
      <c r="F74" s="39">
        <f t="shared" si="31"/>
        <v>0</v>
      </c>
      <c r="G74" s="76" t="s">
        <v>340</v>
      </c>
      <c r="H74" s="77" t="s">
        <v>382</v>
      </c>
      <c r="I74" s="77" t="s">
        <v>355</v>
      </c>
      <c r="J74" s="41">
        <f>69000</f>
        <v>69000</v>
      </c>
      <c r="K74" s="42">
        <f t="shared" si="21"/>
        <v>8150</v>
      </c>
      <c r="L74" s="39"/>
      <c r="M74" s="43">
        <f t="shared" si="22"/>
        <v>60850</v>
      </c>
      <c r="N74" s="43">
        <f>2000+5100+600+200+250</f>
        <v>8150</v>
      </c>
      <c r="O74" s="72">
        <f t="shared" si="23"/>
        <v>69000</v>
      </c>
      <c r="P74" s="29"/>
      <c r="Q74" s="40"/>
      <c r="R74" s="53"/>
      <c r="S74" s="44">
        <f t="shared" si="24"/>
        <v>69000</v>
      </c>
      <c r="T74" s="44">
        <f t="shared" si="25"/>
        <v>98571.42857142858</v>
      </c>
      <c r="U74" s="45">
        <f t="shared" si="26"/>
        <v>112653.06122448981</v>
      </c>
      <c r="V74" s="46">
        <f t="shared" si="27"/>
        <v>0.12500000000000003</v>
      </c>
      <c r="W74" s="45">
        <f t="shared" si="28"/>
        <v>112700</v>
      </c>
      <c r="X74" s="47">
        <f t="shared" si="29"/>
        <v>0.30000000000000004</v>
      </c>
      <c r="Y74" s="57">
        <v>92050</v>
      </c>
      <c r="Z74" s="58">
        <f>T74-Y74</f>
        <v>6521.4285714285797</v>
      </c>
      <c r="AA74" s="59">
        <f>Z74/Y74</f>
        <v>7.0846589586404995E-2</v>
      </c>
    </row>
    <row r="75" spans="1:27" ht="14.4" hidden="1" customHeight="1">
      <c r="A75" s="35">
        <v>71</v>
      </c>
      <c r="B75" s="36"/>
      <c r="C75" s="73" t="s">
        <v>121</v>
      </c>
      <c r="D75" s="37" t="str">
        <f t="shared" si="30"/>
        <v xml:space="preserve"> 182</v>
      </c>
      <c r="E75" s="38" t="s">
        <v>121</v>
      </c>
      <c r="F75" s="39">
        <f t="shared" si="31"/>
        <v>0</v>
      </c>
      <c r="G75" s="76" t="s">
        <v>335</v>
      </c>
      <c r="H75" s="77" t="s">
        <v>382</v>
      </c>
      <c r="I75" s="77" t="s">
        <v>39</v>
      </c>
      <c r="J75" s="41">
        <v>67000</v>
      </c>
      <c r="K75" s="42">
        <f t="shared" si="21"/>
        <v>8150</v>
      </c>
      <c r="L75" s="39" t="s">
        <v>22</v>
      </c>
      <c r="M75" s="43">
        <f t="shared" si="22"/>
        <v>58850</v>
      </c>
      <c r="N75" s="43">
        <f>2000+5100+600+200+250</f>
        <v>8150</v>
      </c>
      <c r="O75" s="72">
        <f t="shared" si="23"/>
        <v>67000</v>
      </c>
      <c r="P75" s="29"/>
      <c r="Q75" s="40" t="s">
        <v>69</v>
      </c>
      <c r="R75" s="44"/>
      <c r="S75" s="44">
        <f t="shared" si="24"/>
        <v>67000</v>
      </c>
      <c r="T75" s="44">
        <f t="shared" si="25"/>
        <v>95714.285714285725</v>
      </c>
      <c r="U75" s="45">
        <f t="shared" si="26"/>
        <v>109387.75510204083</v>
      </c>
      <c r="V75" s="46">
        <f t="shared" si="27"/>
        <v>0.125</v>
      </c>
      <c r="W75" s="45">
        <f t="shared" si="28"/>
        <v>109400</v>
      </c>
      <c r="X75" s="47">
        <f t="shared" si="29"/>
        <v>0.3000000000000001</v>
      </c>
      <c r="Y75" s="48"/>
      <c r="Z75" s="48"/>
      <c r="AA75" s="50"/>
    </row>
    <row r="76" spans="1:27" ht="14.4" hidden="1" customHeight="1">
      <c r="A76" s="56">
        <v>72</v>
      </c>
      <c r="B76" s="36"/>
      <c r="C76" s="75" t="s">
        <v>460</v>
      </c>
      <c r="D76" s="37" t="str">
        <f t="shared" si="30"/>
        <v xml:space="preserve"> 657</v>
      </c>
      <c r="E76" s="38" t="s">
        <v>460</v>
      </c>
      <c r="F76" s="39">
        <f t="shared" si="31"/>
        <v>0</v>
      </c>
      <c r="G76" s="76" t="s">
        <v>340</v>
      </c>
      <c r="H76" s="77" t="s">
        <v>382</v>
      </c>
      <c r="I76" s="77" t="s">
        <v>355</v>
      </c>
      <c r="J76" s="41">
        <v>69000</v>
      </c>
      <c r="K76" s="42">
        <f t="shared" si="21"/>
        <v>8150</v>
      </c>
      <c r="L76" s="39"/>
      <c r="M76" s="43">
        <f t="shared" si="22"/>
        <v>60850</v>
      </c>
      <c r="N76" s="43">
        <f>2000+5100+600+200+250</f>
        <v>8150</v>
      </c>
      <c r="O76" s="72">
        <f t="shared" si="23"/>
        <v>69000</v>
      </c>
      <c r="P76" s="29"/>
      <c r="Q76" s="40"/>
      <c r="R76" s="44"/>
      <c r="S76" s="44">
        <f t="shared" si="24"/>
        <v>69000</v>
      </c>
      <c r="T76" s="44">
        <f t="shared" si="25"/>
        <v>98571.42857142858</v>
      </c>
      <c r="U76" s="45">
        <f t="shared" si="26"/>
        <v>112653.06122448981</v>
      </c>
      <c r="V76" s="46">
        <f t="shared" si="27"/>
        <v>0.12500000000000003</v>
      </c>
      <c r="W76" s="45">
        <f t="shared" si="28"/>
        <v>112700</v>
      </c>
      <c r="X76" s="47">
        <f t="shared" si="29"/>
        <v>0.30000000000000004</v>
      </c>
      <c r="Y76" s="57">
        <v>92575</v>
      </c>
      <c r="Z76" s="58">
        <f>T76-Y76</f>
        <v>5996.4285714285797</v>
      </c>
      <c r="AA76" s="59">
        <f>Z76/Y76</f>
        <v>6.4773735581189082E-2</v>
      </c>
    </row>
    <row r="77" spans="1:27" ht="14.4" hidden="1" customHeight="1">
      <c r="A77" s="35">
        <v>73</v>
      </c>
      <c r="B77" s="36"/>
      <c r="C77" s="73" t="s">
        <v>256</v>
      </c>
      <c r="D77" s="37" t="str">
        <f t="shared" si="30"/>
        <v xml:space="preserve"> 224</v>
      </c>
      <c r="E77" s="38" t="s">
        <v>256</v>
      </c>
      <c r="F77" s="39">
        <f t="shared" si="31"/>
        <v>0</v>
      </c>
      <c r="G77" s="76" t="s">
        <v>335</v>
      </c>
      <c r="H77" s="77" t="s">
        <v>382</v>
      </c>
      <c r="I77" s="77" t="s">
        <v>462</v>
      </c>
      <c r="J77" s="60">
        <v>68000</v>
      </c>
      <c r="K77" s="42">
        <f t="shared" si="21"/>
        <v>7900</v>
      </c>
      <c r="L77" s="39" t="s">
        <v>22</v>
      </c>
      <c r="M77" s="43">
        <f t="shared" si="22"/>
        <v>60100</v>
      </c>
      <c r="N77" s="43">
        <f>2000+4850+600+200+250</f>
        <v>7900</v>
      </c>
      <c r="O77" s="72">
        <f t="shared" si="23"/>
        <v>68000</v>
      </c>
      <c r="P77" s="29"/>
      <c r="Q77" s="40" t="s">
        <v>70</v>
      </c>
      <c r="R77" s="53"/>
      <c r="S77" s="44">
        <f t="shared" si="24"/>
        <v>68000</v>
      </c>
      <c r="T77" s="44">
        <f t="shared" si="25"/>
        <v>97142.857142857145</v>
      </c>
      <c r="U77" s="45">
        <f t="shared" si="26"/>
        <v>111020.40816326531</v>
      </c>
      <c r="V77" s="46">
        <f t="shared" si="27"/>
        <v>0.12500000000000003</v>
      </c>
      <c r="W77" s="45">
        <f t="shared" si="28"/>
        <v>111100</v>
      </c>
      <c r="X77" s="47">
        <f t="shared" si="29"/>
        <v>0.3</v>
      </c>
      <c r="Y77" s="54"/>
      <c r="Z77" s="54"/>
      <c r="AA77" s="55"/>
    </row>
    <row r="78" spans="1:27" ht="14.4" hidden="1" customHeight="1">
      <c r="A78" s="56">
        <v>74</v>
      </c>
      <c r="B78" s="36"/>
      <c r="C78" s="75" t="s">
        <v>464</v>
      </c>
      <c r="D78" s="37" t="str">
        <f t="shared" si="30"/>
        <v xml:space="preserve"> 766</v>
      </c>
      <c r="E78" s="38" t="s">
        <v>464</v>
      </c>
      <c r="F78" s="39">
        <f t="shared" si="31"/>
        <v>0</v>
      </c>
      <c r="G78" s="76" t="s">
        <v>340</v>
      </c>
      <c r="H78" s="77" t="s">
        <v>438</v>
      </c>
      <c r="I78" s="77" t="s">
        <v>465</v>
      </c>
      <c r="J78" s="60">
        <v>53500</v>
      </c>
      <c r="K78" s="42">
        <f t="shared" si="21"/>
        <v>7900</v>
      </c>
      <c r="L78" s="39"/>
      <c r="M78" s="43">
        <f t="shared" si="22"/>
        <v>45600</v>
      </c>
      <c r="N78" s="43">
        <v>7900</v>
      </c>
      <c r="O78" s="72">
        <f t="shared" si="23"/>
        <v>53500</v>
      </c>
      <c r="P78" s="29"/>
      <c r="Q78" s="40" t="s">
        <v>1306</v>
      </c>
      <c r="R78" s="53"/>
      <c r="S78" s="44">
        <f t="shared" si="24"/>
        <v>53500</v>
      </c>
      <c r="T78" s="44">
        <f t="shared" si="25"/>
        <v>76428.571428571435</v>
      </c>
      <c r="U78" s="45">
        <f t="shared" si="26"/>
        <v>87346.938775510207</v>
      </c>
      <c r="V78" s="46">
        <f t="shared" si="27"/>
        <v>0.12499999999999996</v>
      </c>
      <c r="W78" s="45">
        <f t="shared" si="28"/>
        <v>87400</v>
      </c>
      <c r="X78" s="47">
        <f t="shared" si="29"/>
        <v>0.30000000000000004</v>
      </c>
      <c r="Y78" s="57">
        <v>92050</v>
      </c>
      <c r="Z78" s="58">
        <f>T78-Y78</f>
        <v>-15621.428571428565</v>
      </c>
      <c r="AA78" s="59">
        <f>Z78/Y78</f>
        <v>-0.16970590517575845</v>
      </c>
    </row>
    <row r="79" spans="1:27" ht="14.4" hidden="1" customHeight="1">
      <c r="A79" s="35">
        <v>75</v>
      </c>
      <c r="B79" s="36"/>
      <c r="C79" s="73" t="s">
        <v>254</v>
      </c>
      <c r="D79" s="37" t="str">
        <f t="shared" si="30"/>
        <v xml:space="preserve"> 273</v>
      </c>
      <c r="E79" s="38" t="s">
        <v>254</v>
      </c>
      <c r="F79" s="39">
        <f t="shared" si="31"/>
        <v>0</v>
      </c>
      <c r="G79" s="76" t="s">
        <v>335</v>
      </c>
      <c r="H79" s="77" t="s">
        <v>382</v>
      </c>
      <c r="I79" s="77" t="s">
        <v>462</v>
      </c>
      <c r="J79" s="41">
        <v>75000</v>
      </c>
      <c r="K79" s="42">
        <f t="shared" si="21"/>
        <v>8150</v>
      </c>
      <c r="L79" s="39" t="s">
        <v>22</v>
      </c>
      <c r="M79" s="43">
        <f t="shared" si="22"/>
        <v>66850</v>
      </c>
      <c r="N79" s="43">
        <f>2000+5100+600+200+250</f>
        <v>8150</v>
      </c>
      <c r="O79" s="72">
        <f t="shared" si="23"/>
        <v>75000</v>
      </c>
      <c r="P79" s="29"/>
      <c r="Q79" s="40" t="s">
        <v>69</v>
      </c>
      <c r="R79" s="53"/>
      <c r="S79" s="44">
        <f t="shared" si="24"/>
        <v>75000</v>
      </c>
      <c r="T79" s="44">
        <f t="shared" si="25"/>
        <v>107142.85714285714</v>
      </c>
      <c r="U79" s="45">
        <f t="shared" si="26"/>
        <v>122448.97959183673</v>
      </c>
      <c r="V79" s="46">
        <f t="shared" si="27"/>
        <v>0.12499999999999996</v>
      </c>
      <c r="W79" s="45">
        <f t="shared" si="28"/>
        <v>122500</v>
      </c>
      <c r="X79" s="47">
        <f t="shared" si="29"/>
        <v>0.3</v>
      </c>
      <c r="Y79" s="54"/>
      <c r="Z79" s="54"/>
      <c r="AA79" s="55"/>
    </row>
    <row r="80" spans="1:27" ht="14.4" hidden="1" customHeight="1">
      <c r="A80" s="56">
        <v>76</v>
      </c>
      <c r="B80" s="36"/>
      <c r="C80" s="75" t="s">
        <v>468</v>
      </c>
      <c r="D80" s="37" t="str">
        <f t="shared" si="30"/>
        <v xml:space="preserve"> 761</v>
      </c>
      <c r="E80" s="38" t="s">
        <v>468</v>
      </c>
      <c r="F80" s="39">
        <f t="shared" si="31"/>
        <v>0</v>
      </c>
      <c r="G80" s="76" t="s">
        <v>335</v>
      </c>
      <c r="H80" s="77" t="s">
        <v>333</v>
      </c>
      <c r="I80" s="77" t="s">
        <v>469</v>
      </c>
      <c r="J80" s="41"/>
      <c r="K80" s="42">
        <f t="shared" si="21"/>
        <v>0</v>
      </c>
      <c r="L80" s="39"/>
      <c r="M80" s="43">
        <f t="shared" si="22"/>
        <v>0</v>
      </c>
      <c r="N80" s="43"/>
      <c r="O80" s="72">
        <f t="shared" si="23"/>
        <v>0</v>
      </c>
      <c r="P80" s="29"/>
      <c r="Q80" s="40"/>
      <c r="R80" s="53"/>
      <c r="S80" s="44">
        <f t="shared" si="24"/>
        <v>0</v>
      </c>
      <c r="T80" s="44">
        <f t="shared" si="25"/>
        <v>0</v>
      </c>
      <c r="U80" s="45">
        <f t="shared" si="26"/>
        <v>0</v>
      </c>
      <c r="V80" s="46" t="e">
        <f t="shared" si="27"/>
        <v>#DIV/0!</v>
      </c>
      <c r="W80" s="45">
        <f t="shared" si="28"/>
        <v>0</v>
      </c>
      <c r="X80" s="47" t="e">
        <f t="shared" si="29"/>
        <v>#DIV/0!</v>
      </c>
      <c r="Y80" s="54"/>
      <c r="Z80" s="54"/>
      <c r="AA80" s="55"/>
    </row>
    <row r="81" spans="1:27" ht="14.4" hidden="1" customHeight="1">
      <c r="A81" s="35">
        <v>77</v>
      </c>
      <c r="B81" s="36"/>
      <c r="C81" s="73" t="s">
        <v>116</v>
      </c>
      <c r="D81" s="37" t="str">
        <f t="shared" si="30"/>
        <v xml:space="preserve"> 132</v>
      </c>
      <c r="E81" s="38" t="s">
        <v>116</v>
      </c>
      <c r="F81" s="39">
        <f t="shared" si="31"/>
        <v>0</v>
      </c>
      <c r="G81" s="76" t="s">
        <v>340</v>
      </c>
      <c r="H81" s="77" t="s">
        <v>333</v>
      </c>
      <c r="I81" s="77" t="s">
        <v>415</v>
      </c>
      <c r="J81" s="41">
        <v>71500</v>
      </c>
      <c r="K81" s="42">
        <f t="shared" si="21"/>
        <v>8150</v>
      </c>
      <c r="L81" s="39" t="s">
        <v>22</v>
      </c>
      <c r="M81" s="43">
        <f t="shared" si="22"/>
        <v>63350</v>
      </c>
      <c r="N81" s="43">
        <f>2000+5100+600+200+250</f>
        <v>8150</v>
      </c>
      <c r="O81" s="72">
        <f t="shared" si="23"/>
        <v>71500</v>
      </c>
      <c r="P81" s="29"/>
      <c r="Q81" s="40" t="s">
        <v>69</v>
      </c>
      <c r="R81" s="44"/>
      <c r="S81" s="44">
        <f t="shared" si="24"/>
        <v>71500</v>
      </c>
      <c r="T81" s="44">
        <f t="shared" si="25"/>
        <v>102142.85714285714</v>
      </c>
      <c r="U81" s="45">
        <f t="shared" si="26"/>
        <v>116734.69387755102</v>
      </c>
      <c r="V81" s="46">
        <f t="shared" si="27"/>
        <v>0.12499999999999999</v>
      </c>
      <c r="W81" s="45">
        <f t="shared" si="28"/>
        <v>116800</v>
      </c>
      <c r="X81" s="47">
        <f t="shared" si="29"/>
        <v>0.3</v>
      </c>
      <c r="Y81" s="57">
        <v>98088</v>
      </c>
      <c r="Z81" s="58">
        <f>T81-Y81</f>
        <v>4054.8571428571449</v>
      </c>
      <c r="AA81" s="59">
        <f>Z81/Y81</f>
        <v>4.1338972584384889E-2</v>
      </c>
    </row>
    <row r="82" spans="1:27" ht="14.4" hidden="1" customHeight="1">
      <c r="A82" s="56">
        <v>78</v>
      </c>
      <c r="B82" s="36"/>
      <c r="C82" s="73" t="s">
        <v>239</v>
      </c>
      <c r="D82" s="37" t="str">
        <f t="shared" si="30"/>
        <v xml:space="preserve"> 553</v>
      </c>
      <c r="E82" s="38" t="s">
        <v>239</v>
      </c>
      <c r="F82" s="39">
        <f t="shared" si="31"/>
        <v>0</v>
      </c>
      <c r="G82" s="76" t="s">
        <v>335</v>
      </c>
      <c r="H82" s="77" t="s">
        <v>333</v>
      </c>
      <c r="I82" s="77" t="s">
        <v>60</v>
      </c>
      <c r="J82" s="41">
        <v>76000</v>
      </c>
      <c r="K82" s="42">
        <f t="shared" si="21"/>
        <v>8150</v>
      </c>
      <c r="L82" s="39" t="s">
        <v>22</v>
      </c>
      <c r="M82" s="43">
        <f t="shared" si="22"/>
        <v>67850</v>
      </c>
      <c r="N82" s="49">
        <f>2000+5100+600+200+250</f>
        <v>8150</v>
      </c>
      <c r="O82" s="72">
        <f t="shared" si="23"/>
        <v>76000</v>
      </c>
      <c r="P82" s="29"/>
      <c r="Q82" s="40" t="s">
        <v>69</v>
      </c>
      <c r="R82" s="44"/>
      <c r="S82" s="44">
        <f t="shared" si="24"/>
        <v>76000</v>
      </c>
      <c r="T82" s="44">
        <f t="shared" si="25"/>
        <v>108571.42857142858</v>
      </c>
      <c r="U82" s="45">
        <f t="shared" si="26"/>
        <v>124081.63265306123</v>
      </c>
      <c r="V82" s="46">
        <f t="shared" si="27"/>
        <v>0.12499999999999996</v>
      </c>
      <c r="W82" s="45">
        <f t="shared" si="28"/>
        <v>124100</v>
      </c>
      <c r="X82" s="47">
        <f t="shared" si="29"/>
        <v>0.30000000000000004</v>
      </c>
      <c r="Y82" s="48"/>
      <c r="Z82" s="48"/>
      <c r="AA82" s="48"/>
    </row>
    <row r="83" spans="1:27" ht="14.4" hidden="1" customHeight="1">
      <c r="A83" s="35">
        <v>79</v>
      </c>
      <c r="B83" s="36"/>
      <c r="C83" s="75" t="s">
        <v>473</v>
      </c>
      <c r="D83" s="37" t="str">
        <f t="shared" si="30"/>
        <v xml:space="preserve"> 394</v>
      </c>
      <c r="E83" s="38" t="s">
        <v>473</v>
      </c>
      <c r="F83" s="39">
        <f t="shared" si="31"/>
        <v>0</v>
      </c>
      <c r="G83" s="76" t="s">
        <v>335</v>
      </c>
      <c r="H83" s="77" t="s">
        <v>448</v>
      </c>
      <c r="I83" s="77" t="s">
        <v>377</v>
      </c>
      <c r="J83" s="41">
        <v>77000</v>
      </c>
      <c r="K83" s="42">
        <f t="shared" si="21"/>
        <v>8150</v>
      </c>
      <c r="L83" s="39" t="s">
        <v>22</v>
      </c>
      <c r="M83" s="43">
        <f t="shared" si="22"/>
        <v>68850</v>
      </c>
      <c r="N83" s="49">
        <f>2000+5100+600+200+250</f>
        <v>8150</v>
      </c>
      <c r="O83" s="72">
        <f t="shared" si="23"/>
        <v>77000</v>
      </c>
      <c r="P83" s="29"/>
      <c r="Q83" s="40" t="s">
        <v>1308</v>
      </c>
      <c r="R83" s="44"/>
      <c r="S83" s="44">
        <f t="shared" si="24"/>
        <v>77000</v>
      </c>
      <c r="T83" s="44">
        <f t="shared" si="25"/>
        <v>110000</v>
      </c>
      <c r="U83" s="45">
        <f t="shared" si="26"/>
        <v>125714.28571428571</v>
      </c>
      <c r="V83" s="46">
        <f t="shared" si="27"/>
        <v>0.12499999999999997</v>
      </c>
      <c r="W83" s="45">
        <f t="shared" si="28"/>
        <v>125800</v>
      </c>
      <c r="X83" s="47">
        <f t="shared" si="29"/>
        <v>0.3</v>
      </c>
      <c r="Y83" s="48"/>
      <c r="Z83" s="48"/>
      <c r="AA83" s="48"/>
    </row>
    <row r="84" spans="1:27" ht="14.4" hidden="1" customHeight="1">
      <c r="A84" s="56">
        <v>80</v>
      </c>
      <c r="B84" s="36"/>
      <c r="C84" s="75" t="s">
        <v>475</v>
      </c>
      <c r="D84" s="37" t="str">
        <f t="shared" si="30"/>
        <v xml:space="preserve"> 813</v>
      </c>
      <c r="E84" s="38" t="s">
        <v>475</v>
      </c>
      <c r="F84" s="39">
        <f t="shared" si="31"/>
        <v>0</v>
      </c>
      <c r="G84" s="76" t="s">
        <v>340</v>
      </c>
      <c r="H84" s="77" t="s">
        <v>333</v>
      </c>
      <c r="I84" s="77" t="s">
        <v>377</v>
      </c>
      <c r="J84" s="41">
        <v>68000</v>
      </c>
      <c r="K84" s="42">
        <f t="shared" si="21"/>
        <v>0</v>
      </c>
      <c r="L84" s="39"/>
      <c r="M84" s="43">
        <f t="shared" si="22"/>
        <v>68000</v>
      </c>
      <c r="N84" s="49"/>
      <c r="O84" s="72">
        <f t="shared" si="23"/>
        <v>68000</v>
      </c>
      <c r="P84" s="29"/>
      <c r="Q84" s="40"/>
      <c r="R84" s="44"/>
      <c r="S84" s="44">
        <f t="shared" si="24"/>
        <v>68000</v>
      </c>
      <c r="T84" s="44">
        <f t="shared" si="25"/>
        <v>97142.857142857145</v>
      </c>
      <c r="U84" s="45">
        <f t="shared" si="26"/>
        <v>111020.40816326531</v>
      </c>
      <c r="V84" s="46">
        <f t="shared" si="27"/>
        <v>0.12500000000000003</v>
      </c>
      <c r="W84" s="45">
        <f t="shared" si="28"/>
        <v>111100</v>
      </c>
      <c r="X84" s="47">
        <f t="shared" si="29"/>
        <v>0.3</v>
      </c>
      <c r="Y84" s="57">
        <v>97038</v>
      </c>
      <c r="Z84" s="58">
        <f>T84-Y84</f>
        <v>104.85714285714494</v>
      </c>
      <c r="AA84" s="59">
        <f>Z84/Y84</f>
        <v>1.0805781534774515E-3</v>
      </c>
    </row>
    <row r="85" spans="1:27" ht="14.4" hidden="1" customHeight="1">
      <c r="A85" s="35">
        <v>81</v>
      </c>
      <c r="B85" s="36"/>
      <c r="C85" s="73" t="s">
        <v>1294</v>
      </c>
      <c r="D85" s="37" t="str">
        <f t="shared" si="30"/>
        <v xml:space="preserve"> 507</v>
      </c>
      <c r="E85" s="38" t="s">
        <v>1294</v>
      </c>
      <c r="F85" s="39">
        <f t="shared" si="31"/>
        <v>0</v>
      </c>
      <c r="G85" s="76" t="s">
        <v>335</v>
      </c>
      <c r="H85" s="77" t="s">
        <v>333</v>
      </c>
      <c r="I85" s="77" t="s">
        <v>66</v>
      </c>
      <c r="J85" s="41">
        <v>65000</v>
      </c>
      <c r="K85" s="42">
        <f t="shared" si="21"/>
        <v>7900</v>
      </c>
      <c r="L85" s="39" t="s">
        <v>22</v>
      </c>
      <c r="M85" s="43">
        <f t="shared" si="22"/>
        <v>57100</v>
      </c>
      <c r="N85" s="49">
        <f>2000+4850+600+200+250</f>
        <v>7900</v>
      </c>
      <c r="O85" s="72">
        <f t="shared" si="23"/>
        <v>65000</v>
      </c>
      <c r="P85" s="29"/>
      <c r="Q85" s="40" t="s">
        <v>70</v>
      </c>
      <c r="R85" s="44"/>
      <c r="S85" s="44">
        <f t="shared" si="24"/>
        <v>65000</v>
      </c>
      <c r="T85" s="44">
        <f t="shared" si="25"/>
        <v>92857.14285714287</v>
      </c>
      <c r="U85" s="45">
        <f t="shared" si="26"/>
        <v>106122.44897959185</v>
      </c>
      <c r="V85" s="46">
        <f t="shared" si="27"/>
        <v>0.12499999999999999</v>
      </c>
      <c r="W85" s="45">
        <f t="shared" si="28"/>
        <v>106200</v>
      </c>
      <c r="X85" s="47">
        <f t="shared" si="29"/>
        <v>0.3000000000000001</v>
      </c>
      <c r="Y85" s="48"/>
      <c r="Z85" s="48"/>
      <c r="AA85" s="50"/>
    </row>
    <row r="86" spans="1:27" ht="14.4" hidden="1" customHeight="1">
      <c r="A86" s="56">
        <v>82</v>
      </c>
      <c r="B86" s="36"/>
      <c r="C86" s="75" t="s">
        <v>479</v>
      </c>
      <c r="D86" s="37" t="str">
        <f t="shared" si="30"/>
        <v xml:space="preserve"> 265</v>
      </c>
      <c r="E86" s="38" t="s">
        <v>479</v>
      </c>
      <c r="F86" s="39">
        <f t="shared" si="31"/>
        <v>0</v>
      </c>
      <c r="G86" s="76" t="s">
        <v>340</v>
      </c>
      <c r="H86" s="77" t="s">
        <v>333</v>
      </c>
      <c r="I86" s="77" t="s">
        <v>377</v>
      </c>
      <c r="J86" s="41">
        <v>68000</v>
      </c>
      <c r="K86" s="42">
        <f t="shared" si="21"/>
        <v>8150</v>
      </c>
      <c r="L86" s="39" t="s">
        <v>22</v>
      </c>
      <c r="M86" s="43">
        <f t="shared" si="22"/>
        <v>59850</v>
      </c>
      <c r="N86" s="49">
        <f>2000+5100+600+200+250</f>
        <v>8150</v>
      </c>
      <c r="O86" s="72">
        <f t="shared" si="23"/>
        <v>68000</v>
      </c>
      <c r="P86" s="29"/>
      <c r="Q86" s="40" t="s">
        <v>1308</v>
      </c>
      <c r="R86" s="44"/>
      <c r="S86" s="44">
        <f t="shared" si="24"/>
        <v>68000</v>
      </c>
      <c r="T86" s="44">
        <f t="shared" si="25"/>
        <v>97142.857142857145</v>
      </c>
      <c r="U86" s="45">
        <f t="shared" si="26"/>
        <v>111020.40816326531</v>
      </c>
      <c r="V86" s="46">
        <f t="shared" si="27"/>
        <v>0.12500000000000003</v>
      </c>
      <c r="W86" s="45">
        <f t="shared" si="28"/>
        <v>111100</v>
      </c>
      <c r="X86" s="47">
        <f t="shared" si="29"/>
        <v>0.3</v>
      </c>
      <c r="Y86" s="57">
        <v>97038</v>
      </c>
      <c r="Z86" s="58">
        <f>T86-Y86</f>
        <v>104.85714285714494</v>
      </c>
      <c r="AA86" s="59">
        <f>Z86/Y86</f>
        <v>1.0805781534774515E-3</v>
      </c>
    </row>
    <row r="87" spans="1:27" ht="14.4" hidden="1" customHeight="1">
      <c r="A87" s="35">
        <v>83</v>
      </c>
      <c r="B87" s="36"/>
      <c r="C87" s="75" t="s">
        <v>481</v>
      </c>
      <c r="D87" s="37" t="str">
        <f t="shared" si="30"/>
        <v xml:space="preserve"> 770</v>
      </c>
      <c r="E87" s="38" t="s">
        <v>481</v>
      </c>
      <c r="F87" s="39">
        <f t="shared" si="31"/>
        <v>0</v>
      </c>
      <c r="G87" s="76" t="s">
        <v>335</v>
      </c>
      <c r="H87" s="77" t="s">
        <v>333</v>
      </c>
      <c r="I87" s="77" t="s">
        <v>482</v>
      </c>
      <c r="J87" s="41">
        <v>70000</v>
      </c>
      <c r="K87" s="42">
        <f t="shared" si="21"/>
        <v>8150</v>
      </c>
      <c r="L87" s="39" t="s">
        <v>22</v>
      </c>
      <c r="M87" s="43">
        <f t="shared" si="22"/>
        <v>61850</v>
      </c>
      <c r="N87" s="49">
        <f>2000+5100+600+200+250</f>
        <v>8150</v>
      </c>
      <c r="O87" s="72">
        <f t="shared" si="23"/>
        <v>70000</v>
      </c>
      <c r="P87" s="29"/>
      <c r="Q87" s="40" t="s">
        <v>1307</v>
      </c>
      <c r="R87" s="44"/>
      <c r="S87" s="44">
        <f t="shared" si="24"/>
        <v>70000</v>
      </c>
      <c r="T87" s="44">
        <f t="shared" si="25"/>
        <v>100000</v>
      </c>
      <c r="U87" s="45">
        <f t="shared" si="26"/>
        <v>114285.71428571429</v>
      </c>
      <c r="V87" s="46">
        <f t="shared" si="27"/>
        <v>0.12500000000000003</v>
      </c>
      <c r="W87" s="45">
        <f t="shared" si="28"/>
        <v>114300</v>
      </c>
      <c r="X87" s="47">
        <f t="shared" si="29"/>
        <v>0.3</v>
      </c>
      <c r="Y87" s="48"/>
      <c r="Z87" s="48"/>
      <c r="AA87" s="50"/>
    </row>
    <row r="88" spans="1:27" ht="14.4" hidden="1" customHeight="1">
      <c r="A88" s="56">
        <v>84</v>
      </c>
      <c r="B88" s="36"/>
      <c r="C88" s="75" t="s">
        <v>1344</v>
      </c>
      <c r="D88" s="37" t="str">
        <f t="shared" si="30"/>
        <v xml:space="preserve"> </v>
      </c>
      <c r="E88" s="38" t="s">
        <v>484</v>
      </c>
      <c r="F88" s="39">
        <f t="shared" si="31"/>
        <v>1</v>
      </c>
      <c r="G88" s="76" t="s">
        <v>340</v>
      </c>
      <c r="H88" s="77" t="s">
        <v>333</v>
      </c>
      <c r="I88" s="77" t="s">
        <v>355</v>
      </c>
      <c r="J88" s="41"/>
      <c r="K88" s="42">
        <f t="shared" si="21"/>
        <v>0</v>
      </c>
      <c r="L88" s="39"/>
      <c r="M88" s="43">
        <f t="shared" si="22"/>
        <v>0</v>
      </c>
      <c r="N88" s="49"/>
      <c r="O88" s="72">
        <f t="shared" si="23"/>
        <v>0</v>
      </c>
      <c r="P88" s="29"/>
      <c r="Q88" s="40"/>
      <c r="R88" s="44"/>
      <c r="S88" s="44">
        <f t="shared" si="24"/>
        <v>0</v>
      </c>
      <c r="T88" s="44">
        <f t="shared" si="25"/>
        <v>0</v>
      </c>
      <c r="U88" s="45">
        <f t="shared" si="26"/>
        <v>0</v>
      </c>
      <c r="V88" s="46" t="e">
        <f t="shared" si="27"/>
        <v>#DIV/0!</v>
      </c>
      <c r="W88" s="45">
        <f t="shared" si="28"/>
        <v>0</v>
      </c>
      <c r="X88" s="47" t="e">
        <f t="shared" si="29"/>
        <v>#DIV/0!</v>
      </c>
      <c r="Y88" s="57"/>
      <c r="Z88" s="58">
        <f>T88-Y88</f>
        <v>0</v>
      </c>
      <c r="AA88" s="59" t="e">
        <f>Z88/Y88</f>
        <v>#DIV/0!</v>
      </c>
    </row>
    <row r="89" spans="1:27" ht="14.4" hidden="1" customHeight="1">
      <c r="A89" s="35">
        <v>85</v>
      </c>
      <c r="B89" s="36"/>
      <c r="C89" s="73" t="s">
        <v>115</v>
      </c>
      <c r="D89" s="37" t="str">
        <f t="shared" si="30"/>
        <v xml:space="preserve"> 442</v>
      </c>
      <c r="E89" s="38" t="s">
        <v>115</v>
      </c>
      <c r="F89" s="39">
        <f t="shared" si="31"/>
        <v>0</v>
      </c>
      <c r="G89" s="76" t="s">
        <v>335</v>
      </c>
      <c r="H89" s="77" t="s">
        <v>333</v>
      </c>
      <c r="I89" s="77" t="s">
        <v>415</v>
      </c>
      <c r="J89" s="41">
        <v>70500</v>
      </c>
      <c r="K89" s="42">
        <f t="shared" si="21"/>
        <v>8150</v>
      </c>
      <c r="L89" s="39" t="s">
        <v>22</v>
      </c>
      <c r="M89" s="43">
        <f t="shared" si="22"/>
        <v>62350</v>
      </c>
      <c r="N89" s="43">
        <f>2000+5100+600+200+250</f>
        <v>8150</v>
      </c>
      <c r="O89" s="72">
        <f t="shared" si="23"/>
        <v>70500</v>
      </c>
      <c r="P89" s="29"/>
      <c r="Q89" s="40" t="s">
        <v>69</v>
      </c>
      <c r="R89" s="44"/>
      <c r="S89" s="44">
        <f t="shared" si="24"/>
        <v>70500</v>
      </c>
      <c r="T89" s="44">
        <f t="shared" si="25"/>
        <v>100714.28571428572</v>
      </c>
      <c r="U89" s="45">
        <f t="shared" si="26"/>
        <v>115102.04081632654</v>
      </c>
      <c r="V89" s="46">
        <f t="shared" si="27"/>
        <v>0.12499999999999997</v>
      </c>
      <c r="W89" s="45">
        <f t="shared" si="28"/>
        <v>115200</v>
      </c>
      <c r="X89" s="47">
        <f t="shared" si="29"/>
        <v>0.3000000000000001</v>
      </c>
      <c r="Y89" s="48"/>
      <c r="Z89" s="48"/>
      <c r="AA89" s="50"/>
    </row>
    <row r="90" spans="1:27" ht="14.4" hidden="1" customHeight="1">
      <c r="A90" s="56">
        <v>86</v>
      </c>
      <c r="B90" s="36"/>
      <c r="C90" s="75" t="s">
        <v>487</v>
      </c>
      <c r="D90" s="37" t="str">
        <f t="shared" si="30"/>
        <v xml:space="preserve"> 194</v>
      </c>
      <c r="E90" s="38" t="s">
        <v>487</v>
      </c>
      <c r="F90" s="39">
        <f t="shared" si="31"/>
        <v>0</v>
      </c>
      <c r="G90" s="76" t="s">
        <v>340</v>
      </c>
      <c r="H90" s="77" t="s">
        <v>333</v>
      </c>
      <c r="I90" s="77" t="s">
        <v>482</v>
      </c>
      <c r="J90" s="41">
        <v>70000</v>
      </c>
      <c r="K90" s="42">
        <f t="shared" si="21"/>
        <v>8150</v>
      </c>
      <c r="L90" s="39" t="s">
        <v>22</v>
      </c>
      <c r="M90" s="43">
        <f t="shared" si="22"/>
        <v>61850</v>
      </c>
      <c r="N90" s="43">
        <f>2000+5100+600+200+250</f>
        <v>8150</v>
      </c>
      <c r="O90" s="72">
        <f t="shared" si="23"/>
        <v>70000</v>
      </c>
      <c r="P90" s="29"/>
      <c r="Q90" s="40" t="s">
        <v>1307</v>
      </c>
      <c r="R90" s="44"/>
      <c r="S90" s="44">
        <f t="shared" si="24"/>
        <v>70000</v>
      </c>
      <c r="T90" s="44">
        <f t="shared" si="25"/>
        <v>100000</v>
      </c>
      <c r="U90" s="45">
        <f t="shared" si="26"/>
        <v>114285.71428571429</v>
      </c>
      <c r="V90" s="46">
        <f t="shared" si="27"/>
        <v>0.12500000000000003</v>
      </c>
      <c r="W90" s="45">
        <f t="shared" si="28"/>
        <v>114300</v>
      </c>
      <c r="X90" s="47">
        <f t="shared" si="29"/>
        <v>0.3</v>
      </c>
      <c r="Y90" s="57">
        <v>93100</v>
      </c>
      <c r="Z90" s="58">
        <f>T90-Y90</f>
        <v>6900</v>
      </c>
      <c r="AA90" s="59">
        <f>Z90/Y90</f>
        <v>7.4113856068743281E-2</v>
      </c>
    </row>
    <row r="91" spans="1:27" ht="14.4" hidden="1" customHeight="1">
      <c r="A91" s="35">
        <v>87</v>
      </c>
      <c r="B91" s="36"/>
      <c r="C91" s="73" t="s">
        <v>118</v>
      </c>
      <c r="D91" s="37" t="str">
        <f t="shared" si="30"/>
        <v xml:space="preserve"> 612</v>
      </c>
      <c r="E91" s="38" t="s">
        <v>118</v>
      </c>
      <c r="F91" s="39">
        <f t="shared" si="31"/>
        <v>0</v>
      </c>
      <c r="G91" s="76" t="s">
        <v>335</v>
      </c>
      <c r="H91" s="77" t="s">
        <v>333</v>
      </c>
      <c r="I91" s="77" t="s">
        <v>415</v>
      </c>
      <c r="J91" s="41">
        <v>71500</v>
      </c>
      <c r="K91" s="42">
        <f t="shared" si="21"/>
        <v>8150</v>
      </c>
      <c r="L91" s="39" t="s">
        <v>22</v>
      </c>
      <c r="M91" s="43">
        <f t="shared" si="22"/>
        <v>63350</v>
      </c>
      <c r="N91" s="43">
        <f>2000+5100+600+200+250</f>
        <v>8150</v>
      </c>
      <c r="O91" s="72">
        <f t="shared" si="23"/>
        <v>71500</v>
      </c>
      <c r="P91" s="29"/>
      <c r="Q91" s="40" t="s">
        <v>69</v>
      </c>
      <c r="R91" s="44"/>
      <c r="S91" s="44">
        <f t="shared" si="24"/>
        <v>71500</v>
      </c>
      <c r="T91" s="44">
        <f t="shared" si="25"/>
        <v>102142.85714285714</v>
      </c>
      <c r="U91" s="45">
        <f t="shared" si="26"/>
        <v>116734.69387755102</v>
      </c>
      <c r="V91" s="46">
        <f t="shared" si="27"/>
        <v>0.12499999999999999</v>
      </c>
      <c r="W91" s="45">
        <f t="shared" si="28"/>
        <v>116800</v>
      </c>
      <c r="X91" s="47">
        <f t="shared" si="29"/>
        <v>0.3</v>
      </c>
      <c r="Y91" s="48"/>
      <c r="Z91" s="48"/>
      <c r="AA91" s="50"/>
    </row>
    <row r="92" spans="1:27" ht="14.4" hidden="1" customHeight="1">
      <c r="A92" s="56">
        <v>88</v>
      </c>
      <c r="B92" s="36"/>
      <c r="C92" s="75" t="s">
        <v>490</v>
      </c>
      <c r="D92" s="37" t="str">
        <f t="shared" si="30"/>
        <v xml:space="preserve"> 645</v>
      </c>
      <c r="E92" s="38" t="s">
        <v>490</v>
      </c>
      <c r="F92" s="39">
        <f t="shared" si="31"/>
        <v>0</v>
      </c>
      <c r="G92" s="76" t="s">
        <v>340</v>
      </c>
      <c r="H92" s="77" t="s">
        <v>333</v>
      </c>
      <c r="I92" s="77" t="s">
        <v>377</v>
      </c>
      <c r="J92" s="41">
        <v>68000</v>
      </c>
      <c r="K92" s="42">
        <f t="shared" si="21"/>
        <v>8250</v>
      </c>
      <c r="L92" s="39" t="s">
        <v>22</v>
      </c>
      <c r="M92" s="43">
        <f t="shared" si="22"/>
        <v>59750</v>
      </c>
      <c r="N92" s="43">
        <f>5200+600+200+250+2000</f>
        <v>8250</v>
      </c>
      <c r="O92" s="72">
        <f t="shared" si="23"/>
        <v>68000</v>
      </c>
      <c r="P92" s="29"/>
      <c r="Q92" s="40" t="s">
        <v>1340</v>
      </c>
      <c r="R92" s="44"/>
      <c r="S92" s="44">
        <f t="shared" si="24"/>
        <v>68000</v>
      </c>
      <c r="T92" s="44">
        <f t="shared" si="25"/>
        <v>97142.857142857145</v>
      </c>
      <c r="U92" s="45">
        <f t="shared" si="26"/>
        <v>111020.40816326531</v>
      </c>
      <c r="V92" s="46">
        <f t="shared" si="27"/>
        <v>0.12500000000000003</v>
      </c>
      <c r="W92" s="45">
        <f t="shared" si="28"/>
        <v>111100</v>
      </c>
      <c r="X92" s="47">
        <f t="shared" si="29"/>
        <v>0.3</v>
      </c>
      <c r="Y92" s="57">
        <v>97038</v>
      </c>
      <c r="Z92" s="58">
        <f>T92-Y92</f>
        <v>104.85714285714494</v>
      </c>
      <c r="AA92" s="59">
        <f>Z92/Y92</f>
        <v>1.0805781534774515E-3</v>
      </c>
    </row>
    <row r="93" spans="1:27" ht="14.4" hidden="1" customHeight="1">
      <c r="A93" s="35">
        <v>89</v>
      </c>
      <c r="B93" s="36"/>
      <c r="C93" s="75" t="s">
        <v>492</v>
      </c>
      <c r="D93" s="37" t="str">
        <f t="shared" si="30"/>
        <v xml:space="preserve"> 726</v>
      </c>
      <c r="E93" s="38" t="s">
        <v>492</v>
      </c>
      <c r="F93" s="39">
        <f t="shared" si="31"/>
        <v>0</v>
      </c>
      <c r="G93" s="76" t="s">
        <v>335</v>
      </c>
      <c r="H93" s="77" t="s">
        <v>333</v>
      </c>
      <c r="I93" s="77" t="s">
        <v>493</v>
      </c>
      <c r="J93" s="41"/>
      <c r="K93" s="42">
        <f t="shared" si="21"/>
        <v>0</v>
      </c>
      <c r="L93" s="39"/>
      <c r="M93" s="43">
        <f t="shared" si="22"/>
        <v>0</v>
      </c>
      <c r="N93" s="43"/>
      <c r="O93" s="72">
        <f t="shared" si="23"/>
        <v>0</v>
      </c>
      <c r="P93" s="29"/>
      <c r="Q93" s="40"/>
      <c r="R93" s="44"/>
      <c r="S93" s="44">
        <f t="shared" si="24"/>
        <v>0</v>
      </c>
      <c r="T93" s="44">
        <f t="shared" si="25"/>
        <v>0</v>
      </c>
      <c r="U93" s="45">
        <f t="shared" si="26"/>
        <v>0</v>
      </c>
      <c r="V93" s="46" t="e">
        <f t="shared" si="27"/>
        <v>#DIV/0!</v>
      </c>
      <c r="W93" s="45">
        <f t="shared" si="28"/>
        <v>0</v>
      </c>
      <c r="X93" s="47" t="e">
        <f t="shared" si="29"/>
        <v>#DIV/0!</v>
      </c>
      <c r="Y93" s="48"/>
      <c r="Z93" s="48"/>
      <c r="AA93" s="50"/>
    </row>
    <row r="94" spans="1:27" ht="14.4" hidden="1" customHeight="1">
      <c r="A94" s="56">
        <v>90</v>
      </c>
      <c r="B94" s="36"/>
      <c r="C94" s="75" t="s">
        <v>495</v>
      </c>
      <c r="D94" s="37" t="str">
        <f t="shared" si="30"/>
        <v xml:space="preserve"> 209</v>
      </c>
      <c r="E94" s="38" t="s">
        <v>495</v>
      </c>
      <c r="F94" s="39">
        <f t="shared" si="31"/>
        <v>0</v>
      </c>
      <c r="G94" s="76" t="s">
        <v>340</v>
      </c>
      <c r="H94" s="77" t="s">
        <v>333</v>
      </c>
      <c r="I94" s="77" t="s">
        <v>377</v>
      </c>
      <c r="J94" s="41">
        <v>77500</v>
      </c>
      <c r="K94" s="42">
        <f t="shared" si="21"/>
        <v>8150</v>
      </c>
      <c r="L94" s="39" t="s">
        <v>22</v>
      </c>
      <c r="M94" s="43">
        <f t="shared" si="22"/>
        <v>69350</v>
      </c>
      <c r="N94" s="49">
        <f>2000+5100+600+200+250</f>
        <v>8150</v>
      </c>
      <c r="O94" s="72">
        <f t="shared" si="23"/>
        <v>77500</v>
      </c>
      <c r="P94" s="29"/>
      <c r="Q94" s="40" t="s">
        <v>1308</v>
      </c>
      <c r="R94" s="44"/>
      <c r="S94" s="44">
        <f t="shared" si="24"/>
        <v>77500</v>
      </c>
      <c r="T94" s="44">
        <f t="shared" si="25"/>
        <v>110714.28571428572</v>
      </c>
      <c r="U94" s="45">
        <f t="shared" si="26"/>
        <v>126530.61224489797</v>
      </c>
      <c r="V94" s="46">
        <f t="shared" si="27"/>
        <v>0.12500000000000003</v>
      </c>
      <c r="W94" s="45">
        <f t="shared" si="28"/>
        <v>126600</v>
      </c>
      <c r="X94" s="47">
        <f t="shared" si="29"/>
        <v>0.30000000000000004</v>
      </c>
      <c r="Y94" s="57">
        <v>109988</v>
      </c>
      <c r="Z94" s="58">
        <f>T94-Y94</f>
        <v>726.28571428572468</v>
      </c>
      <c r="AA94" s="59">
        <f>Z94/Y94</f>
        <v>6.6033177645354463E-3</v>
      </c>
    </row>
    <row r="95" spans="1:27" ht="14.4" hidden="1" customHeight="1">
      <c r="A95" s="35">
        <v>91</v>
      </c>
      <c r="B95" s="36"/>
      <c r="C95" s="75" t="s">
        <v>497</v>
      </c>
      <c r="D95" s="37" t="str">
        <f t="shared" si="30"/>
        <v xml:space="preserve"> 170</v>
      </c>
      <c r="E95" s="38" t="s">
        <v>497</v>
      </c>
      <c r="F95" s="39">
        <f t="shared" si="31"/>
        <v>0</v>
      </c>
      <c r="G95" s="76" t="s">
        <v>335</v>
      </c>
      <c r="H95" s="77" t="s">
        <v>333</v>
      </c>
      <c r="I95" s="77" t="s">
        <v>498</v>
      </c>
      <c r="J95" s="41">
        <v>65000</v>
      </c>
      <c r="K95" s="42">
        <f t="shared" si="21"/>
        <v>7900</v>
      </c>
      <c r="L95" s="39" t="s">
        <v>22</v>
      </c>
      <c r="M95" s="43">
        <f t="shared" si="22"/>
        <v>57100</v>
      </c>
      <c r="N95" s="43">
        <f>2000+4850+600+200+250</f>
        <v>7900</v>
      </c>
      <c r="O95" s="72">
        <f t="shared" si="23"/>
        <v>65000</v>
      </c>
      <c r="P95" s="29"/>
      <c r="Q95" s="40" t="s">
        <v>1341</v>
      </c>
      <c r="R95" s="44"/>
      <c r="S95" s="44">
        <f t="shared" si="24"/>
        <v>65000</v>
      </c>
      <c r="T95" s="44">
        <f t="shared" si="25"/>
        <v>92857.14285714287</v>
      </c>
      <c r="U95" s="45">
        <f t="shared" si="26"/>
        <v>106122.44897959185</v>
      </c>
      <c r="V95" s="46">
        <f t="shared" si="27"/>
        <v>0.12499999999999999</v>
      </c>
      <c r="W95" s="45">
        <f t="shared" si="28"/>
        <v>106200</v>
      </c>
      <c r="X95" s="47">
        <f t="shared" si="29"/>
        <v>0.3000000000000001</v>
      </c>
      <c r="Y95" s="48"/>
      <c r="Z95" s="48"/>
      <c r="AA95" s="50"/>
    </row>
    <row r="96" spans="1:27" ht="14.4" hidden="1" customHeight="1">
      <c r="A96" s="56">
        <v>92</v>
      </c>
      <c r="B96" s="36"/>
      <c r="C96" s="75" t="s">
        <v>500</v>
      </c>
      <c r="D96" s="37" t="str">
        <f t="shared" si="30"/>
        <v xml:space="preserve"> 125</v>
      </c>
      <c r="E96" s="38" t="s">
        <v>500</v>
      </c>
      <c r="F96" s="39">
        <f t="shared" si="31"/>
        <v>0</v>
      </c>
      <c r="G96" s="76" t="s">
        <v>335</v>
      </c>
      <c r="H96" s="77" t="s">
        <v>333</v>
      </c>
      <c r="I96" s="77" t="s">
        <v>498</v>
      </c>
      <c r="J96" s="41">
        <v>65000</v>
      </c>
      <c r="K96" s="42">
        <f t="shared" si="21"/>
        <v>7900</v>
      </c>
      <c r="L96" s="39" t="s">
        <v>22</v>
      </c>
      <c r="M96" s="43">
        <f t="shared" si="22"/>
        <v>57100</v>
      </c>
      <c r="N96" s="43">
        <f>2000+4850+600+200+250</f>
        <v>7900</v>
      </c>
      <c r="O96" s="72">
        <f t="shared" si="23"/>
        <v>65000</v>
      </c>
      <c r="P96" s="29"/>
      <c r="Q96" s="40" t="s">
        <v>1341</v>
      </c>
      <c r="R96" s="44"/>
      <c r="S96" s="44">
        <f t="shared" si="24"/>
        <v>65000</v>
      </c>
      <c r="T96" s="44">
        <f t="shared" si="25"/>
        <v>92857.14285714287</v>
      </c>
      <c r="U96" s="45">
        <f t="shared" si="26"/>
        <v>106122.44897959185</v>
      </c>
      <c r="V96" s="46">
        <f t="shared" si="27"/>
        <v>0.12499999999999999</v>
      </c>
      <c r="W96" s="45">
        <f t="shared" si="28"/>
        <v>106200</v>
      </c>
      <c r="X96" s="47">
        <f t="shared" si="29"/>
        <v>0.3000000000000001</v>
      </c>
      <c r="Y96" s="48"/>
      <c r="Z96" s="48"/>
      <c r="AA96" s="50"/>
    </row>
    <row r="97" spans="1:27" ht="14.4" hidden="1" customHeight="1">
      <c r="A97" s="35">
        <v>93</v>
      </c>
      <c r="B97" s="36"/>
      <c r="C97" s="73" t="s">
        <v>235</v>
      </c>
      <c r="D97" s="37" t="str">
        <f t="shared" si="30"/>
        <v xml:space="preserve"> 827</v>
      </c>
      <c r="E97" s="38" t="s">
        <v>235</v>
      </c>
      <c r="F97" s="39">
        <f t="shared" si="31"/>
        <v>0</v>
      </c>
      <c r="G97" s="76" t="s">
        <v>335</v>
      </c>
      <c r="H97" s="77" t="s">
        <v>333</v>
      </c>
      <c r="I97" s="77" t="s">
        <v>65</v>
      </c>
      <c r="J97" s="41">
        <v>71500</v>
      </c>
      <c r="K97" s="42">
        <f t="shared" si="21"/>
        <v>8150</v>
      </c>
      <c r="L97" s="39" t="s">
        <v>22</v>
      </c>
      <c r="M97" s="43">
        <f t="shared" si="22"/>
        <v>63350</v>
      </c>
      <c r="N97" s="49">
        <f>2000+5100+600+200+250</f>
        <v>8150</v>
      </c>
      <c r="O97" s="72">
        <f t="shared" si="23"/>
        <v>71500</v>
      </c>
      <c r="P97" s="29"/>
      <c r="Q97" s="40" t="s">
        <v>69</v>
      </c>
      <c r="R97" s="44"/>
      <c r="S97" s="44">
        <f t="shared" si="24"/>
        <v>71500</v>
      </c>
      <c r="T97" s="44">
        <f t="shared" si="25"/>
        <v>102142.85714285714</v>
      </c>
      <c r="U97" s="45">
        <f t="shared" si="26"/>
        <v>116734.69387755102</v>
      </c>
      <c r="V97" s="46">
        <f t="shared" si="27"/>
        <v>0.12499999999999999</v>
      </c>
      <c r="W97" s="45">
        <f t="shared" si="28"/>
        <v>116800</v>
      </c>
      <c r="X97" s="47">
        <f t="shared" si="29"/>
        <v>0.3</v>
      </c>
      <c r="Y97" s="48"/>
      <c r="Z97" s="48"/>
      <c r="AA97" s="50"/>
    </row>
    <row r="98" spans="1:27" ht="14.4" hidden="1" customHeight="1">
      <c r="A98" s="35">
        <v>94</v>
      </c>
      <c r="B98" s="36"/>
      <c r="C98" s="75" t="s">
        <v>546</v>
      </c>
      <c r="D98" s="37" t="str">
        <f t="shared" si="30"/>
        <v xml:space="preserve"> 882</v>
      </c>
      <c r="E98" s="38" t="s">
        <v>546</v>
      </c>
      <c r="F98" s="39">
        <f t="shared" si="31"/>
        <v>0</v>
      </c>
      <c r="G98" s="76" t="s">
        <v>335</v>
      </c>
      <c r="H98" s="77" t="s">
        <v>326</v>
      </c>
      <c r="I98" s="77" t="s">
        <v>547</v>
      </c>
      <c r="J98" s="41">
        <v>75000</v>
      </c>
      <c r="K98" s="42">
        <f t="shared" si="21"/>
        <v>7900</v>
      </c>
      <c r="L98" s="39"/>
      <c r="M98" s="43">
        <f t="shared" si="22"/>
        <v>67100</v>
      </c>
      <c r="N98" s="49">
        <f>4850+600+200+250+2000</f>
        <v>7900</v>
      </c>
      <c r="O98" s="72">
        <f t="shared" si="23"/>
        <v>75000</v>
      </c>
      <c r="P98" s="29"/>
      <c r="Q98" s="40" t="s">
        <v>1320</v>
      </c>
      <c r="R98" s="44"/>
      <c r="S98" s="44">
        <f t="shared" si="24"/>
        <v>75000</v>
      </c>
      <c r="T98" s="44">
        <f t="shared" si="25"/>
        <v>107142.85714285714</v>
      </c>
      <c r="U98" s="45">
        <f t="shared" si="26"/>
        <v>122448.97959183673</v>
      </c>
      <c r="V98" s="46">
        <f t="shared" si="27"/>
        <v>0.12499999999999996</v>
      </c>
      <c r="W98" s="45">
        <f t="shared" si="28"/>
        <v>122500</v>
      </c>
      <c r="X98" s="47">
        <f t="shared" si="29"/>
        <v>0.3</v>
      </c>
      <c r="Y98" s="48"/>
      <c r="Z98" s="48"/>
      <c r="AA98" s="48"/>
    </row>
    <row r="99" spans="1:27" ht="14.4" hidden="1" customHeight="1">
      <c r="A99" s="56">
        <v>95</v>
      </c>
      <c r="B99" s="36"/>
      <c r="C99" s="75" t="s">
        <v>432</v>
      </c>
      <c r="D99" s="37" t="str">
        <f t="shared" si="30"/>
        <v xml:space="preserve"> 246</v>
      </c>
      <c r="E99" s="38" t="s">
        <v>432</v>
      </c>
      <c r="F99" s="39">
        <f t="shared" si="31"/>
        <v>0</v>
      </c>
      <c r="G99" s="76" t="s">
        <v>335</v>
      </c>
      <c r="H99" s="77" t="s">
        <v>333</v>
      </c>
      <c r="I99" s="77" t="s">
        <v>377</v>
      </c>
      <c r="J99" s="41">
        <v>73000</v>
      </c>
      <c r="K99" s="42">
        <f t="shared" si="21"/>
        <v>7900</v>
      </c>
      <c r="L99" s="39" t="s">
        <v>22</v>
      </c>
      <c r="M99" s="43">
        <f t="shared" si="22"/>
        <v>65100</v>
      </c>
      <c r="N99" s="43">
        <f>2000+4850+600+200+250</f>
        <v>7900</v>
      </c>
      <c r="O99" s="72">
        <f t="shared" si="23"/>
        <v>73000</v>
      </c>
      <c r="P99" s="29"/>
      <c r="Q99" s="40" t="s">
        <v>1308</v>
      </c>
      <c r="R99" s="44"/>
      <c r="S99" s="44">
        <f t="shared" si="24"/>
        <v>73000</v>
      </c>
      <c r="T99" s="44">
        <f t="shared" si="25"/>
        <v>104285.71428571429</v>
      </c>
      <c r="U99" s="45">
        <f t="shared" si="26"/>
        <v>119183.67346938777</v>
      </c>
      <c r="V99" s="46">
        <f t="shared" si="27"/>
        <v>0.12500000000000006</v>
      </c>
      <c r="W99" s="45">
        <f t="shared" si="28"/>
        <v>119200</v>
      </c>
      <c r="X99" s="47">
        <f t="shared" si="29"/>
        <v>0.30000000000000004</v>
      </c>
      <c r="Y99" s="48"/>
      <c r="Z99" s="48"/>
      <c r="AA99" s="50"/>
    </row>
    <row r="100" spans="1:27" ht="14.4" hidden="1" customHeight="1">
      <c r="A100" s="56">
        <v>96</v>
      </c>
      <c r="B100" s="36"/>
      <c r="C100" s="75" t="s">
        <v>505</v>
      </c>
      <c r="D100" s="37" t="str">
        <f t="shared" si="30"/>
        <v xml:space="preserve"> 601</v>
      </c>
      <c r="E100" s="38" t="s">
        <v>505</v>
      </c>
      <c r="F100" s="39">
        <f t="shared" si="31"/>
        <v>0</v>
      </c>
      <c r="G100" s="76" t="s">
        <v>340</v>
      </c>
      <c r="H100" s="77" t="s">
        <v>333</v>
      </c>
      <c r="I100" s="77" t="s">
        <v>506</v>
      </c>
      <c r="J100" s="41"/>
      <c r="K100" s="42">
        <f t="shared" si="21"/>
        <v>0</v>
      </c>
      <c r="L100" s="39"/>
      <c r="M100" s="43">
        <f t="shared" si="22"/>
        <v>0</v>
      </c>
      <c r="N100" s="49"/>
      <c r="O100" s="72">
        <f t="shared" si="23"/>
        <v>0</v>
      </c>
      <c r="P100" s="29"/>
      <c r="Q100" s="40"/>
      <c r="R100" s="44"/>
      <c r="S100" s="44">
        <f t="shared" si="24"/>
        <v>0</v>
      </c>
      <c r="T100" s="44">
        <f t="shared" si="25"/>
        <v>0</v>
      </c>
      <c r="U100" s="45">
        <f t="shared" si="26"/>
        <v>0</v>
      </c>
      <c r="V100" s="46" t="e">
        <f t="shared" si="27"/>
        <v>#DIV/0!</v>
      </c>
      <c r="W100" s="45">
        <f t="shared" si="28"/>
        <v>0</v>
      </c>
      <c r="X100" s="47" t="e">
        <f t="shared" si="29"/>
        <v>#DIV/0!</v>
      </c>
      <c r="Y100" s="57">
        <v>84000</v>
      </c>
      <c r="Z100" s="58">
        <f>T100-Y100</f>
        <v>-84000</v>
      </c>
      <c r="AA100" s="59">
        <f>Z100/Y100</f>
        <v>-1</v>
      </c>
    </row>
    <row r="101" spans="1:27" ht="14.4" hidden="1" customHeight="1">
      <c r="A101" s="35">
        <v>97</v>
      </c>
      <c r="B101" s="36"/>
      <c r="C101" s="73" t="s">
        <v>1295</v>
      </c>
      <c r="D101" s="37" t="str">
        <f t="shared" si="30"/>
        <v xml:space="preserve"> 722</v>
      </c>
      <c r="E101" s="38" t="s">
        <v>1295</v>
      </c>
      <c r="F101" s="39">
        <f t="shared" si="31"/>
        <v>0</v>
      </c>
      <c r="G101" s="76" t="s">
        <v>335</v>
      </c>
      <c r="H101" s="77" t="s">
        <v>333</v>
      </c>
      <c r="I101" s="77" t="s">
        <v>66</v>
      </c>
      <c r="J101" s="41">
        <v>63000</v>
      </c>
      <c r="K101" s="42">
        <f t="shared" si="21"/>
        <v>7900</v>
      </c>
      <c r="L101" s="39" t="s">
        <v>22</v>
      </c>
      <c r="M101" s="43">
        <f t="shared" si="22"/>
        <v>55100</v>
      </c>
      <c r="N101" s="49">
        <f>2000+4850+600+200+250</f>
        <v>7900</v>
      </c>
      <c r="O101" s="72">
        <f t="shared" si="23"/>
        <v>63000</v>
      </c>
      <c r="P101" s="29"/>
      <c r="Q101" s="40" t="s">
        <v>70</v>
      </c>
      <c r="R101" s="44"/>
      <c r="S101" s="44">
        <f t="shared" si="24"/>
        <v>63000</v>
      </c>
      <c r="T101" s="44">
        <f t="shared" si="25"/>
        <v>90000</v>
      </c>
      <c r="U101" s="45">
        <f t="shared" si="26"/>
        <v>102857.14285714286</v>
      </c>
      <c r="V101" s="46">
        <f t="shared" si="27"/>
        <v>0.12499999999999999</v>
      </c>
      <c r="W101" s="45">
        <f t="shared" si="28"/>
        <v>102900</v>
      </c>
      <c r="X101" s="47">
        <f t="shared" si="29"/>
        <v>0.3</v>
      </c>
      <c r="Y101" s="48"/>
      <c r="Z101" s="48"/>
      <c r="AA101" s="48"/>
    </row>
    <row r="102" spans="1:27" ht="14.4" hidden="1" customHeight="1">
      <c r="A102" s="56">
        <v>98</v>
      </c>
      <c r="B102" s="36"/>
      <c r="C102" s="73" t="s">
        <v>285</v>
      </c>
      <c r="D102" s="37" t="str">
        <f t="shared" si="30"/>
        <v xml:space="preserve"> 831</v>
      </c>
      <c r="E102" s="38" t="s">
        <v>285</v>
      </c>
      <c r="F102" s="39">
        <f t="shared" si="31"/>
        <v>0</v>
      </c>
      <c r="G102" s="76" t="s">
        <v>340</v>
      </c>
      <c r="H102" s="77" t="s">
        <v>438</v>
      </c>
      <c r="I102" s="77" t="s">
        <v>298</v>
      </c>
      <c r="J102" s="41">
        <v>64500</v>
      </c>
      <c r="K102" s="42">
        <f t="shared" si="21"/>
        <v>6350</v>
      </c>
      <c r="L102" s="39" t="s">
        <v>22</v>
      </c>
      <c r="M102" s="43">
        <f t="shared" si="22"/>
        <v>58150</v>
      </c>
      <c r="N102" s="43">
        <f>5100+600+200+250+200</f>
        <v>6350</v>
      </c>
      <c r="O102" s="72">
        <f t="shared" si="23"/>
        <v>64500</v>
      </c>
      <c r="P102" s="29"/>
      <c r="Q102" s="40" t="s">
        <v>69</v>
      </c>
      <c r="R102" s="53"/>
      <c r="S102" s="44">
        <f t="shared" si="24"/>
        <v>64500</v>
      </c>
      <c r="T102" s="44">
        <f t="shared" si="25"/>
        <v>92142.857142857145</v>
      </c>
      <c r="U102" s="45">
        <f t="shared" si="26"/>
        <v>105306.1224489796</v>
      </c>
      <c r="V102" s="46">
        <f t="shared" si="27"/>
        <v>0.12500000000000006</v>
      </c>
      <c r="W102" s="45">
        <f t="shared" si="28"/>
        <v>105400</v>
      </c>
      <c r="X102" s="47">
        <f t="shared" si="29"/>
        <v>0.3</v>
      </c>
      <c r="Y102" s="57">
        <v>89075</v>
      </c>
      <c r="Z102" s="58">
        <f>T102-Y102</f>
        <v>3067.8571428571449</v>
      </c>
      <c r="AA102" s="59">
        <f>Z102/Y102</f>
        <v>3.4441281424161044E-2</v>
      </c>
    </row>
    <row r="103" spans="1:27" ht="14.4" hidden="1" customHeight="1">
      <c r="A103" s="35">
        <v>99</v>
      </c>
      <c r="B103" s="36"/>
      <c r="C103" s="75" t="s">
        <v>511</v>
      </c>
      <c r="D103" s="37" t="str">
        <f t="shared" si="30"/>
        <v xml:space="preserve"> 608</v>
      </c>
      <c r="E103" s="38" t="s">
        <v>511</v>
      </c>
      <c r="F103" s="39">
        <f t="shared" si="31"/>
        <v>0</v>
      </c>
      <c r="G103" s="76" t="s">
        <v>335</v>
      </c>
      <c r="H103" s="77" t="s">
        <v>438</v>
      </c>
      <c r="I103" s="77" t="s">
        <v>355</v>
      </c>
      <c r="J103" s="41">
        <f>69000</f>
        <v>69000</v>
      </c>
      <c r="K103" s="42">
        <f t="shared" si="21"/>
        <v>8150</v>
      </c>
      <c r="L103" s="39"/>
      <c r="M103" s="43">
        <f t="shared" si="22"/>
        <v>60850</v>
      </c>
      <c r="N103" s="43">
        <f>2000+5100+600+200+250</f>
        <v>8150</v>
      </c>
      <c r="O103" s="72">
        <f t="shared" si="23"/>
        <v>69000</v>
      </c>
      <c r="P103" s="29"/>
      <c r="Q103" s="40"/>
      <c r="R103" s="53"/>
      <c r="S103" s="44">
        <f t="shared" si="24"/>
        <v>69000</v>
      </c>
      <c r="T103" s="44">
        <f t="shared" si="25"/>
        <v>98571.42857142858</v>
      </c>
      <c r="U103" s="45">
        <f t="shared" si="26"/>
        <v>112653.06122448981</v>
      </c>
      <c r="V103" s="46">
        <f t="shared" si="27"/>
        <v>0.12500000000000003</v>
      </c>
      <c r="W103" s="45">
        <f t="shared" si="28"/>
        <v>112700</v>
      </c>
      <c r="X103" s="47">
        <f t="shared" si="29"/>
        <v>0.30000000000000004</v>
      </c>
      <c r="Y103" s="54"/>
      <c r="Z103" s="54"/>
      <c r="AA103" s="55"/>
    </row>
    <row r="104" spans="1:27" ht="14.4" hidden="1" customHeight="1">
      <c r="A104" s="35">
        <v>100</v>
      </c>
      <c r="B104" s="36"/>
      <c r="C104" s="73" t="s">
        <v>104</v>
      </c>
      <c r="D104" s="37" t="str">
        <f t="shared" si="30"/>
        <v xml:space="preserve"> 796</v>
      </c>
      <c r="E104" s="38" t="s">
        <v>104</v>
      </c>
      <c r="F104" s="39">
        <f t="shared" si="31"/>
        <v>0</v>
      </c>
      <c r="G104" s="76" t="s">
        <v>335</v>
      </c>
      <c r="H104" s="77" t="s">
        <v>438</v>
      </c>
      <c r="I104" s="77" t="s">
        <v>334</v>
      </c>
      <c r="J104" s="41">
        <v>68000</v>
      </c>
      <c r="K104" s="42">
        <f t="shared" si="21"/>
        <v>7900</v>
      </c>
      <c r="L104" s="39" t="s">
        <v>22</v>
      </c>
      <c r="M104" s="43">
        <f t="shared" si="22"/>
        <v>60100</v>
      </c>
      <c r="N104" s="43">
        <f>2000+4850+600+200+250</f>
        <v>7900</v>
      </c>
      <c r="O104" s="72">
        <f t="shared" si="23"/>
        <v>68000</v>
      </c>
      <c r="P104" s="30"/>
      <c r="Q104" s="40" t="s">
        <v>70</v>
      </c>
      <c r="R104" s="44"/>
      <c r="S104" s="44">
        <f t="shared" si="24"/>
        <v>68000</v>
      </c>
      <c r="T104" s="44">
        <f t="shared" si="25"/>
        <v>97142.857142857145</v>
      </c>
      <c r="U104" s="45">
        <f t="shared" si="26"/>
        <v>111020.40816326531</v>
      </c>
      <c r="V104" s="46">
        <f t="shared" si="27"/>
        <v>0.12500000000000003</v>
      </c>
      <c r="W104" s="45">
        <f t="shared" si="28"/>
        <v>111100</v>
      </c>
      <c r="X104" s="47">
        <f t="shared" si="29"/>
        <v>0.3</v>
      </c>
      <c r="Y104" s="48"/>
      <c r="Z104" s="48"/>
      <c r="AA104" s="50"/>
    </row>
    <row r="105" spans="1:27" ht="14.4" hidden="1" customHeight="1">
      <c r="A105" s="35">
        <v>101</v>
      </c>
      <c r="B105" s="36"/>
      <c r="C105" s="75" t="s">
        <v>514</v>
      </c>
      <c r="D105" s="37" t="str">
        <f t="shared" si="30"/>
        <v xml:space="preserve"> 999</v>
      </c>
      <c r="E105" s="38" t="s">
        <v>514</v>
      </c>
      <c r="F105" s="39">
        <f t="shared" si="31"/>
        <v>0</v>
      </c>
      <c r="G105" s="76" t="s">
        <v>340</v>
      </c>
      <c r="H105" s="77" t="s">
        <v>438</v>
      </c>
      <c r="I105" s="77" t="s">
        <v>515</v>
      </c>
      <c r="J105" s="41">
        <v>90000</v>
      </c>
      <c r="K105" s="42">
        <f t="shared" si="21"/>
        <v>8250</v>
      </c>
      <c r="L105" s="39" t="s">
        <v>22</v>
      </c>
      <c r="M105" s="43">
        <f t="shared" si="22"/>
        <v>81750</v>
      </c>
      <c r="N105" s="43">
        <f>2000+5200+600+200+250</f>
        <v>8250</v>
      </c>
      <c r="O105" s="72">
        <f t="shared" si="23"/>
        <v>90000</v>
      </c>
      <c r="P105" s="30"/>
      <c r="Q105" s="40" t="s">
        <v>1340</v>
      </c>
      <c r="R105" s="44"/>
      <c r="S105" s="44">
        <f t="shared" si="24"/>
        <v>90000</v>
      </c>
      <c r="T105" s="44">
        <f t="shared" si="25"/>
        <v>128571.42857142858</v>
      </c>
      <c r="U105" s="45">
        <f t="shared" si="26"/>
        <v>146938.77551020408</v>
      </c>
      <c r="V105" s="46">
        <f t="shared" si="27"/>
        <v>0.12499999999999994</v>
      </c>
      <c r="W105" s="45">
        <f t="shared" si="28"/>
        <v>147000</v>
      </c>
      <c r="X105" s="47">
        <f t="shared" si="29"/>
        <v>0.30000000000000004</v>
      </c>
      <c r="Y105" s="57">
        <v>115063</v>
      </c>
      <c r="Z105" s="58">
        <f>T105-Y105</f>
        <v>13508.42857142858</v>
      </c>
      <c r="AA105" s="59">
        <f>Z105/Y105</f>
        <v>0.11740028133655979</v>
      </c>
    </row>
    <row r="106" spans="1:27" ht="14.4" hidden="1" customHeight="1">
      <c r="A106" s="35">
        <v>102</v>
      </c>
      <c r="B106" s="36"/>
      <c r="C106" s="75" t="s">
        <v>517</v>
      </c>
      <c r="D106" s="37" t="str">
        <f t="shared" si="30"/>
        <v xml:space="preserve"> 632</v>
      </c>
      <c r="E106" s="38" t="s">
        <v>517</v>
      </c>
      <c r="F106" s="39">
        <f t="shared" si="31"/>
        <v>0</v>
      </c>
      <c r="G106" s="76" t="s">
        <v>335</v>
      </c>
      <c r="H106" s="77" t="s">
        <v>326</v>
      </c>
      <c r="I106" s="77" t="s">
        <v>377</v>
      </c>
      <c r="J106" s="41">
        <v>73000</v>
      </c>
      <c r="K106" s="42">
        <f t="shared" si="21"/>
        <v>7900</v>
      </c>
      <c r="L106" s="39" t="s">
        <v>22</v>
      </c>
      <c r="M106" s="43">
        <f t="shared" si="22"/>
        <v>65100</v>
      </c>
      <c r="N106" s="43">
        <f>2000+4850+600+200+250</f>
        <v>7900</v>
      </c>
      <c r="O106" s="72">
        <f t="shared" si="23"/>
        <v>73000</v>
      </c>
      <c r="P106" s="30"/>
      <c r="Q106" s="40" t="s">
        <v>1308</v>
      </c>
      <c r="R106" s="44"/>
      <c r="S106" s="44">
        <f t="shared" si="24"/>
        <v>73000</v>
      </c>
      <c r="T106" s="44">
        <f t="shared" si="25"/>
        <v>104285.71428571429</v>
      </c>
      <c r="U106" s="45">
        <f t="shared" si="26"/>
        <v>119183.67346938777</v>
      </c>
      <c r="V106" s="46">
        <f t="shared" si="27"/>
        <v>0.12500000000000006</v>
      </c>
      <c r="W106" s="45">
        <f t="shared" si="28"/>
        <v>119200</v>
      </c>
      <c r="X106" s="47">
        <f t="shared" si="29"/>
        <v>0.30000000000000004</v>
      </c>
      <c r="Y106" s="48"/>
      <c r="Z106" s="48"/>
      <c r="AA106" s="50"/>
    </row>
    <row r="107" spans="1:27" ht="14.4" hidden="1" customHeight="1">
      <c r="A107" s="35">
        <v>103</v>
      </c>
      <c r="B107" s="36"/>
      <c r="C107" s="75" t="s">
        <v>519</v>
      </c>
      <c r="D107" s="37" t="str">
        <f t="shared" si="30"/>
        <v xml:space="preserve"> 294</v>
      </c>
      <c r="E107" s="38" t="s">
        <v>519</v>
      </c>
      <c r="F107" s="39">
        <f t="shared" si="31"/>
        <v>0</v>
      </c>
      <c r="G107" s="76" t="s">
        <v>340</v>
      </c>
      <c r="H107" s="77" t="s">
        <v>438</v>
      </c>
      <c r="I107" s="77" t="s">
        <v>506</v>
      </c>
      <c r="J107" s="41"/>
      <c r="K107" s="42">
        <f t="shared" si="21"/>
        <v>0</v>
      </c>
      <c r="L107" s="39"/>
      <c r="M107" s="43">
        <f t="shared" si="22"/>
        <v>0</v>
      </c>
      <c r="N107" s="43"/>
      <c r="O107" s="72">
        <f t="shared" si="23"/>
        <v>0</v>
      </c>
      <c r="P107" s="30"/>
      <c r="Q107" s="40"/>
      <c r="R107" s="44"/>
      <c r="S107" s="44">
        <f t="shared" si="24"/>
        <v>0</v>
      </c>
      <c r="T107" s="44">
        <f t="shared" si="25"/>
        <v>0</v>
      </c>
      <c r="U107" s="45">
        <f t="shared" si="26"/>
        <v>0</v>
      </c>
      <c r="V107" s="46" t="e">
        <f t="shared" si="27"/>
        <v>#DIV/0!</v>
      </c>
      <c r="W107" s="45">
        <f t="shared" si="28"/>
        <v>0</v>
      </c>
      <c r="X107" s="47" t="e">
        <f t="shared" si="29"/>
        <v>#DIV/0!</v>
      </c>
      <c r="Y107" s="57">
        <v>89075</v>
      </c>
      <c r="Z107" s="58">
        <f>T107-Y107</f>
        <v>-89075</v>
      </c>
      <c r="AA107" s="59">
        <f>Z107/Y107</f>
        <v>-1</v>
      </c>
    </row>
    <row r="108" spans="1:27" ht="14.4" hidden="1" customHeight="1">
      <c r="A108" s="35">
        <v>104</v>
      </c>
      <c r="B108" s="36"/>
      <c r="C108" s="75" t="s">
        <v>521</v>
      </c>
      <c r="D108" s="37" t="str">
        <f t="shared" si="30"/>
        <v xml:space="preserve"> 805</v>
      </c>
      <c r="E108" s="38" t="s">
        <v>521</v>
      </c>
      <c r="F108" s="39">
        <f t="shared" si="31"/>
        <v>0</v>
      </c>
      <c r="G108" s="76" t="s">
        <v>335</v>
      </c>
      <c r="H108" s="77" t="s">
        <v>326</v>
      </c>
      <c r="I108" s="77" t="s">
        <v>377</v>
      </c>
      <c r="J108" s="41">
        <v>73000</v>
      </c>
      <c r="K108" s="42">
        <f t="shared" ref="K108" si="32">J108-M108</f>
        <v>7900</v>
      </c>
      <c r="L108" s="39" t="s">
        <v>22</v>
      </c>
      <c r="M108" s="43">
        <f t="shared" ref="M108" si="33">J108-N108</f>
        <v>65100</v>
      </c>
      <c r="N108" s="43">
        <f>2000+4850+600+200+250</f>
        <v>7900</v>
      </c>
      <c r="O108" s="72">
        <f t="shared" ref="O108" si="34">M108+N108</f>
        <v>73000</v>
      </c>
      <c r="P108" s="30"/>
      <c r="Q108" s="40" t="s">
        <v>1308</v>
      </c>
      <c r="R108" s="44"/>
      <c r="S108" s="44">
        <f t="shared" si="24"/>
        <v>73000</v>
      </c>
      <c r="T108" s="44">
        <f t="shared" si="25"/>
        <v>104285.71428571429</v>
      </c>
      <c r="U108" s="45">
        <f t="shared" si="26"/>
        <v>119183.67346938777</v>
      </c>
      <c r="V108" s="46">
        <f t="shared" si="27"/>
        <v>0.12500000000000006</v>
      </c>
      <c r="W108" s="45">
        <f t="shared" si="28"/>
        <v>119200</v>
      </c>
      <c r="X108" s="47">
        <f t="shared" si="29"/>
        <v>0.30000000000000004</v>
      </c>
      <c r="Y108" s="48"/>
      <c r="Z108" s="48"/>
      <c r="AA108" s="50"/>
    </row>
    <row r="109" spans="1:27" ht="14.4" hidden="1" customHeight="1">
      <c r="A109" s="35">
        <v>105</v>
      </c>
      <c r="B109" s="36"/>
      <c r="C109" s="73" t="s">
        <v>120</v>
      </c>
      <c r="D109" s="37" t="str">
        <f t="shared" si="30"/>
        <v xml:space="preserve"> 422</v>
      </c>
      <c r="E109" s="38" t="s">
        <v>120</v>
      </c>
      <c r="F109" s="39">
        <f t="shared" si="31"/>
        <v>0</v>
      </c>
      <c r="G109" s="76" t="s">
        <v>340</v>
      </c>
      <c r="H109" s="77" t="s">
        <v>438</v>
      </c>
      <c r="I109" s="77" t="s">
        <v>39</v>
      </c>
      <c r="J109" s="41">
        <v>60000</v>
      </c>
      <c r="K109" s="42">
        <f t="shared" si="21"/>
        <v>8150</v>
      </c>
      <c r="L109" s="39" t="s">
        <v>22</v>
      </c>
      <c r="M109" s="43">
        <f t="shared" si="22"/>
        <v>51850</v>
      </c>
      <c r="N109" s="43">
        <f>2000+5100+600+200+250</f>
        <v>8150</v>
      </c>
      <c r="O109" s="72">
        <f t="shared" si="23"/>
        <v>60000</v>
      </c>
      <c r="P109" s="29"/>
      <c r="Q109" s="40" t="s">
        <v>69</v>
      </c>
      <c r="R109" s="44"/>
      <c r="S109" s="44">
        <f t="shared" si="24"/>
        <v>60000</v>
      </c>
      <c r="T109" s="44">
        <f t="shared" si="25"/>
        <v>85714.285714285725</v>
      </c>
      <c r="U109" s="45">
        <f t="shared" si="26"/>
        <v>97959.183673469393</v>
      </c>
      <c r="V109" s="46">
        <f t="shared" si="27"/>
        <v>0.12499999999999994</v>
      </c>
      <c r="W109" s="45">
        <f t="shared" si="28"/>
        <v>98000</v>
      </c>
      <c r="X109" s="47">
        <f t="shared" si="29"/>
        <v>0.3000000000000001</v>
      </c>
      <c r="Y109" s="57">
        <v>85050</v>
      </c>
      <c r="Z109" s="58">
        <f>T109-Y109</f>
        <v>664.28571428572468</v>
      </c>
      <c r="AA109" s="59">
        <f>Z109/Y109</f>
        <v>7.8105316200555519E-3</v>
      </c>
    </row>
    <row r="110" spans="1:27" ht="14.4" hidden="1" customHeight="1">
      <c r="A110" s="35">
        <v>106</v>
      </c>
      <c r="B110" s="36"/>
      <c r="C110" s="73" t="s">
        <v>103</v>
      </c>
      <c r="D110" s="37" t="str">
        <f t="shared" si="30"/>
        <v xml:space="preserve"> 126</v>
      </c>
      <c r="E110" s="38" t="s">
        <v>103</v>
      </c>
      <c r="F110" s="39">
        <f t="shared" si="31"/>
        <v>0</v>
      </c>
      <c r="G110" s="76" t="s">
        <v>335</v>
      </c>
      <c r="H110" s="77" t="s">
        <v>438</v>
      </c>
      <c r="I110" s="77" t="s">
        <v>334</v>
      </c>
      <c r="J110" s="41">
        <v>68000</v>
      </c>
      <c r="K110" s="42">
        <f t="shared" si="21"/>
        <v>7900</v>
      </c>
      <c r="L110" s="39" t="s">
        <v>22</v>
      </c>
      <c r="M110" s="43">
        <f t="shared" si="22"/>
        <v>60100</v>
      </c>
      <c r="N110" s="43">
        <f>2000+4850+600+200+250</f>
        <v>7900</v>
      </c>
      <c r="O110" s="72">
        <f t="shared" si="23"/>
        <v>68000</v>
      </c>
      <c r="P110" s="29"/>
      <c r="Q110" s="40" t="s">
        <v>70</v>
      </c>
      <c r="R110" s="44"/>
      <c r="S110" s="44">
        <f t="shared" si="24"/>
        <v>68000</v>
      </c>
      <c r="T110" s="44">
        <f t="shared" si="25"/>
        <v>97142.857142857145</v>
      </c>
      <c r="U110" s="45">
        <f t="shared" si="26"/>
        <v>111020.40816326531</v>
      </c>
      <c r="V110" s="46">
        <f t="shared" si="27"/>
        <v>0.12500000000000003</v>
      </c>
      <c r="W110" s="45">
        <f t="shared" si="28"/>
        <v>111100</v>
      </c>
      <c r="X110" s="47">
        <f t="shared" si="29"/>
        <v>0.3</v>
      </c>
      <c r="Y110" s="48"/>
      <c r="Z110" s="48"/>
      <c r="AA110" s="50"/>
    </row>
    <row r="111" spans="1:27" ht="14.4" hidden="1" customHeight="1">
      <c r="A111" s="35">
        <v>107</v>
      </c>
      <c r="B111" s="36"/>
      <c r="C111" s="75" t="s">
        <v>525</v>
      </c>
      <c r="D111" s="37" t="str">
        <f t="shared" si="30"/>
        <v xml:space="preserve"> 519</v>
      </c>
      <c r="E111" s="38" t="s">
        <v>525</v>
      </c>
      <c r="F111" s="39">
        <f t="shared" si="31"/>
        <v>0</v>
      </c>
      <c r="G111" s="76" t="s">
        <v>340</v>
      </c>
      <c r="H111" s="77" t="s">
        <v>438</v>
      </c>
      <c r="I111" s="77" t="s">
        <v>355</v>
      </c>
      <c r="J111" s="41">
        <v>68500</v>
      </c>
      <c r="K111" s="42">
        <f t="shared" si="21"/>
        <v>8150</v>
      </c>
      <c r="L111" s="39"/>
      <c r="M111" s="43">
        <f t="shared" si="22"/>
        <v>60350</v>
      </c>
      <c r="N111" s="43">
        <f>2000+5100+600+200+250</f>
        <v>8150</v>
      </c>
      <c r="O111" s="72">
        <f t="shared" si="23"/>
        <v>68500</v>
      </c>
      <c r="P111" s="29"/>
      <c r="Q111" s="40"/>
      <c r="R111" s="44"/>
      <c r="S111" s="44">
        <f t="shared" si="24"/>
        <v>68500</v>
      </c>
      <c r="T111" s="44">
        <f t="shared" si="25"/>
        <v>97857.14285714287</v>
      </c>
      <c r="U111" s="45">
        <f t="shared" si="26"/>
        <v>111836.73469387756</v>
      </c>
      <c r="V111" s="46">
        <f t="shared" si="27"/>
        <v>0.12499999999999994</v>
      </c>
      <c r="W111" s="45">
        <f t="shared" si="28"/>
        <v>111900</v>
      </c>
      <c r="X111" s="47">
        <f t="shared" si="29"/>
        <v>0.3000000000000001</v>
      </c>
      <c r="Y111" s="57">
        <v>94063</v>
      </c>
      <c r="Z111" s="58">
        <f>T111-Y111</f>
        <v>3794.1428571428696</v>
      </c>
      <c r="AA111" s="59">
        <f>Z111/Y111</f>
        <v>4.0336188056333197E-2</v>
      </c>
    </row>
    <row r="112" spans="1:27" ht="14.4" hidden="1" customHeight="1">
      <c r="A112" s="35">
        <v>108</v>
      </c>
      <c r="B112" s="36"/>
      <c r="C112" s="73" t="s">
        <v>160</v>
      </c>
      <c r="D112" s="37" t="str">
        <f t="shared" si="30"/>
        <v xml:space="preserve"> 801</v>
      </c>
      <c r="E112" s="38" t="s">
        <v>160</v>
      </c>
      <c r="F112" s="39">
        <f t="shared" si="31"/>
        <v>0</v>
      </c>
      <c r="G112" s="76" t="s">
        <v>335</v>
      </c>
      <c r="H112" s="77" t="s">
        <v>438</v>
      </c>
      <c r="I112" s="77" t="s">
        <v>54</v>
      </c>
      <c r="J112" s="41">
        <v>67500</v>
      </c>
      <c r="K112" s="42">
        <f t="shared" si="21"/>
        <v>8150</v>
      </c>
      <c r="L112" s="39" t="s">
        <v>22</v>
      </c>
      <c r="M112" s="43">
        <f t="shared" si="22"/>
        <v>59350</v>
      </c>
      <c r="N112" s="49">
        <f>2000+5100+600+200+250</f>
        <v>8150</v>
      </c>
      <c r="O112" s="72">
        <f t="shared" si="23"/>
        <v>67500</v>
      </c>
      <c r="P112" s="29"/>
      <c r="Q112" s="40" t="s">
        <v>69</v>
      </c>
      <c r="R112" s="44"/>
      <c r="S112" s="44">
        <f t="shared" si="24"/>
        <v>67500</v>
      </c>
      <c r="T112" s="44">
        <f t="shared" si="25"/>
        <v>96428.571428571435</v>
      </c>
      <c r="U112" s="45">
        <f t="shared" si="26"/>
        <v>110204.08163265306</v>
      </c>
      <c r="V112" s="46">
        <f t="shared" si="27"/>
        <v>0.12499999999999994</v>
      </c>
      <c r="W112" s="45">
        <f t="shared" si="28"/>
        <v>110300</v>
      </c>
      <c r="X112" s="47">
        <f t="shared" si="29"/>
        <v>0.30000000000000004</v>
      </c>
      <c r="Y112" s="48"/>
      <c r="Z112" s="48"/>
      <c r="AA112" s="50"/>
    </row>
    <row r="113" spans="1:27" ht="14.4" hidden="1" customHeight="1">
      <c r="A113" s="35">
        <v>109</v>
      </c>
      <c r="B113" s="36"/>
      <c r="C113" s="75" t="s">
        <v>528</v>
      </c>
      <c r="D113" s="37" t="str">
        <f t="shared" si="30"/>
        <v xml:space="preserve"> 826</v>
      </c>
      <c r="E113" s="38" t="s">
        <v>528</v>
      </c>
      <c r="F113" s="39">
        <f t="shared" si="31"/>
        <v>0</v>
      </c>
      <c r="G113" s="76" t="s">
        <v>335</v>
      </c>
      <c r="H113" s="77" t="s">
        <v>333</v>
      </c>
      <c r="I113" s="77" t="s">
        <v>355</v>
      </c>
      <c r="J113" s="41">
        <v>69000</v>
      </c>
      <c r="K113" s="42">
        <f t="shared" si="21"/>
        <v>8150</v>
      </c>
      <c r="L113" s="39"/>
      <c r="M113" s="43">
        <f t="shared" si="22"/>
        <v>60850</v>
      </c>
      <c r="N113" s="49">
        <f>2000+5100+600+200+250</f>
        <v>8150</v>
      </c>
      <c r="O113" s="72">
        <f t="shared" si="23"/>
        <v>69000</v>
      </c>
      <c r="P113" s="29"/>
      <c r="Q113" s="40"/>
      <c r="R113" s="44"/>
      <c r="S113" s="44">
        <f t="shared" si="24"/>
        <v>69000</v>
      </c>
      <c r="T113" s="44">
        <f t="shared" si="25"/>
        <v>98571.42857142858</v>
      </c>
      <c r="U113" s="45">
        <f t="shared" si="26"/>
        <v>112653.06122448981</v>
      </c>
      <c r="V113" s="46">
        <f t="shared" si="27"/>
        <v>0.12500000000000003</v>
      </c>
      <c r="W113" s="45">
        <f t="shared" si="28"/>
        <v>112700</v>
      </c>
      <c r="X113" s="47">
        <f t="shared" si="29"/>
        <v>0.30000000000000004</v>
      </c>
      <c r="Y113" s="48"/>
      <c r="Z113" s="48"/>
      <c r="AA113" s="50"/>
    </row>
    <row r="114" spans="1:27" ht="14.4" hidden="1" customHeight="1">
      <c r="A114" s="35">
        <v>110</v>
      </c>
      <c r="B114" s="39"/>
      <c r="C114" s="74" t="s">
        <v>313</v>
      </c>
      <c r="D114" s="37" t="str">
        <f t="shared" si="30"/>
        <v xml:space="preserve"> 440</v>
      </c>
      <c r="E114" s="38" t="s">
        <v>313</v>
      </c>
      <c r="F114" s="39">
        <f t="shared" si="31"/>
        <v>0</v>
      </c>
      <c r="G114" s="76" t="s">
        <v>335</v>
      </c>
      <c r="H114" s="77" t="s">
        <v>326</v>
      </c>
      <c r="I114" s="77" t="s">
        <v>319</v>
      </c>
      <c r="J114" s="52">
        <v>62500</v>
      </c>
      <c r="K114" s="42">
        <f t="shared" si="21"/>
        <v>7900</v>
      </c>
      <c r="L114" s="39" t="s">
        <v>22</v>
      </c>
      <c r="M114" s="43">
        <f t="shared" si="22"/>
        <v>54600</v>
      </c>
      <c r="N114" s="52">
        <f>2000+4850+600+200+250</f>
        <v>7900</v>
      </c>
      <c r="O114" s="72">
        <f t="shared" si="23"/>
        <v>62500</v>
      </c>
      <c r="P114" s="29"/>
      <c r="Q114" s="40" t="s">
        <v>330</v>
      </c>
      <c r="R114" s="53"/>
      <c r="S114" s="44">
        <f t="shared" si="24"/>
        <v>62500</v>
      </c>
      <c r="T114" s="44">
        <f t="shared" si="25"/>
        <v>89285.71428571429</v>
      </c>
      <c r="U114" s="45">
        <f t="shared" si="26"/>
        <v>102040.81632653062</v>
      </c>
      <c r="V114" s="46">
        <f t="shared" si="27"/>
        <v>0.12500000000000003</v>
      </c>
      <c r="W114" s="45">
        <f t="shared" si="28"/>
        <v>102100</v>
      </c>
      <c r="X114" s="47">
        <f t="shared" si="29"/>
        <v>0.30000000000000004</v>
      </c>
      <c r="Y114" s="54"/>
      <c r="Z114" s="54"/>
      <c r="AA114" s="55"/>
    </row>
    <row r="115" spans="1:27" ht="14.4" hidden="1" customHeight="1">
      <c r="A115" s="35">
        <v>111</v>
      </c>
      <c r="B115" s="39"/>
      <c r="C115" s="75" t="s">
        <v>531</v>
      </c>
      <c r="D115" s="37" t="str">
        <f t="shared" si="30"/>
        <v xml:space="preserve"> 498</v>
      </c>
      <c r="E115" s="38" t="s">
        <v>531</v>
      </c>
      <c r="F115" s="39">
        <f t="shared" si="31"/>
        <v>0</v>
      </c>
      <c r="G115" s="76" t="s">
        <v>335</v>
      </c>
      <c r="H115" s="77" t="s">
        <v>323</v>
      </c>
      <c r="I115" s="77" t="s">
        <v>355</v>
      </c>
      <c r="J115" s="52">
        <v>69000</v>
      </c>
      <c r="K115" s="42">
        <f t="shared" si="21"/>
        <v>8150</v>
      </c>
      <c r="L115" s="39"/>
      <c r="M115" s="43">
        <f t="shared" si="22"/>
        <v>60850</v>
      </c>
      <c r="N115" s="52">
        <f>2000+5100+600+200+250</f>
        <v>8150</v>
      </c>
      <c r="O115" s="72">
        <f t="shared" si="23"/>
        <v>69000</v>
      </c>
      <c r="P115" s="29"/>
      <c r="Q115" s="40"/>
      <c r="R115" s="53"/>
      <c r="S115" s="44">
        <f t="shared" si="24"/>
        <v>69000</v>
      </c>
      <c r="T115" s="44">
        <f t="shared" si="25"/>
        <v>98571.42857142858</v>
      </c>
      <c r="U115" s="45">
        <f t="shared" si="26"/>
        <v>112653.06122448981</v>
      </c>
      <c r="V115" s="46">
        <f t="shared" si="27"/>
        <v>0.12500000000000003</v>
      </c>
      <c r="W115" s="45">
        <f t="shared" si="28"/>
        <v>112700</v>
      </c>
      <c r="X115" s="47">
        <f t="shared" si="29"/>
        <v>0.30000000000000004</v>
      </c>
      <c r="Y115" s="54"/>
      <c r="Z115" s="54"/>
      <c r="AA115" s="55"/>
    </row>
    <row r="116" spans="1:27" ht="14.4" hidden="1" customHeight="1">
      <c r="A116" s="35">
        <v>112</v>
      </c>
      <c r="B116" s="36"/>
      <c r="C116" s="73" t="s">
        <v>105</v>
      </c>
      <c r="D116" s="37" t="str">
        <f t="shared" si="30"/>
        <v xml:space="preserve"> 342</v>
      </c>
      <c r="E116" s="38" t="s">
        <v>105</v>
      </c>
      <c r="F116" s="39">
        <f t="shared" si="31"/>
        <v>0</v>
      </c>
      <c r="G116" s="76" t="s">
        <v>335</v>
      </c>
      <c r="H116" s="77" t="s">
        <v>438</v>
      </c>
      <c r="I116" s="77" t="s">
        <v>334</v>
      </c>
      <c r="J116" s="41">
        <v>68000</v>
      </c>
      <c r="K116" s="42">
        <f t="shared" si="21"/>
        <v>7900</v>
      </c>
      <c r="L116" s="39" t="s">
        <v>22</v>
      </c>
      <c r="M116" s="43">
        <f t="shared" si="22"/>
        <v>60100</v>
      </c>
      <c r="N116" s="43">
        <f>2000+4850+600+200+250</f>
        <v>7900</v>
      </c>
      <c r="O116" s="72">
        <f t="shared" si="23"/>
        <v>68000</v>
      </c>
      <c r="P116" s="29"/>
      <c r="Q116" s="40" t="s">
        <v>70</v>
      </c>
      <c r="R116" s="44"/>
      <c r="S116" s="44">
        <f t="shared" si="24"/>
        <v>68000</v>
      </c>
      <c r="T116" s="44">
        <f t="shared" si="25"/>
        <v>97142.857142857145</v>
      </c>
      <c r="U116" s="45">
        <f t="shared" si="26"/>
        <v>111020.40816326531</v>
      </c>
      <c r="V116" s="46">
        <f t="shared" si="27"/>
        <v>0.12500000000000003</v>
      </c>
      <c r="W116" s="45">
        <f t="shared" si="28"/>
        <v>111100</v>
      </c>
      <c r="X116" s="47">
        <f t="shared" si="29"/>
        <v>0.3</v>
      </c>
      <c r="Y116" s="48"/>
      <c r="Z116" s="48"/>
      <c r="AA116" s="50"/>
    </row>
    <row r="117" spans="1:27" ht="14.4" hidden="1" customHeight="1">
      <c r="A117" s="35">
        <v>113</v>
      </c>
      <c r="B117" s="36"/>
      <c r="C117" s="75" t="s">
        <v>534</v>
      </c>
      <c r="D117" s="37" t="str">
        <f t="shared" si="30"/>
        <v xml:space="preserve"> 517</v>
      </c>
      <c r="E117" s="38" t="s">
        <v>534</v>
      </c>
      <c r="F117" s="39">
        <f t="shared" si="31"/>
        <v>0</v>
      </c>
      <c r="G117" s="76" t="s">
        <v>335</v>
      </c>
      <c r="H117" s="77" t="s">
        <v>438</v>
      </c>
      <c r="I117" s="77" t="s">
        <v>535</v>
      </c>
      <c r="J117" s="41"/>
      <c r="K117" s="42">
        <f t="shared" si="21"/>
        <v>0</v>
      </c>
      <c r="L117" s="39"/>
      <c r="M117" s="43">
        <f t="shared" si="22"/>
        <v>0</v>
      </c>
      <c r="N117" s="43"/>
      <c r="O117" s="72">
        <f t="shared" si="23"/>
        <v>0</v>
      </c>
      <c r="P117" s="29"/>
      <c r="Q117" s="40"/>
      <c r="R117" s="44"/>
      <c r="S117" s="44">
        <f t="shared" si="24"/>
        <v>0</v>
      </c>
      <c r="T117" s="44">
        <f t="shared" si="25"/>
        <v>0</v>
      </c>
      <c r="U117" s="45">
        <f t="shared" si="26"/>
        <v>0</v>
      </c>
      <c r="V117" s="46" t="e">
        <f t="shared" si="27"/>
        <v>#DIV/0!</v>
      </c>
      <c r="W117" s="45">
        <f t="shared" si="28"/>
        <v>0</v>
      </c>
      <c r="X117" s="47" t="e">
        <f t="shared" si="29"/>
        <v>#DIV/0!</v>
      </c>
      <c r="Y117" s="48"/>
      <c r="Z117" s="48"/>
      <c r="AA117" s="50"/>
    </row>
    <row r="118" spans="1:27" ht="14.4" hidden="1" customHeight="1">
      <c r="A118" s="35">
        <v>114</v>
      </c>
      <c r="B118" s="36"/>
      <c r="C118" s="75" t="s">
        <v>102</v>
      </c>
      <c r="D118" s="37" t="str">
        <f t="shared" si="30"/>
        <v xml:space="preserve"> 837</v>
      </c>
      <c r="E118" s="38" t="s">
        <v>102</v>
      </c>
      <c r="F118" s="39">
        <f t="shared" si="31"/>
        <v>0</v>
      </c>
      <c r="G118" s="76" t="s">
        <v>335</v>
      </c>
      <c r="H118" s="77" t="s">
        <v>438</v>
      </c>
      <c r="I118" s="77" t="s">
        <v>37</v>
      </c>
      <c r="J118" s="41">
        <v>66000</v>
      </c>
      <c r="K118" s="42">
        <f t="shared" si="21"/>
        <v>7900</v>
      </c>
      <c r="L118" s="39" t="s">
        <v>22</v>
      </c>
      <c r="M118" s="43">
        <f t="shared" si="22"/>
        <v>58100</v>
      </c>
      <c r="N118" s="43">
        <f>2000+4850+600+200+250</f>
        <v>7900</v>
      </c>
      <c r="O118" s="72">
        <f t="shared" si="23"/>
        <v>66000</v>
      </c>
      <c r="P118" s="29"/>
      <c r="Q118" s="40" t="s">
        <v>70</v>
      </c>
      <c r="R118" s="44"/>
      <c r="S118" s="44">
        <f t="shared" si="24"/>
        <v>66000</v>
      </c>
      <c r="T118" s="44">
        <f t="shared" si="25"/>
        <v>94285.71428571429</v>
      </c>
      <c r="U118" s="45">
        <f t="shared" si="26"/>
        <v>107755.10204081633</v>
      </c>
      <c r="V118" s="46">
        <f t="shared" si="27"/>
        <v>0.125</v>
      </c>
      <c r="W118" s="45">
        <f t="shared" si="28"/>
        <v>107800</v>
      </c>
      <c r="X118" s="47">
        <f t="shared" si="29"/>
        <v>0.30000000000000004</v>
      </c>
      <c r="Y118" s="48"/>
      <c r="Z118" s="48"/>
      <c r="AA118" s="48"/>
    </row>
    <row r="119" spans="1:27" ht="14.4" hidden="1" customHeight="1">
      <c r="A119" s="35">
        <v>115</v>
      </c>
      <c r="B119" s="36"/>
      <c r="C119" s="75" t="s">
        <v>100</v>
      </c>
      <c r="D119" s="37" t="str">
        <f t="shared" si="30"/>
        <v xml:space="preserve"> 208</v>
      </c>
      <c r="E119" s="38" t="s">
        <v>100</v>
      </c>
      <c r="F119" s="39">
        <f t="shared" si="31"/>
        <v>0</v>
      </c>
      <c r="G119" s="76" t="s">
        <v>335</v>
      </c>
      <c r="H119" s="77" t="s">
        <v>326</v>
      </c>
      <c r="I119" s="77" t="s">
        <v>37</v>
      </c>
      <c r="J119" s="60">
        <v>66000</v>
      </c>
      <c r="K119" s="42">
        <f t="shared" si="21"/>
        <v>7900</v>
      </c>
      <c r="L119" s="39" t="s">
        <v>22</v>
      </c>
      <c r="M119" s="43">
        <f t="shared" si="22"/>
        <v>58100</v>
      </c>
      <c r="N119" s="43">
        <f>2000+4850+600+200+250</f>
        <v>7900</v>
      </c>
      <c r="O119" s="72">
        <f t="shared" si="23"/>
        <v>66000</v>
      </c>
      <c r="P119" s="29"/>
      <c r="Q119" s="40" t="s">
        <v>70</v>
      </c>
      <c r="R119" s="44"/>
      <c r="S119" s="44">
        <f t="shared" si="24"/>
        <v>66000</v>
      </c>
      <c r="T119" s="44">
        <f t="shared" si="25"/>
        <v>94285.71428571429</v>
      </c>
      <c r="U119" s="45">
        <f t="shared" si="26"/>
        <v>107755.10204081633</v>
      </c>
      <c r="V119" s="46">
        <f t="shared" si="27"/>
        <v>0.125</v>
      </c>
      <c r="W119" s="45">
        <f t="shared" si="28"/>
        <v>107800</v>
      </c>
      <c r="X119" s="47">
        <f t="shared" si="29"/>
        <v>0.30000000000000004</v>
      </c>
      <c r="Y119" s="48"/>
      <c r="Z119" s="48"/>
      <c r="AA119" s="48"/>
    </row>
    <row r="120" spans="1:27" ht="14.4" hidden="1" customHeight="1">
      <c r="A120" s="35">
        <v>116</v>
      </c>
      <c r="B120" s="36"/>
      <c r="C120" s="75" t="s">
        <v>539</v>
      </c>
      <c r="D120" s="37" t="str">
        <f t="shared" si="30"/>
        <v xml:space="preserve"> 492</v>
      </c>
      <c r="E120" s="38" t="s">
        <v>539</v>
      </c>
      <c r="F120" s="39">
        <f t="shared" si="31"/>
        <v>0</v>
      </c>
      <c r="G120" s="76" t="s">
        <v>335</v>
      </c>
      <c r="H120" s="77" t="s">
        <v>326</v>
      </c>
      <c r="I120" s="77" t="s">
        <v>515</v>
      </c>
      <c r="J120" s="60">
        <v>70000</v>
      </c>
      <c r="K120" s="42">
        <f t="shared" si="21"/>
        <v>8150</v>
      </c>
      <c r="L120" s="39" t="s">
        <v>22</v>
      </c>
      <c r="M120" s="43">
        <f t="shared" si="22"/>
        <v>61850</v>
      </c>
      <c r="N120" s="43">
        <f>2000+5100+600+200+250</f>
        <v>8150</v>
      </c>
      <c r="O120" s="72">
        <f t="shared" si="23"/>
        <v>70000</v>
      </c>
      <c r="P120" s="29"/>
      <c r="Q120" s="40" t="s">
        <v>1307</v>
      </c>
      <c r="R120" s="44"/>
      <c r="S120" s="44">
        <f t="shared" si="24"/>
        <v>70000</v>
      </c>
      <c r="T120" s="44">
        <f t="shared" si="25"/>
        <v>100000</v>
      </c>
      <c r="U120" s="45">
        <f t="shared" si="26"/>
        <v>114285.71428571429</v>
      </c>
      <c r="V120" s="46">
        <f t="shared" si="27"/>
        <v>0.12500000000000003</v>
      </c>
      <c r="W120" s="45">
        <f t="shared" si="28"/>
        <v>114300</v>
      </c>
      <c r="X120" s="47">
        <f t="shared" si="29"/>
        <v>0.3</v>
      </c>
      <c r="Y120" s="48"/>
      <c r="Z120" s="48"/>
      <c r="AA120" s="48"/>
    </row>
    <row r="121" spans="1:27" ht="14.4" hidden="1" customHeight="1">
      <c r="A121" s="35">
        <v>117</v>
      </c>
      <c r="B121" s="36"/>
      <c r="C121" s="75" t="s">
        <v>541</v>
      </c>
      <c r="D121" s="37" t="str">
        <f t="shared" si="30"/>
        <v xml:space="preserve"> 947</v>
      </c>
      <c r="E121" s="38" t="s">
        <v>541</v>
      </c>
      <c r="F121" s="39">
        <f t="shared" si="31"/>
        <v>0</v>
      </c>
      <c r="G121" s="76" t="s">
        <v>335</v>
      </c>
      <c r="H121" s="77" t="s">
        <v>448</v>
      </c>
      <c r="I121" s="77" t="s">
        <v>355</v>
      </c>
      <c r="J121" s="60">
        <v>75000</v>
      </c>
      <c r="K121" s="42">
        <f t="shared" si="21"/>
        <v>8150</v>
      </c>
      <c r="L121" s="39"/>
      <c r="M121" s="43">
        <f t="shared" si="22"/>
        <v>66850</v>
      </c>
      <c r="N121" s="43">
        <f>2000+5100+600+200+250</f>
        <v>8150</v>
      </c>
      <c r="O121" s="72">
        <f t="shared" si="23"/>
        <v>75000</v>
      </c>
      <c r="P121" s="29"/>
      <c r="Q121" s="40"/>
      <c r="R121" s="44"/>
      <c r="S121" s="44">
        <f t="shared" si="24"/>
        <v>75000</v>
      </c>
      <c r="T121" s="44">
        <f t="shared" si="25"/>
        <v>107142.85714285714</v>
      </c>
      <c r="U121" s="45">
        <f t="shared" si="26"/>
        <v>122448.97959183673</v>
      </c>
      <c r="V121" s="46">
        <f t="shared" si="27"/>
        <v>0.12499999999999996</v>
      </c>
      <c r="W121" s="45">
        <f t="shared" si="28"/>
        <v>122500</v>
      </c>
      <c r="X121" s="47">
        <f t="shared" si="29"/>
        <v>0.3</v>
      </c>
      <c r="Y121" s="48"/>
      <c r="Z121" s="48"/>
      <c r="AA121" s="48"/>
    </row>
    <row r="122" spans="1:27" ht="14.4" hidden="1" customHeight="1">
      <c r="A122" s="35">
        <v>118</v>
      </c>
      <c r="B122" s="36"/>
      <c r="C122" s="73" t="s">
        <v>158</v>
      </c>
      <c r="D122" s="37" t="str">
        <f t="shared" si="30"/>
        <v xml:space="preserve"> 785</v>
      </c>
      <c r="E122" s="38" t="s">
        <v>158</v>
      </c>
      <c r="F122" s="39">
        <f t="shared" si="31"/>
        <v>0</v>
      </c>
      <c r="G122" s="76" t="s">
        <v>335</v>
      </c>
      <c r="H122" s="77" t="s">
        <v>326</v>
      </c>
      <c r="I122" s="77" t="s">
        <v>54</v>
      </c>
      <c r="J122" s="41">
        <v>67500</v>
      </c>
      <c r="K122" s="42">
        <f t="shared" si="21"/>
        <v>8150</v>
      </c>
      <c r="L122" s="39" t="s">
        <v>22</v>
      </c>
      <c r="M122" s="43">
        <f t="shared" si="22"/>
        <v>59350</v>
      </c>
      <c r="N122" s="49">
        <f>2000+5100+600+200+250</f>
        <v>8150</v>
      </c>
      <c r="O122" s="72">
        <f t="shared" si="23"/>
        <v>67500</v>
      </c>
      <c r="P122" s="61"/>
      <c r="Q122" s="40" t="s">
        <v>69</v>
      </c>
      <c r="R122" s="44"/>
      <c r="S122" s="44">
        <f t="shared" si="24"/>
        <v>67500</v>
      </c>
      <c r="T122" s="44">
        <f t="shared" si="25"/>
        <v>96428.571428571435</v>
      </c>
      <c r="U122" s="45">
        <f t="shared" si="26"/>
        <v>110204.08163265306</v>
      </c>
      <c r="V122" s="46">
        <f t="shared" si="27"/>
        <v>0.12499999999999994</v>
      </c>
      <c r="W122" s="45">
        <f t="shared" si="28"/>
        <v>110300</v>
      </c>
      <c r="X122" s="47">
        <f t="shared" si="29"/>
        <v>0.30000000000000004</v>
      </c>
      <c r="Y122" s="48"/>
      <c r="Z122" s="48"/>
      <c r="AA122" s="48"/>
    </row>
    <row r="123" spans="1:27" ht="14.4" hidden="1" customHeight="1">
      <c r="A123" s="35">
        <v>119</v>
      </c>
      <c r="B123" s="36"/>
      <c r="C123" s="73" t="s">
        <v>220</v>
      </c>
      <c r="D123" s="37" t="str">
        <f t="shared" si="30"/>
        <v xml:space="preserve"> 314</v>
      </c>
      <c r="E123" s="38" t="s">
        <v>220</v>
      </c>
      <c r="F123" s="39">
        <f t="shared" si="31"/>
        <v>0</v>
      </c>
      <c r="G123" s="76" t="s">
        <v>335</v>
      </c>
      <c r="H123" s="77" t="s">
        <v>326</v>
      </c>
      <c r="I123" s="77" t="s">
        <v>57</v>
      </c>
      <c r="J123" s="41">
        <v>70000</v>
      </c>
      <c r="K123" s="42">
        <f t="shared" si="21"/>
        <v>7900</v>
      </c>
      <c r="L123" s="39" t="s">
        <v>22</v>
      </c>
      <c r="M123" s="43">
        <f t="shared" si="22"/>
        <v>62100</v>
      </c>
      <c r="N123" s="49">
        <f>2000+4850+600+200+250</f>
        <v>7900</v>
      </c>
      <c r="O123" s="72">
        <f t="shared" si="23"/>
        <v>70000</v>
      </c>
      <c r="P123" s="29"/>
      <c r="Q123" s="40" t="s">
        <v>70</v>
      </c>
      <c r="R123" s="44"/>
      <c r="S123" s="44">
        <f t="shared" si="24"/>
        <v>70000</v>
      </c>
      <c r="T123" s="44">
        <f t="shared" si="25"/>
        <v>100000</v>
      </c>
      <c r="U123" s="45">
        <f t="shared" si="26"/>
        <v>114285.71428571429</v>
      </c>
      <c r="V123" s="46">
        <f t="shared" si="27"/>
        <v>0.12500000000000003</v>
      </c>
      <c r="W123" s="45">
        <f t="shared" si="28"/>
        <v>114300</v>
      </c>
      <c r="X123" s="47">
        <f t="shared" si="29"/>
        <v>0.3</v>
      </c>
      <c r="Y123" s="48"/>
      <c r="Z123" s="48"/>
      <c r="AA123" s="50"/>
    </row>
    <row r="124" spans="1:27" ht="14.4" hidden="1" customHeight="1">
      <c r="A124" s="35">
        <v>120</v>
      </c>
      <c r="B124" s="36"/>
      <c r="C124" s="73" t="s">
        <v>159</v>
      </c>
      <c r="D124" s="37" t="str">
        <f t="shared" si="30"/>
        <v xml:space="preserve"> 736</v>
      </c>
      <c r="E124" s="38" t="s">
        <v>159</v>
      </c>
      <c r="F124" s="39">
        <f t="shared" si="31"/>
        <v>0</v>
      </c>
      <c r="G124" s="76" t="s">
        <v>335</v>
      </c>
      <c r="H124" s="77" t="s">
        <v>326</v>
      </c>
      <c r="I124" s="77" t="s">
        <v>54</v>
      </c>
      <c r="J124" s="41">
        <v>67500</v>
      </c>
      <c r="K124" s="42">
        <f t="shared" si="21"/>
        <v>8150</v>
      </c>
      <c r="L124" s="39" t="s">
        <v>22</v>
      </c>
      <c r="M124" s="43">
        <f t="shared" si="22"/>
        <v>59350</v>
      </c>
      <c r="N124" s="49">
        <f>2000+5100+600+200+250</f>
        <v>8150</v>
      </c>
      <c r="O124" s="72">
        <f t="shared" si="23"/>
        <v>67500</v>
      </c>
      <c r="P124" s="29"/>
      <c r="Q124" s="40" t="s">
        <v>69</v>
      </c>
      <c r="R124" s="44"/>
      <c r="S124" s="44">
        <f t="shared" si="24"/>
        <v>67500</v>
      </c>
      <c r="T124" s="44">
        <f t="shared" si="25"/>
        <v>96428.571428571435</v>
      </c>
      <c r="U124" s="45">
        <f t="shared" si="26"/>
        <v>110204.08163265306</v>
      </c>
      <c r="V124" s="46">
        <f t="shared" si="27"/>
        <v>0.12499999999999994</v>
      </c>
      <c r="W124" s="45">
        <f t="shared" si="28"/>
        <v>110300</v>
      </c>
      <c r="X124" s="47">
        <f t="shared" si="29"/>
        <v>0.30000000000000004</v>
      </c>
      <c r="Y124" s="48"/>
      <c r="Z124" s="48"/>
      <c r="AA124" s="48"/>
    </row>
    <row r="125" spans="1:27" ht="14.4" hidden="1" customHeight="1">
      <c r="A125" s="56">
        <v>121</v>
      </c>
      <c r="B125" s="36"/>
      <c r="C125" s="75" t="s">
        <v>1361</v>
      </c>
      <c r="D125" s="37" t="str">
        <f t="shared" si="30"/>
        <v xml:space="preserve"> 220</v>
      </c>
      <c r="E125" s="38" t="s">
        <v>1361</v>
      </c>
      <c r="F125" s="39">
        <f t="shared" si="31"/>
        <v>0</v>
      </c>
      <c r="G125" s="76" t="s">
        <v>335</v>
      </c>
      <c r="H125" s="77" t="s">
        <v>326</v>
      </c>
      <c r="I125" s="77" t="s">
        <v>515</v>
      </c>
      <c r="J125" s="41">
        <v>72500</v>
      </c>
      <c r="K125" s="42">
        <f t="shared" ref="K125:K188" si="35">J125-M125</f>
        <v>8150</v>
      </c>
      <c r="L125" s="39" t="s">
        <v>22</v>
      </c>
      <c r="M125" s="43">
        <f t="shared" ref="M125:M188" si="36">J125-N125</f>
        <v>64350</v>
      </c>
      <c r="N125" s="43">
        <f>2000+5100+600+200+250</f>
        <v>8150</v>
      </c>
      <c r="O125" s="72">
        <f t="shared" ref="O125:O188" si="37">M125+N125</f>
        <v>72500</v>
      </c>
      <c r="P125" s="29"/>
      <c r="Q125" s="40" t="s">
        <v>1307</v>
      </c>
      <c r="R125" s="44"/>
      <c r="S125" s="44">
        <f t="shared" ref="S125:S188" si="38">R125+O125</f>
        <v>72500</v>
      </c>
      <c r="T125" s="44">
        <f t="shared" ref="T125:T188" si="39">S125/0.7</f>
        <v>103571.42857142858</v>
      </c>
      <c r="U125" s="45">
        <f t="shared" ref="U125:U188" si="40">T125/0.875</f>
        <v>118367.34693877552</v>
      </c>
      <c r="V125" s="46">
        <f t="shared" ref="V125:V188" si="41">(U125-T125)/U125</f>
        <v>0.12499999999999999</v>
      </c>
      <c r="W125" s="45">
        <f t="shared" ref="W125:W188" si="42">(ROUNDUP((U125/100),0))*100</f>
        <v>118400</v>
      </c>
      <c r="X125" s="47">
        <f t="shared" ref="X125:X188" si="43">(T125-O125)/T125</f>
        <v>0.30000000000000004</v>
      </c>
      <c r="Y125" s="48"/>
      <c r="Z125" s="48"/>
      <c r="AA125" s="50"/>
    </row>
    <row r="126" spans="1:27" ht="14.4" hidden="1" customHeight="1">
      <c r="A126" s="35">
        <v>122</v>
      </c>
      <c r="B126" s="36"/>
      <c r="C126" s="75" t="s">
        <v>549</v>
      </c>
      <c r="D126" s="37" t="str">
        <f t="shared" si="30"/>
        <v xml:space="preserve"> 755</v>
      </c>
      <c r="E126" s="38" t="s">
        <v>549</v>
      </c>
      <c r="F126" s="39">
        <f t="shared" si="31"/>
        <v>0</v>
      </c>
      <c r="G126" s="76" t="s">
        <v>335</v>
      </c>
      <c r="H126" s="77" t="s">
        <v>438</v>
      </c>
      <c r="I126" s="77" t="s">
        <v>355</v>
      </c>
      <c r="J126" s="41">
        <v>68000</v>
      </c>
      <c r="K126" s="42">
        <f t="shared" si="35"/>
        <v>8150</v>
      </c>
      <c r="L126" s="39"/>
      <c r="M126" s="43">
        <f t="shared" si="36"/>
        <v>59850</v>
      </c>
      <c r="N126" s="49">
        <f>2000+5100+600+200+250</f>
        <v>8150</v>
      </c>
      <c r="O126" s="72">
        <f t="shared" si="37"/>
        <v>68000</v>
      </c>
      <c r="P126" s="29"/>
      <c r="Q126" s="40"/>
      <c r="R126" s="44"/>
      <c r="S126" s="44">
        <f t="shared" si="38"/>
        <v>68000</v>
      </c>
      <c r="T126" s="44">
        <f t="shared" si="39"/>
        <v>97142.857142857145</v>
      </c>
      <c r="U126" s="45">
        <f t="shared" si="40"/>
        <v>111020.40816326531</v>
      </c>
      <c r="V126" s="46">
        <f t="shared" si="41"/>
        <v>0.12500000000000003</v>
      </c>
      <c r="W126" s="45">
        <f t="shared" si="42"/>
        <v>111100</v>
      </c>
      <c r="X126" s="47">
        <f t="shared" si="43"/>
        <v>0.3</v>
      </c>
      <c r="Y126" s="48"/>
      <c r="Z126" s="48"/>
      <c r="AA126" s="48"/>
    </row>
    <row r="127" spans="1:27" ht="14.4" hidden="1" customHeight="1">
      <c r="A127" s="35">
        <v>123</v>
      </c>
      <c r="B127" s="36"/>
      <c r="C127" s="75" t="s">
        <v>98</v>
      </c>
      <c r="D127" s="37" t="str">
        <f t="shared" si="30"/>
        <v xml:space="preserve"> 721</v>
      </c>
      <c r="E127" s="38" t="s">
        <v>98</v>
      </c>
      <c r="F127" s="39">
        <f t="shared" si="31"/>
        <v>0</v>
      </c>
      <c r="G127" s="76" t="s">
        <v>340</v>
      </c>
      <c r="H127" s="77" t="s">
        <v>448</v>
      </c>
      <c r="I127" s="77" t="s">
        <v>37</v>
      </c>
      <c r="J127" s="41">
        <v>63000</v>
      </c>
      <c r="K127" s="42">
        <f t="shared" si="35"/>
        <v>8150</v>
      </c>
      <c r="L127" s="39" t="s">
        <v>22</v>
      </c>
      <c r="M127" s="43">
        <f t="shared" si="36"/>
        <v>54850</v>
      </c>
      <c r="N127" s="43">
        <f>2000+5100+600+200+250</f>
        <v>8150</v>
      </c>
      <c r="O127" s="72">
        <f t="shared" si="37"/>
        <v>63000</v>
      </c>
      <c r="P127" s="30"/>
      <c r="Q127" s="40" t="s">
        <v>69</v>
      </c>
      <c r="R127" s="44"/>
      <c r="S127" s="44">
        <f t="shared" si="38"/>
        <v>63000</v>
      </c>
      <c r="T127" s="44">
        <f t="shared" si="39"/>
        <v>90000</v>
      </c>
      <c r="U127" s="45">
        <f t="shared" si="40"/>
        <v>102857.14285714286</v>
      </c>
      <c r="V127" s="46">
        <f t="shared" si="41"/>
        <v>0.12499999999999999</v>
      </c>
      <c r="W127" s="45">
        <f t="shared" si="42"/>
        <v>102900</v>
      </c>
      <c r="X127" s="47">
        <f t="shared" si="43"/>
        <v>0.3</v>
      </c>
      <c r="Y127" s="57">
        <v>85575</v>
      </c>
      <c r="Z127" s="58">
        <f>T127-Y127</f>
        <v>4425</v>
      </c>
      <c r="AA127" s="59">
        <f>Z127/Y127</f>
        <v>5.1709027169149865E-2</v>
      </c>
    </row>
    <row r="128" spans="1:27" ht="14.4" hidden="1" customHeight="1">
      <c r="A128" s="35">
        <v>124</v>
      </c>
      <c r="B128" s="36"/>
      <c r="C128" s="75" t="s">
        <v>552</v>
      </c>
      <c r="D128" s="37" t="str">
        <f t="shared" si="30"/>
        <v xml:space="preserve"> 292</v>
      </c>
      <c r="E128" s="38" t="s">
        <v>552</v>
      </c>
      <c r="F128" s="39">
        <f t="shared" si="31"/>
        <v>0</v>
      </c>
      <c r="G128" s="76" t="s">
        <v>335</v>
      </c>
      <c r="H128" s="77" t="s">
        <v>333</v>
      </c>
      <c r="I128" s="77" t="s">
        <v>355</v>
      </c>
      <c r="J128" s="41">
        <f>68000</f>
        <v>68000</v>
      </c>
      <c r="K128" s="42">
        <f t="shared" si="35"/>
        <v>8150</v>
      </c>
      <c r="L128" s="39"/>
      <c r="M128" s="43">
        <f t="shared" si="36"/>
        <v>59850</v>
      </c>
      <c r="N128" s="43">
        <f>2000+5100+600+200+250</f>
        <v>8150</v>
      </c>
      <c r="O128" s="72">
        <f t="shared" si="37"/>
        <v>68000</v>
      </c>
      <c r="P128" s="30"/>
      <c r="Q128" s="40"/>
      <c r="R128" s="44"/>
      <c r="S128" s="44">
        <f t="shared" si="38"/>
        <v>68000</v>
      </c>
      <c r="T128" s="44">
        <f t="shared" si="39"/>
        <v>97142.857142857145</v>
      </c>
      <c r="U128" s="45">
        <f t="shared" si="40"/>
        <v>111020.40816326531</v>
      </c>
      <c r="V128" s="46">
        <f t="shared" si="41"/>
        <v>0.12500000000000003</v>
      </c>
      <c r="W128" s="45">
        <f t="shared" si="42"/>
        <v>111100</v>
      </c>
      <c r="X128" s="47">
        <f t="shared" si="43"/>
        <v>0.3</v>
      </c>
      <c r="Y128" s="57"/>
      <c r="Z128" s="58"/>
      <c r="AA128" s="59"/>
    </row>
    <row r="129" spans="1:27" ht="14.4" hidden="1" customHeight="1">
      <c r="A129" s="35">
        <v>125</v>
      </c>
      <c r="B129" s="36"/>
      <c r="C129" s="75" t="s">
        <v>1344</v>
      </c>
      <c r="D129" s="37" t="str">
        <f t="shared" si="30"/>
        <v xml:space="preserve"> </v>
      </c>
      <c r="E129" s="38" t="s">
        <v>554</v>
      </c>
      <c r="F129" s="39">
        <f t="shared" si="31"/>
        <v>1</v>
      </c>
      <c r="G129" s="76" t="s">
        <v>340</v>
      </c>
      <c r="H129" s="77" t="s">
        <v>326</v>
      </c>
      <c r="I129" s="77" t="s">
        <v>355</v>
      </c>
      <c r="J129" s="41"/>
      <c r="K129" s="42">
        <f t="shared" si="35"/>
        <v>0</v>
      </c>
      <c r="L129" s="39"/>
      <c r="M129" s="43">
        <f t="shared" si="36"/>
        <v>0</v>
      </c>
      <c r="N129" s="43"/>
      <c r="O129" s="72">
        <f t="shared" si="37"/>
        <v>0</v>
      </c>
      <c r="P129" s="30"/>
      <c r="Q129" s="40"/>
      <c r="R129" s="44"/>
      <c r="S129" s="44">
        <f t="shared" si="38"/>
        <v>0</v>
      </c>
      <c r="T129" s="44">
        <f t="shared" si="39"/>
        <v>0</v>
      </c>
      <c r="U129" s="45">
        <f t="shared" si="40"/>
        <v>0</v>
      </c>
      <c r="V129" s="46" t="e">
        <f t="shared" si="41"/>
        <v>#DIV/0!</v>
      </c>
      <c r="W129" s="45">
        <f t="shared" si="42"/>
        <v>0</v>
      </c>
      <c r="X129" s="47" t="e">
        <f t="shared" si="43"/>
        <v>#DIV/0!</v>
      </c>
      <c r="Y129" s="57"/>
      <c r="Z129" s="58"/>
      <c r="AA129" s="59"/>
    </row>
    <row r="130" spans="1:27" ht="14.4" hidden="1" customHeight="1">
      <c r="A130" s="35">
        <v>126</v>
      </c>
      <c r="B130" s="36"/>
      <c r="C130" s="75" t="s">
        <v>101</v>
      </c>
      <c r="D130" s="37" t="str">
        <f t="shared" si="30"/>
        <v xml:space="preserve"> 333</v>
      </c>
      <c r="E130" s="38" t="s">
        <v>101</v>
      </c>
      <c r="F130" s="39">
        <f t="shared" si="31"/>
        <v>0</v>
      </c>
      <c r="G130" s="76" t="s">
        <v>335</v>
      </c>
      <c r="H130" s="77" t="s">
        <v>326</v>
      </c>
      <c r="I130" s="77" t="s">
        <v>37</v>
      </c>
      <c r="J130" s="60">
        <v>66000</v>
      </c>
      <c r="K130" s="42">
        <f t="shared" si="35"/>
        <v>7900</v>
      </c>
      <c r="L130" s="39" t="s">
        <v>22</v>
      </c>
      <c r="M130" s="43">
        <f t="shared" si="36"/>
        <v>58100</v>
      </c>
      <c r="N130" s="43">
        <f>2000+4850+600+200+250</f>
        <v>7900</v>
      </c>
      <c r="O130" s="72">
        <f t="shared" si="37"/>
        <v>66000</v>
      </c>
      <c r="P130" s="30"/>
      <c r="Q130" s="40" t="s">
        <v>70</v>
      </c>
      <c r="R130" s="44"/>
      <c r="S130" s="44">
        <f t="shared" si="38"/>
        <v>66000</v>
      </c>
      <c r="T130" s="44">
        <f t="shared" si="39"/>
        <v>94285.71428571429</v>
      </c>
      <c r="U130" s="45">
        <f t="shared" si="40"/>
        <v>107755.10204081633</v>
      </c>
      <c r="V130" s="46">
        <f t="shared" si="41"/>
        <v>0.125</v>
      </c>
      <c r="W130" s="45">
        <f t="shared" si="42"/>
        <v>107800</v>
      </c>
      <c r="X130" s="47">
        <f t="shared" si="43"/>
        <v>0.30000000000000004</v>
      </c>
      <c r="Y130" s="48"/>
      <c r="Z130" s="48"/>
      <c r="AA130" s="48"/>
    </row>
    <row r="131" spans="1:27" ht="14.4" hidden="1" customHeight="1">
      <c r="A131" s="35">
        <v>127</v>
      </c>
      <c r="B131" s="36"/>
      <c r="C131" s="73" t="s">
        <v>557</v>
      </c>
      <c r="D131" s="37" t="str">
        <f t="shared" si="30"/>
        <v xml:space="preserve"> 563</v>
      </c>
      <c r="E131" s="38" t="s">
        <v>557</v>
      </c>
      <c r="F131" s="39">
        <f t="shared" si="31"/>
        <v>0</v>
      </c>
      <c r="G131" s="76" t="s">
        <v>335</v>
      </c>
      <c r="H131" s="77" t="s">
        <v>326</v>
      </c>
      <c r="I131" s="77" t="s">
        <v>558</v>
      </c>
      <c r="J131" s="41">
        <v>63000</v>
      </c>
      <c r="K131" s="42">
        <f t="shared" si="35"/>
        <v>7900</v>
      </c>
      <c r="L131" s="39" t="s">
        <v>22</v>
      </c>
      <c r="M131" s="43">
        <f t="shared" si="36"/>
        <v>55100</v>
      </c>
      <c r="N131" s="43">
        <f>2000+4850+600+200+250</f>
        <v>7900</v>
      </c>
      <c r="O131" s="72">
        <f t="shared" si="37"/>
        <v>63000</v>
      </c>
      <c r="P131" s="29"/>
      <c r="Q131" s="40" t="s">
        <v>74</v>
      </c>
      <c r="R131" s="44"/>
      <c r="S131" s="44">
        <f t="shared" si="38"/>
        <v>63000</v>
      </c>
      <c r="T131" s="44">
        <f t="shared" si="39"/>
        <v>90000</v>
      </c>
      <c r="U131" s="45">
        <f t="shared" si="40"/>
        <v>102857.14285714286</v>
      </c>
      <c r="V131" s="46">
        <f t="shared" si="41"/>
        <v>0.12499999999999999</v>
      </c>
      <c r="W131" s="45">
        <f t="shared" si="42"/>
        <v>102900</v>
      </c>
      <c r="X131" s="47">
        <f t="shared" si="43"/>
        <v>0.3</v>
      </c>
      <c r="Y131" s="48"/>
      <c r="Z131" s="48"/>
      <c r="AA131" s="48"/>
    </row>
    <row r="132" spans="1:27" ht="14.4" hidden="1" customHeight="1">
      <c r="A132" s="35">
        <v>128</v>
      </c>
      <c r="B132" s="36"/>
      <c r="C132" s="75" t="s">
        <v>560</v>
      </c>
      <c r="D132" s="37" t="str">
        <f t="shared" si="30"/>
        <v xml:space="preserve"> 842</v>
      </c>
      <c r="E132" s="38" t="s">
        <v>560</v>
      </c>
      <c r="F132" s="39">
        <f t="shared" si="31"/>
        <v>0</v>
      </c>
      <c r="G132" s="76" t="s">
        <v>335</v>
      </c>
      <c r="H132" s="77" t="s">
        <v>326</v>
      </c>
      <c r="I132" s="77" t="s">
        <v>355</v>
      </c>
      <c r="J132" s="41">
        <v>69000</v>
      </c>
      <c r="K132" s="42">
        <f t="shared" si="35"/>
        <v>8150</v>
      </c>
      <c r="L132" s="39"/>
      <c r="M132" s="43">
        <f t="shared" si="36"/>
        <v>60850</v>
      </c>
      <c r="N132" s="43">
        <f>2000+5100+600+200+250</f>
        <v>8150</v>
      </c>
      <c r="O132" s="72">
        <f t="shared" si="37"/>
        <v>69000</v>
      </c>
      <c r="P132" s="29"/>
      <c r="Q132" s="40"/>
      <c r="R132" s="44"/>
      <c r="S132" s="44">
        <f t="shared" si="38"/>
        <v>69000</v>
      </c>
      <c r="T132" s="44">
        <f t="shared" si="39"/>
        <v>98571.42857142858</v>
      </c>
      <c r="U132" s="45">
        <f t="shared" si="40"/>
        <v>112653.06122448981</v>
      </c>
      <c r="V132" s="46">
        <f t="shared" si="41"/>
        <v>0.12500000000000003</v>
      </c>
      <c r="W132" s="45">
        <f t="shared" si="42"/>
        <v>112700</v>
      </c>
      <c r="X132" s="47">
        <f t="shared" si="43"/>
        <v>0.30000000000000004</v>
      </c>
      <c r="Y132" s="48"/>
      <c r="Z132" s="48"/>
      <c r="AA132" s="48"/>
    </row>
    <row r="133" spans="1:27" ht="14.4" hidden="1" customHeight="1">
      <c r="A133" s="35">
        <v>129</v>
      </c>
      <c r="B133" s="36"/>
      <c r="C133" s="75" t="s">
        <v>562</v>
      </c>
      <c r="D133" s="37" t="str">
        <f t="shared" ref="D133:D196" si="44">REPLACE(C133,1,3, )</f>
        <v xml:space="preserve"> 226</v>
      </c>
      <c r="E133" s="38" t="s">
        <v>562</v>
      </c>
      <c r="F133" s="39">
        <f t="shared" ref="F133:F196" si="45">IF(C133=E133,0,1)</f>
        <v>0</v>
      </c>
      <c r="G133" s="76" t="s">
        <v>340</v>
      </c>
      <c r="H133" s="77" t="s">
        <v>326</v>
      </c>
      <c r="I133" s="77" t="s">
        <v>39</v>
      </c>
      <c r="J133" s="41"/>
      <c r="K133" s="42">
        <f t="shared" si="35"/>
        <v>0</v>
      </c>
      <c r="L133" s="39"/>
      <c r="M133" s="43">
        <f t="shared" si="36"/>
        <v>0</v>
      </c>
      <c r="N133" s="43"/>
      <c r="O133" s="72">
        <f t="shared" si="37"/>
        <v>0</v>
      </c>
      <c r="P133" s="29"/>
      <c r="Q133" s="40"/>
      <c r="R133" s="44"/>
      <c r="S133" s="44">
        <f t="shared" si="38"/>
        <v>0</v>
      </c>
      <c r="T133" s="44">
        <f t="shared" si="39"/>
        <v>0</v>
      </c>
      <c r="U133" s="45">
        <f t="shared" si="40"/>
        <v>0</v>
      </c>
      <c r="V133" s="46" t="e">
        <f t="shared" si="41"/>
        <v>#DIV/0!</v>
      </c>
      <c r="W133" s="45">
        <f t="shared" si="42"/>
        <v>0</v>
      </c>
      <c r="X133" s="47" t="e">
        <f t="shared" si="43"/>
        <v>#DIV/0!</v>
      </c>
      <c r="Y133" s="57">
        <v>87063</v>
      </c>
      <c r="Z133" s="58">
        <f>T133-Y133</f>
        <v>-87063</v>
      </c>
      <c r="AA133" s="59">
        <f>Z133/Y133</f>
        <v>-1</v>
      </c>
    </row>
    <row r="134" spans="1:27" ht="14.4" hidden="1" customHeight="1">
      <c r="A134" s="35">
        <v>130</v>
      </c>
      <c r="B134" s="36"/>
      <c r="C134" s="75" t="s">
        <v>564</v>
      </c>
      <c r="D134" s="37" t="str">
        <f t="shared" si="44"/>
        <v xml:space="preserve"> 232</v>
      </c>
      <c r="E134" s="38" t="s">
        <v>564</v>
      </c>
      <c r="F134" s="39">
        <f t="shared" si="45"/>
        <v>0</v>
      </c>
      <c r="G134" s="76" t="s">
        <v>340</v>
      </c>
      <c r="H134" s="77" t="s">
        <v>326</v>
      </c>
      <c r="I134" s="77" t="s">
        <v>565</v>
      </c>
      <c r="J134" s="41"/>
      <c r="K134" s="42">
        <f t="shared" si="35"/>
        <v>0</v>
      </c>
      <c r="L134" s="39"/>
      <c r="M134" s="43">
        <f t="shared" si="36"/>
        <v>0</v>
      </c>
      <c r="N134" s="43"/>
      <c r="O134" s="72">
        <f t="shared" si="37"/>
        <v>0</v>
      </c>
      <c r="P134" s="29"/>
      <c r="Q134" s="40"/>
      <c r="R134" s="44"/>
      <c r="S134" s="44">
        <f t="shared" si="38"/>
        <v>0</v>
      </c>
      <c r="T134" s="44">
        <f t="shared" si="39"/>
        <v>0</v>
      </c>
      <c r="U134" s="45">
        <f t="shared" si="40"/>
        <v>0</v>
      </c>
      <c r="V134" s="46" t="e">
        <f t="shared" si="41"/>
        <v>#DIV/0!</v>
      </c>
      <c r="W134" s="45">
        <f t="shared" si="42"/>
        <v>0</v>
      </c>
      <c r="X134" s="47" t="e">
        <f t="shared" si="43"/>
        <v>#DIV/0!</v>
      </c>
      <c r="Y134" s="57">
        <v>72013</v>
      </c>
      <c r="Z134" s="58">
        <f>T134-Y134</f>
        <v>-72013</v>
      </c>
      <c r="AA134" s="59">
        <f>Z134/Y134</f>
        <v>-1</v>
      </c>
    </row>
    <row r="135" spans="1:27" ht="14.4" hidden="1" customHeight="1">
      <c r="A135" s="35">
        <v>131</v>
      </c>
      <c r="B135" s="36"/>
      <c r="C135" s="73" t="s">
        <v>221</v>
      </c>
      <c r="D135" s="37" t="str">
        <f t="shared" si="44"/>
        <v xml:space="preserve"> 493</v>
      </c>
      <c r="E135" s="38" t="s">
        <v>221</v>
      </c>
      <c r="F135" s="39">
        <f t="shared" si="45"/>
        <v>0</v>
      </c>
      <c r="G135" s="76" t="s">
        <v>335</v>
      </c>
      <c r="H135" s="77" t="s">
        <v>326</v>
      </c>
      <c r="I135" s="77" t="s">
        <v>57</v>
      </c>
      <c r="J135" s="41">
        <v>70000</v>
      </c>
      <c r="K135" s="42">
        <f t="shared" si="35"/>
        <v>7900</v>
      </c>
      <c r="L135" s="39" t="s">
        <v>22</v>
      </c>
      <c r="M135" s="43">
        <f t="shared" si="36"/>
        <v>62100</v>
      </c>
      <c r="N135" s="49">
        <f>2000+4850+600+200+250</f>
        <v>7900</v>
      </c>
      <c r="O135" s="72">
        <f t="shared" si="37"/>
        <v>70000</v>
      </c>
      <c r="P135" s="29"/>
      <c r="Q135" s="40" t="s">
        <v>70</v>
      </c>
      <c r="R135" s="44"/>
      <c r="S135" s="44">
        <f t="shared" si="38"/>
        <v>70000</v>
      </c>
      <c r="T135" s="44">
        <f t="shared" si="39"/>
        <v>100000</v>
      </c>
      <c r="U135" s="45">
        <f t="shared" si="40"/>
        <v>114285.71428571429</v>
      </c>
      <c r="V135" s="46">
        <f t="shared" si="41"/>
        <v>0.12500000000000003</v>
      </c>
      <c r="W135" s="45">
        <f t="shared" si="42"/>
        <v>114300</v>
      </c>
      <c r="X135" s="47">
        <f t="shared" si="43"/>
        <v>0.3</v>
      </c>
      <c r="Y135" s="48"/>
      <c r="Z135" s="48"/>
      <c r="AA135" s="48"/>
    </row>
    <row r="136" spans="1:27" ht="14.4" hidden="1" customHeight="1">
      <c r="A136" s="35">
        <v>132</v>
      </c>
      <c r="B136" s="36"/>
      <c r="C136" s="75" t="s">
        <v>99</v>
      </c>
      <c r="D136" s="37" t="str">
        <f t="shared" si="44"/>
        <v xml:space="preserve"> 424</v>
      </c>
      <c r="E136" s="38" t="s">
        <v>99</v>
      </c>
      <c r="F136" s="39">
        <f t="shared" si="45"/>
        <v>0</v>
      </c>
      <c r="G136" s="76" t="s">
        <v>340</v>
      </c>
      <c r="H136" s="77" t="s">
        <v>326</v>
      </c>
      <c r="I136" s="77" t="s">
        <v>37</v>
      </c>
      <c r="J136" s="41">
        <v>63000</v>
      </c>
      <c r="K136" s="42">
        <f t="shared" si="35"/>
        <v>8150</v>
      </c>
      <c r="L136" s="39" t="s">
        <v>22</v>
      </c>
      <c r="M136" s="43">
        <f t="shared" si="36"/>
        <v>54850</v>
      </c>
      <c r="N136" s="43">
        <f>2000+5100+600+200+250</f>
        <v>8150</v>
      </c>
      <c r="O136" s="72">
        <f t="shared" si="37"/>
        <v>63000</v>
      </c>
      <c r="P136" s="29"/>
      <c r="Q136" s="40" t="s">
        <v>69</v>
      </c>
      <c r="R136" s="44"/>
      <c r="S136" s="44">
        <f t="shared" si="38"/>
        <v>63000</v>
      </c>
      <c r="T136" s="44">
        <f t="shared" si="39"/>
        <v>90000</v>
      </c>
      <c r="U136" s="45">
        <f t="shared" si="40"/>
        <v>102857.14285714286</v>
      </c>
      <c r="V136" s="46">
        <f t="shared" si="41"/>
        <v>0.12499999999999999</v>
      </c>
      <c r="W136" s="45">
        <f t="shared" si="42"/>
        <v>102900</v>
      </c>
      <c r="X136" s="47">
        <f t="shared" si="43"/>
        <v>0.3</v>
      </c>
      <c r="Y136" s="57">
        <v>87063</v>
      </c>
      <c r="Z136" s="58">
        <f>T136-Y136</f>
        <v>2937</v>
      </c>
      <c r="AA136" s="59">
        <f>Z136/Y136</f>
        <v>3.3734192481306637E-2</v>
      </c>
    </row>
    <row r="137" spans="1:27" ht="14.4" hidden="1" customHeight="1">
      <c r="A137" s="35">
        <v>133</v>
      </c>
      <c r="B137" s="36"/>
      <c r="C137" s="73" t="s">
        <v>1296</v>
      </c>
      <c r="D137" s="37" t="str">
        <f t="shared" si="44"/>
        <v xml:space="preserve"> 103</v>
      </c>
      <c r="E137" s="38" t="s">
        <v>1296</v>
      </c>
      <c r="F137" s="39">
        <f t="shared" si="45"/>
        <v>0</v>
      </c>
      <c r="G137" s="76" t="s">
        <v>335</v>
      </c>
      <c r="H137" s="77" t="s">
        <v>333</v>
      </c>
      <c r="I137" s="77" t="s">
        <v>66</v>
      </c>
      <c r="J137" s="41">
        <v>63000</v>
      </c>
      <c r="K137" s="42">
        <f t="shared" si="35"/>
        <v>7900</v>
      </c>
      <c r="L137" s="39" t="s">
        <v>22</v>
      </c>
      <c r="M137" s="43">
        <f t="shared" si="36"/>
        <v>55100</v>
      </c>
      <c r="N137" s="49">
        <f>2000+4850+600+200+250</f>
        <v>7900</v>
      </c>
      <c r="O137" s="72">
        <f t="shared" si="37"/>
        <v>63000</v>
      </c>
      <c r="P137" s="29"/>
      <c r="Q137" s="40" t="s">
        <v>70</v>
      </c>
      <c r="R137" s="44"/>
      <c r="S137" s="44">
        <f t="shared" si="38"/>
        <v>63000</v>
      </c>
      <c r="T137" s="44">
        <f t="shared" si="39"/>
        <v>90000</v>
      </c>
      <c r="U137" s="45">
        <f t="shared" si="40"/>
        <v>102857.14285714286</v>
      </c>
      <c r="V137" s="46">
        <f t="shared" si="41"/>
        <v>0.12499999999999999</v>
      </c>
      <c r="W137" s="45">
        <f t="shared" si="42"/>
        <v>102900</v>
      </c>
      <c r="X137" s="47">
        <f t="shared" si="43"/>
        <v>0.3</v>
      </c>
      <c r="Y137" s="48"/>
      <c r="Z137" s="48"/>
      <c r="AA137" s="50"/>
    </row>
    <row r="138" spans="1:27" ht="14.4" hidden="1" customHeight="1">
      <c r="A138" s="35">
        <v>134</v>
      </c>
      <c r="B138" s="36"/>
      <c r="C138" s="73" t="s">
        <v>196</v>
      </c>
      <c r="D138" s="37" t="str">
        <f t="shared" si="44"/>
        <v xml:space="preserve"> 561</v>
      </c>
      <c r="E138" s="38" t="s">
        <v>196</v>
      </c>
      <c r="F138" s="39">
        <f t="shared" si="45"/>
        <v>0</v>
      </c>
      <c r="G138" s="76" t="s">
        <v>340</v>
      </c>
      <c r="H138" s="77" t="s">
        <v>326</v>
      </c>
      <c r="I138" s="77" t="s">
        <v>38</v>
      </c>
      <c r="J138" s="41">
        <v>49000</v>
      </c>
      <c r="K138" s="42">
        <f t="shared" si="35"/>
        <v>7900</v>
      </c>
      <c r="L138" s="39" t="s">
        <v>22</v>
      </c>
      <c r="M138" s="43">
        <f t="shared" si="36"/>
        <v>41100</v>
      </c>
      <c r="N138" s="43">
        <f>2000+4850+600+200+250</f>
        <v>7900</v>
      </c>
      <c r="O138" s="72">
        <f t="shared" si="37"/>
        <v>49000</v>
      </c>
      <c r="P138" s="30"/>
      <c r="Q138" s="40" t="s">
        <v>70</v>
      </c>
      <c r="R138" s="44"/>
      <c r="S138" s="44">
        <f t="shared" si="38"/>
        <v>49000</v>
      </c>
      <c r="T138" s="44">
        <f t="shared" si="39"/>
        <v>70000</v>
      </c>
      <c r="U138" s="45">
        <f t="shared" si="40"/>
        <v>80000</v>
      </c>
      <c r="V138" s="46">
        <f t="shared" si="41"/>
        <v>0.125</v>
      </c>
      <c r="W138" s="45">
        <f t="shared" si="42"/>
        <v>80000</v>
      </c>
      <c r="X138" s="47">
        <f t="shared" si="43"/>
        <v>0.3</v>
      </c>
      <c r="Y138" s="57">
        <v>68075</v>
      </c>
      <c r="Z138" s="58">
        <f>T138-Y138</f>
        <v>1925</v>
      </c>
      <c r="AA138" s="59">
        <f>Z138/Y138</f>
        <v>2.8277634961439587E-2</v>
      </c>
    </row>
    <row r="139" spans="1:27" ht="14.4" hidden="1" customHeight="1">
      <c r="A139" s="35">
        <v>135</v>
      </c>
      <c r="B139" s="36"/>
      <c r="C139" s="73" t="s">
        <v>276</v>
      </c>
      <c r="D139" s="37" t="str">
        <f t="shared" si="44"/>
        <v xml:space="preserve"> 902</v>
      </c>
      <c r="E139" s="38" t="s">
        <v>276</v>
      </c>
      <c r="F139" s="39">
        <f t="shared" si="45"/>
        <v>0</v>
      </c>
      <c r="G139" s="76" t="s">
        <v>335</v>
      </c>
      <c r="H139" s="77" t="s">
        <v>326</v>
      </c>
      <c r="I139" s="77" t="s">
        <v>295</v>
      </c>
      <c r="J139" s="41">
        <v>62500</v>
      </c>
      <c r="K139" s="42">
        <f t="shared" si="35"/>
        <v>7900</v>
      </c>
      <c r="L139" s="39" t="s">
        <v>22</v>
      </c>
      <c r="M139" s="43">
        <f t="shared" si="36"/>
        <v>54600</v>
      </c>
      <c r="N139" s="43">
        <f>2000+4850+600+200+250</f>
        <v>7900</v>
      </c>
      <c r="O139" s="72">
        <f t="shared" si="37"/>
        <v>62500</v>
      </c>
      <c r="P139" s="29"/>
      <c r="Q139" s="40" t="s">
        <v>70</v>
      </c>
      <c r="R139" s="53"/>
      <c r="S139" s="44">
        <f t="shared" si="38"/>
        <v>62500</v>
      </c>
      <c r="T139" s="44">
        <f t="shared" si="39"/>
        <v>89285.71428571429</v>
      </c>
      <c r="U139" s="45">
        <f t="shared" si="40"/>
        <v>102040.81632653062</v>
      </c>
      <c r="V139" s="46">
        <f t="shared" si="41"/>
        <v>0.12500000000000003</v>
      </c>
      <c r="W139" s="45">
        <f t="shared" si="42"/>
        <v>102100</v>
      </c>
      <c r="X139" s="47">
        <f t="shared" si="43"/>
        <v>0.30000000000000004</v>
      </c>
      <c r="Y139" s="54"/>
      <c r="Z139" s="54"/>
      <c r="AA139" s="55"/>
    </row>
    <row r="140" spans="1:27" ht="14.4" hidden="1" customHeight="1">
      <c r="A140" s="35">
        <v>136</v>
      </c>
      <c r="B140" s="36"/>
      <c r="C140" s="73" t="s">
        <v>95</v>
      </c>
      <c r="D140" s="37" t="str">
        <f t="shared" si="44"/>
        <v xml:space="preserve"> 374</v>
      </c>
      <c r="E140" s="38" t="s">
        <v>95</v>
      </c>
      <c r="F140" s="39">
        <f t="shared" si="45"/>
        <v>0</v>
      </c>
      <c r="G140" s="76" t="s">
        <v>335</v>
      </c>
      <c r="H140" s="77" t="s">
        <v>325</v>
      </c>
      <c r="I140" s="77" t="s">
        <v>46</v>
      </c>
      <c r="J140" s="41">
        <v>80000</v>
      </c>
      <c r="K140" s="42">
        <f t="shared" si="35"/>
        <v>8250</v>
      </c>
      <c r="L140" s="39" t="s">
        <v>22</v>
      </c>
      <c r="M140" s="43">
        <f t="shared" si="36"/>
        <v>71750</v>
      </c>
      <c r="N140" s="43">
        <f>2000+5200+600+200+250</f>
        <v>8250</v>
      </c>
      <c r="O140" s="72">
        <f t="shared" si="37"/>
        <v>80000</v>
      </c>
      <c r="P140" s="29"/>
      <c r="Q140" s="40" t="s">
        <v>71</v>
      </c>
      <c r="R140" s="44"/>
      <c r="S140" s="44">
        <f t="shared" si="38"/>
        <v>80000</v>
      </c>
      <c r="T140" s="44">
        <f t="shared" si="39"/>
        <v>114285.71428571429</v>
      </c>
      <c r="U140" s="45">
        <f t="shared" si="40"/>
        <v>130612.24489795919</v>
      </c>
      <c r="V140" s="46">
        <f t="shared" si="41"/>
        <v>0.12499999999999999</v>
      </c>
      <c r="W140" s="45">
        <f t="shared" si="42"/>
        <v>130700</v>
      </c>
      <c r="X140" s="47">
        <f t="shared" si="43"/>
        <v>0.30000000000000004</v>
      </c>
      <c r="Y140" s="48"/>
      <c r="Z140" s="48"/>
      <c r="AA140" s="48"/>
    </row>
    <row r="141" spans="1:27" ht="14.4" hidden="1" customHeight="1">
      <c r="A141" s="35">
        <v>137</v>
      </c>
      <c r="B141" s="36"/>
      <c r="C141" s="73" t="s">
        <v>288</v>
      </c>
      <c r="D141" s="37" t="str">
        <f t="shared" si="44"/>
        <v xml:space="preserve"> 162</v>
      </c>
      <c r="E141" s="38" t="s">
        <v>288</v>
      </c>
      <c r="F141" s="39">
        <f t="shared" si="45"/>
        <v>0</v>
      </c>
      <c r="G141" s="76" t="s">
        <v>340</v>
      </c>
      <c r="H141" s="77" t="s">
        <v>574</v>
      </c>
      <c r="I141" s="77" t="s">
        <v>298</v>
      </c>
      <c r="J141" s="41">
        <v>77500</v>
      </c>
      <c r="K141" s="42">
        <f t="shared" si="35"/>
        <v>8250</v>
      </c>
      <c r="L141" s="39" t="s">
        <v>22</v>
      </c>
      <c r="M141" s="43">
        <f t="shared" si="36"/>
        <v>69250</v>
      </c>
      <c r="N141" s="43">
        <f>5200+600+200+250+2000</f>
        <v>8250</v>
      </c>
      <c r="O141" s="72">
        <f t="shared" si="37"/>
        <v>77500</v>
      </c>
      <c r="P141" s="29"/>
      <c r="Q141" s="40" t="s">
        <v>71</v>
      </c>
      <c r="R141" s="53"/>
      <c r="S141" s="44">
        <f t="shared" si="38"/>
        <v>77500</v>
      </c>
      <c r="T141" s="44">
        <f t="shared" si="39"/>
        <v>110714.28571428572</v>
      </c>
      <c r="U141" s="45">
        <f t="shared" si="40"/>
        <v>126530.61224489797</v>
      </c>
      <c r="V141" s="46">
        <f t="shared" si="41"/>
        <v>0.12500000000000003</v>
      </c>
      <c r="W141" s="45">
        <f t="shared" si="42"/>
        <v>126600</v>
      </c>
      <c r="X141" s="47">
        <f t="shared" si="43"/>
        <v>0.30000000000000004</v>
      </c>
      <c r="Y141" s="57">
        <v>110075</v>
      </c>
      <c r="Z141" s="58">
        <f>T141-Y141</f>
        <v>639.28571428572468</v>
      </c>
      <c r="AA141" s="59">
        <f>Z141/Y141</f>
        <v>5.8077284968042217E-3</v>
      </c>
    </row>
    <row r="142" spans="1:27" ht="14.4" hidden="1" customHeight="1">
      <c r="A142" s="35">
        <v>138</v>
      </c>
      <c r="B142" s="36"/>
      <c r="C142" s="75" t="s">
        <v>576</v>
      </c>
      <c r="D142" s="37" t="str">
        <f t="shared" si="44"/>
        <v xml:space="preserve"> 673</v>
      </c>
      <c r="E142" s="38" t="s">
        <v>576</v>
      </c>
      <c r="F142" s="39">
        <f t="shared" si="45"/>
        <v>0</v>
      </c>
      <c r="G142" s="76" t="s">
        <v>335</v>
      </c>
      <c r="H142" s="77" t="s">
        <v>577</v>
      </c>
      <c r="I142" s="77" t="s">
        <v>578</v>
      </c>
      <c r="J142" s="41">
        <v>82000</v>
      </c>
      <c r="K142" s="42">
        <f t="shared" si="35"/>
        <v>8250</v>
      </c>
      <c r="L142" s="39" t="s">
        <v>22</v>
      </c>
      <c r="M142" s="43">
        <f t="shared" si="36"/>
        <v>73750</v>
      </c>
      <c r="N142" s="43">
        <f>2000+5200+600+200+250</f>
        <v>8250</v>
      </c>
      <c r="O142" s="72">
        <f t="shared" si="37"/>
        <v>82000</v>
      </c>
      <c r="P142" s="29"/>
      <c r="Q142" s="40" t="s">
        <v>1340</v>
      </c>
      <c r="R142" s="53"/>
      <c r="S142" s="44">
        <f t="shared" si="38"/>
        <v>82000</v>
      </c>
      <c r="T142" s="44">
        <f t="shared" si="39"/>
        <v>117142.85714285714</v>
      </c>
      <c r="U142" s="45">
        <f t="shared" si="40"/>
        <v>133877.55102040817</v>
      </c>
      <c r="V142" s="46">
        <f t="shared" si="41"/>
        <v>0.125</v>
      </c>
      <c r="W142" s="45">
        <f t="shared" si="42"/>
        <v>133900</v>
      </c>
      <c r="X142" s="47">
        <f t="shared" si="43"/>
        <v>0.3</v>
      </c>
      <c r="Y142" s="54"/>
      <c r="Z142" s="54"/>
      <c r="AA142" s="55"/>
    </row>
    <row r="143" spans="1:27" ht="14.4" hidden="1" customHeight="1">
      <c r="A143" s="35">
        <v>139</v>
      </c>
      <c r="B143" s="36"/>
      <c r="C143" s="73" t="s">
        <v>94</v>
      </c>
      <c r="D143" s="37" t="str">
        <f t="shared" si="44"/>
        <v xml:space="preserve"> 616</v>
      </c>
      <c r="E143" s="38" t="s">
        <v>94</v>
      </c>
      <c r="F143" s="39">
        <f t="shared" si="45"/>
        <v>0</v>
      </c>
      <c r="G143" s="76" t="s">
        <v>335</v>
      </c>
      <c r="H143" s="77" t="s">
        <v>325</v>
      </c>
      <c r="I143" s="77" t="s">
        <v>46</v>
      </c>
      <c r="J143" s="41">
        <v>80000</v>
      </c>
      <c r="K143" s="42">
        <f t="shared" si="35"/>
        <v>8250</v>
      </c>
      <c r="L143" s="39" t="s">
        <v>22</v>
      </c>
      <c r="M143" s="43">
        <f t="shared" si="36"/>
        <v>71750</v>
      </c>
      <c r="N143" s="43">
        <f>2000+5200+600+200+250</f>
        <v>8250</v>
      </c>
      <c r="O143" s="72">
        <f t="shared" si="37"/>
        <v>80000</v>
      </c>
      <c r="P143" s="29"/>
      <c r="Q143" s="40" t="s">
        <v>71</v>
      </c>
      <c r="R143" s="44"/>
      <c r="S143" s="44">
        <f t="shared" si="38"/>
        <v>80000</v>
      </c>
      <c r="T143" s="44">
        <f t="shared" si="39"/>
        <v>114285.71428571429</v>
      </c>
      <c r="U143" s="45">
        <f t="shared" si="40"/>
        <v>130612.24489795919</v>
      </c>
      <c r="V143" s="46">
        <f t="shared" si="41"/>
        <v>0.12499999999999999</v>
      </c>
      <c r="W143" s="45">
        <f t="shared" si="42"/>
        <v>130700</v>
      </c>
      <c r="X143" s="47">
        <f t="shared" si="43"/>
        <v>0.30000000000000004</v>
      </c>
      <c r="Y143" s="48"/>
      <c r="Z143" s="48"/>
      <c r="AA143" s="48"/>
    </row>
    <row r="144" spans="1:27" ht="14.4" hidden="1" customHeight="1">
      <c r="A144" s="35">
        <v>140</v>
      </c>
      <c r="B144" s="36"/>
      <c r="C144" s="73" t="s">
        <v>227</v>
      </c>
      <c r="D144" s="37" t="str">
        <f t="shared" si="44"/>
        <v xml:space="preserve"> 757</v>
      </c>
      <c r="E144" s="38" t="s">
        <v>227</v>
      </c>
      <c r="F144" s="39">
        <f t="shared" si="45"/>
        <v>0</v>
      </c>
      <c r="G144" s="76" t="s">
        <v>340</v>
      </c>
      <c r="H144" s="77" t="s">
        <v>574</v>
      </c>
      <c r="I144" s="77" t="s">
        <v>55</v>
      </c>
      <c r="J144" s="41">
        <v>82000</v>
      </c>
      <c r="K144" s="42">
        <f t="shared" si="35"/>
        <v>8750</v>
      </c>
      <c r="L144" s="39" t="s">
        <v>22</v>
      </c>
      <c r="M144" s="43">
        <f t="shared" si="36"/>
        <v>73250</v>
      </c>
      <c r="N144" s="49">
        <f>5200+2000+600+200+250+500</f>
        <v>8750</v>
      </c>
      <c r="O144" s="72">
        <f t="shared" si="37"/>
        <v>82000</v>
      </c>
      <c r="P144" s="29"/>
      <c r="Q144" s="40" t="s">
        <v>83</v>
      </c>
      <c r="R144" s="44"/>
      <c r="S144" s="44">
        <f t="shared" si="38"/>
        <v>82000</v>
      </c>
      <c r="T144" s="44">
        <f t="shared" si="39"/>
        <v>117142.85714285714</v>
      </c>
      <c r="U144" s="45">
        <f t="shared" si="40"/>
        <v>133877.55102040817</v>
      </c>
      <c r="V144" s="46">
        <f t="shared" si="41"/>
        <v>0.125</v>
      </c>
      <c r="W144" s="45">
        <f t="shared" si="42"/>
        <v>133900</v>
      </c>
      <c r="X144" s="47">
        <f t="shared" si="43"/>
        <v>0.3</v>
      </c>
      <c r="Y144" s="57">
        <v>115063</v>
      </c>
      <c r="Z144" s="58">
        <f>T144-Y144</f>
        <v>2079.8571428571449</v>
      </c>
      <c r="AA144" s="59">
        <f>Z144/Y144</f>
        <v>1.80758118844211E-2</v>
      </c>
    </row>
    <row r="145" spans="1:27" ht="14.4" hidden="1" customHeight="1">
      <c r="A145" s="35">
        <v>141</v>
      </c>
      <c r="B145" s="36"/>
      <c r="C145" s="73" t="s">
        <v>238</v>
      </c>
      <c r="D145" s="37" t="str">
        <f t="shared" si="44"/>
        <v xml:space="preserve"> 352</v>
      </c>
      <c r="E145" s="38" t="s">
        <v>238</v>
      </c>
      <c r="F145" s="39">
        <f t="shared" si="45"/>
        <v>0</v>
      </c>
      <c r="G145" s="76" t="s">
        <v>335</v>
      </c>
      <c r="H145" s="77" t="s">
        <v>577</v>
      </c>
      <c r="I145" s="77" t="s">
        <v>59</v>
      </c>
      <c r="J145" s="41">
        <v>98000</v>
      </c>
      <c r="K145" s="42">
        <f t="shared" si="35"/>
        <v>8550</v>
      </c>
      <c r="L145" s="39" t="s">
        <v>22</v>
      </c>
      <c r="M145" s="43">
        <f t="shared" si="36"/>
        <v>89450</v>
      </c>
      <c r="N145" s="49">
        <f>2000+5500+600+200+250</f>
        <v>8550</v>
      </c>
      <c r="O145" s="72">
        <f t="shared" si="37"/>
        <v>98000</v>
      </c>
      <c r="P145" s="29"/>
      <c r="Q145" s="40" t="s">
        <v>74</v>
      </c>
      <c r="R145" s="44"/>
      <c r="S145" s="44">
        <f t="shared" si="38"/>
        <v>98000</v>
      </c>
      <c r="T145" s="44">
        <f t="shared" si="39"/>
        <v>140000</v>
      </c>
      <c r="U145" s="45">
        <f t="shared" si="40"/>
        <v>160000</v>
      </c>
      <c r="V145" s="46">
        <f t="shared" si="41"/>
        <v>0.125</v>
      </c>
      <c r="W145" s="45">
        <f t="shared" si="42"/>
        <v>160000</v>
      </c>
      <c r="X145" s="47">
        <f t="shared" si="43"/>
        <v>0.3</v>
      </c>
      <c r="Y145" s="48"/>
      <c r="Z145" s="48"/>
      <c r="AA145" s="48"/>
    </row>
    <row r="146" spans="1:27" ht="14.4" hidden="1" customHeight="1">
      <c r="A146" s="35">
        <v>142</v>
      </c>
      <c r="B146" s="36"/>
      <c r="C146" s="75" t="s">
        <v>583</v>
      </c>
      <c r="D146" s="37" t="str">
        <f t="shared" si="44"/>
        <v xml:space="preserve"> 362</v>
      </c>
      <c r="E146" s="38" t="s">
        <v>583</v>
      </c>
      <c r="F146" s="39">
        <f t="shared" si="45"/>
        <v>0</v>
      </c>
      <c r="G146" s="76" t="s">
        <v>340</v>
      </c>
      <c r="H146" s="77" t="s">
        <v>574</v>
      </c>
      <c r="I146" s="77" t="s">
        <v>584</v>
      </c>
      <c r="J146" s="41">
        <v>83000</v>
      </c>
      <c r="K146" s="42">
        <f t="shared" si="35"/>
        <v>8250</v>
      </c>
      <c r="L146" s="39" t="s">
        <v>22</v>
      </c>
      <c r="M146" s="43">
        <f t="shared" si="36"/>
        <v>74750</v>
      </c>
      <c r="N146" s="49">
        <f>2000+5200+600+200+250</f>
        <v>8250</v>
      </c>
      <c r="O146" s="72">
        <f t="shared" si="37"/>
        <v>83000</v>
      </c>
      <c r="P146" s="29"/>
      <c r="Q146" s="40" t="s">
        <v>1340</v>
      </c>
      <c r="R146" s="44"/>
      <c r="S146" s="44">
        <f t="shared" si="38"/>
        <v>83000</v>
      </c>
      <c r="T146" s="44">
        <f t="shared" si="39"/>
        <v>118571.42857142858</v>
      </c>
      <c r="U146" s="45">
        <f t="shared" si="40"/>
        <v>135510.20408163266</v>
      </c>
      <c r="V146" s="46">
        <f t="shared" si="41"/>
        <v>0.125</v>
      </c>
      <c r="W146" s="45">
        <f t="shared" si="42"/>
        <v>135600</v>
      </c>
      <c r="X146" s="47">
        <f t="shared" si="43"/>
        <v>0.30000000000000004</v>
      </c>
      <c r="Y146" s="57">
        <v>113050</v>
      </c>
      <c r="Z146" s="58">
        <f>T146-Y146</f>
        <v>5521.4285714285797</v>
      </c>
      <c r="AA146" s="59">
        <f>Z146/Y146</f>
        <v>4.8840588867125868E-2</v>
      </c>
    </row>
    <row r="147" spans="1:27" ht="14.4" hidden="1" customHeight="1">
      <c r="A147" s="35">
        <v>143</v>
      </c>
      <c r="B147" s="36"/>
      <c r="C147" s="73" t="s">
        <v>266</v>
      </c>
      <c r="D147" s="37" t="str">
        <f t="shared" si="44"/>
        <v xml:space="preserve"> 206</v>
      </c>
      <c r="E147" s="38" t="s">
        <v>266</v>
      </c>
      <c r="F147" s="39">
        <f t="shared" si="45"/>
        <v>0</v>
      </c>
      <c r="G147" s="76" t="s">
        <v>335</v>
      </c>
      <c r="H147" s="77" t="s">
        <v>574</v>
      </c>
      <c r="I147" s="77" t="s">
        <v>292</v>
      </c>
      <c r="J147" s="41">
        <v>123500</v>
      </c>
      <c r="K147" s="42">
        <f t="shared" si="35"/>
        <v>9550</v>
      </c>
      <c r="L147" s="39" t="s">
        <v>22</v>
      </c>
      <c r="M147" s="43">
        <f t="shared" si="36"/>
        <v>113950</v>
      </c>
      <c r="N147" s="43">
        <f>2000+5500+600+200+250+1000</f>
        <v>9550</v>
      </c>
      <c r="O147" s="72">
        <f t="shared" si="37"/>
        <v>123500</v>
      </c>
      <c r="P147" s="29"/>
      <c r="Q147" s="40" t="s">
        <v>85</v>
      </c>
      <c r="R147" s="53"/>
      <c r="S147" s="44">
        <f t="shared" si="38"/>
        <v>123500</v>
      </c>
      <c r="T147" s="44">
        <f t="shared" si="39"/>
        <v>176428.57142857145</v>
      </c>
      <c r="U147" s="45">
        <f t="shared" si="40"/>
        <v>201632.65306122453</v>
      </c>
      <c r="V147" s="46">
        <f t="shared" si="41"/>
        <v>0.12500000000000006</v>
      </c>
      <c r="W147" s="45">
        <f t="shared" si="42"/>
        <v>201700</v>
      </c>
      <c r="X147" s="47">
        <f t="shared" si="43"/>
        <v>0.3000000000000001</v>
      </c>
      <c r="Y147" s="54"/>
      <c r="Z147" s="54"/>
      <c r="AA147" s="55"/>
    </row>
    <row r="148" spans="1:27" ht="14.4" hidden="1" customHeight="1">
      <c r="A148" s="35">
        <v>144</v>
      </c>
      <c r="B148" s="36"/>
      <c r="C148" s="75" t="s">
        <v>1351</v>
      </c>
      <c r="D148" s="37" t="str">
        <f t="shared" si="44"/>
        <v xml:space="preserve"> 240</v>
      </c>
      <c r="E148" s="38" t="s">
        <v>1351</v>
      </c>
      <c r="F148" s="39">
        <f t="shared" si="45"/>
        <v>0</v>
      </c>
      <c r="G148" s="76" t="s">
        <v>340</v>
      </c>
      <c r="H148" s="77" t="s">
        <v>574</v>
      </c>
      <c r="I148" s="77" t="s">
        <v>588</v>
      </c>
      <c r="J148" s="41"/>
      <c r="K148" s="42">
        <f t="shared" si="35"/>
        <v>0</v>
      </c>
      <c r="L148" s="39"/>
      <c r="M148" s="43">
        <f t="shared" si="36"/>
        <v>0</v>
      </c>
      <c r="N148" s="43"/>
      <c r="O148" s="72">
        <f t="shared" si="37"/>
        <v>0</v>
      </c>
      <c r="P148" s="29"/>
      <c r="Q148" s="40"/>
      <c r="R148" s="53"/>
      <c r="S148" s="44">
        <f t="shared" si="38"/>
        <v>0</v>
      </c>
      <c r="T148" s="44">
        <f t="shared" si="39"/>
        <v>0</v>
      </c>
      <c r="U148" s="45">
        <f t="shared" si="40"/>
        <v>0</v>
      </c>
      <c r="V148" s="46" t="e">
        <f t="shared" si="41"/>
        <v>#DIV/0!</v>
      </c>
      <c r="W148" s="45">
        <f t="shared" si="42"/>
        <v>0</v>
      </c>
      <c r="X148" s="47" t="e">
        <f t="shared" si="43"/>
        <v>#DIV/0!</v>
      </c>
      <c r="Y148" s="57">
        <v>112240</v>
      </c>
      <c r="Z148" s="58">
        <f>T148-Y148</f>
        <v>-112240</v>
      </c>
      <c r="AA148" s="59">
        <f>Z148/Y148</f>
        <v>-1</v>
      </c>
    </row>
    <row r="149" spans="1:27" ht="14.4" hidden="1" customHeight="1">
      <c r="A149" s="35">
        <v>145</v>
      </c>
      <c r="B149" s="36"/>
      <c r="C149" s="73" t="s">
        <v>237</v>
      </c>
      <c r="D149" s="37" t="str">
        <f t="shared" si="44"/>
        <v xml:space="preserve"> 583</v>
      </c>
      <c r="E149" s="38" t="s">
        <v>237</v>
      </c>
      <c r="F149" s="39">
        <f t="shared" si="45"/>
        <v>0</v>
      </c>
      <c r="G149" s="76" t="s">
        <v>335</v>
      </c>
      <c r="H149" s="77" t="s">
        <v>577</v>
      </c>
      <c r="I149" s="77" t="s">
        <v>59</v>
      </c>
      <c r="J149" s="41">
        <v>86000</v>
      </c>
      <c r="K149" s="42">
        <f t="shared" si="35"/>
        <v>8550</v>
      </c>
      <c r="L149" s="39" t="s">
        <v>22</v>
      </c>
      <c r="M149" s="43">
        <f t="shared" si="36"/>
        <v>77450</v>
      </c>
      <c r="N149" s="49">
        <f>2000+5500+600+200+250</f>
        <v>8550</v>
      </c>
      <c r="O149" s="72">
        <f t="shared" si="37"/>
        <v>86000</v>
      </c>
      <c r="P149" s="29"/>
      <c r="Q149" s="40" t="s">
        <v>74</v>
      </c>
      <c r="R149" s="44"/>
      <c r="S149" s="44">
        <f t="shared" si="38"/>
        <v>86000</v>
      </c>
      <c r="T149" s="44">
        <f t="shared" si="39"/>
        <v>122857.14285714287</v>
      </c>
      <c r="U149" s="45">
        <f t="shared" si="40"/>
        <v>140408.16326530612</v>
      </c>
      <c r="V149" s="46">
        <f t="shared" si="41"/>
        <v>0.12499999999999992</v>
      </c>
      <c r="W149" s="45">
        <f t="shared" si="42"/>
        <v>140500</v>
      </c>
      <c r="X149" s="47">
        <f t="shared" si="43"/>
        <v>0.30000000000000004</v>
      </c>
      <c r="Y149" s="48"/>
      <c r="Z149" s="48"/>
      <c r="AA149" s="50"/>
    </row>
    <row r="150" spans="1:27" ht="14.4" hidden="1" customHeight="1">
      <c r="A150" s="35">
        <v>146</v>
      </c>
      <c r="B150" s="36"/>
      <c r="C150" s="75" t="s">
        <v>591</v>
      </c>
      <c r="D150" s="37" t="str">
        <f t="shared" si="44"/>
        <v xml:space="preserve"> 545</v>
      </c>
      <c r="E150" s="38" t="s">
        <v>591</v>
      </c>
      <c r="F150" s="39">
        <f t="shared" si="45"/>
        <v>0</v>
      </c>
      <c r="G150" s="76" t="s">
        <v>340</v>
      </c>
      <c r="H150" s="77" t="s">
        <v>574</v>
      </c>
      <c r="I150" s="77" t="s">
        <v>377</v>
      </c>
      <c r="J150" s="41">
        <v>105000</v>
      </c>
      <c r="K150" s="42">
        <f t="shared" si="35"/>
        <v>8250</v>
      </c>
      <c r="L150" s="39" t="s">
        <v>22</v>
      </c>
      <c r="M150" s="43">
        <f t="shared" si="36"/>
        <v>96750</v>
      </c>
      <c r="N150" s="49">
        <f>5200+600+200+250+2000</f>
        <v>8250</v>
      </c>
      <c r="O150" s="72">
        <f t="shared" si="37"/>
        <v>105000</v>
      </c>
      <c r="P150" s="29"/>
      <c r="Q150" s="40" t="s">
        <v>1340</v>
      </c>
      <c r="R150" s="44"/>
      <c r="S150" s="44">
        <f t="shared" si="38"/>
        <v>105000</v>
      </c>
      <c r="T150" s="44">
        <f t="shared" si="39"/>
        <v>150000</v>
      </c>
      <c r="U150" s="45">
        <f t="shared" si="40"/>
        <v>171428.57142857142</v>
      </c>
      <c r="V150" s="46">
        <f t="shared" si="41"/>
        <v>0.12499999999999996</v>
      </c>
      <c r="W150" s="45">
        <f t="shared" si="42"/>
        <v>171500</v>
      </c>
      <c r="X150" s="47">
        <f t="shared" si="43"/>
        <v>0.3</v>
      </c>
      <c r="Y150" s="57">
        <v>149013</v>
      </c>
      <c r="Z150" s="58">
        <f>T150-Y150</f>
        <v>987</v>
      </c>
      <c r="AA150" s="59">
        <f>Z150/Y150</f>
        <v>6.6235831773066777E-3</v>
      </c>
    </row>
    <row r="151" spans="1:27" ht="14.4" hidden="1" customHeight="1">
      <c r="A151" s="35">
        <v>147</v>
      </c>
      <c r="B151" s="36"/>
      <c r="C151" s="73" t="s">
        <v>236</v>
      </c>
      <c r="D151" s="37" t="str">
        <f t="shared" si="44"/>
        <v xml:space="preserve"> 523</v>
      </c>
      <c r="E151" s="38" t="s">
        <v>236</v>
      </c>
      <c r="F151" s="39">
        <f t="shared" si="45"/>
        <v>0</v>
      </c>
      <c r="G151" s="76" t="s">
        <v>335</v>
      </c>
      <c r="H151" s="77" t="s">
        <v>577</v>
      </c>
      <c r="I151" s="77" t="s">
        <v>59</v>
      </c>
      <c r="J151" s="41">
        <v>98000</v>
      </c>
      <c r="K151" s="42">
        <f t="shared" si="35"/>
        <v>8550</v>
      </c>
      <c r="L151" s="39" t="s">
        <v>22</v>
      </c>
      <c r="M151" s="43">
        <f t="shared" si="36"/>
        <v>89450</v>
      </c>
      <c r="N151" s="49">
        <f>2000+5500+600+200+250</f>
        <v>8550</v>
      </c>
      <c r="O151" s="72">
        <f t="shared" si="37"/>
        <v>98000</v>
      </c>
      <c r="P151" s="29"/>
      <c r="Q151" s="40" t="s">
        <v>74</v>
      </c>
      <c r="R151" s="44"/>
      <c r="S151" s="44">
        <f t="shared" si="38"/>
        <v>98000</v>
      </c>
      <c r="T151" s="44">
        <f t="shared" si="39"/>
        <v>140000</v>
      </c>
      <c r="U151" s="45">
        <f t="shared" si="40"/>
        <v>160000</v>
      </c>
      <c r="V151" s="46">
        <f t="shared" si="41"/>
        <v>0.125</v>
      </c>
      <c r="W151" s="45">
        <f t="shared" si="42"/>
        <v>160000</v>
      </c>
      <c r="X151" s="47">
        <f t="shared" si="43"/>
        <v>0.3</v>
      </c>
      <c r="Y151" s="48"/>
      <c r="Z151" s="48"/>
      <c r="AA151" s="50"/>
    </row>
    <row r="152" spans="1:27" ht="14.4" hidden="1" customHeight="1">
      <c r="A152" s="35">
        <v>148</v>
      </c>
      <c r="B152" s="36"/>
      <c r="C152" s="73" t="s">
        <v>204</v>
      </c>
      <c r="D152" s="37" t="str">
        <f t="shared" si="44"/>
        <v xml:space="preserve"> 688</v>
      </c>
      <c r="E152" s="38" t="s">
        <v>204</v>
      </c>
      <c r="F152" s="39">
        <f t="shared" si="45"/>
        <v>0</v>
      </c>
      <c r="G152" s="76" t="s">
        <v>335</v>
      </c>
      <c r="H152" s="77" t="s">
        <v>325</v>
      </c>
      <c r="I152" s="77" t="s">
        <v>64</v>
      </c>
      <c r="J152" s="41">
        <v>77000</v>
      </c>
      <c r="K152" s="42">
        <f t="shared" si="35"/>
        <v>8650</v>
      </c>
      <c r="L152" s="39" t="s">
        <v>22</v>
      </c>
      <c r="M152" s="43">
        <f t="shared" si="36"/>
        <v>68350</v>
      </c>
      <c r="N152" s="49">
        <f>2000+5100+600+200+250+500</f>
        <v>8650</v>
      </c>
      <c r="O152" s="72">
        <f t="shared" si="37"/>
        <v>77000</v>
      </c>
      <c r="P152" s="29"/>
      <c r="Q152" s="40" t="s">
        <v>88</v>
      </c>
      <c r="R152" s="44"/>
      <c r="S152" s="44">
        <f t="shared" si="38"/>
        <v>77000</v>
      </c>
      <c r="T152" s="44">
        <f t="shared" si="39"/>
        <v>110000</v>
      </c>
      <c r="U152" s="45">
        <f t="shared" si="40"/>
        <v>125714.28571428571</v>
      </c>
      <c r="V152" s="46">
        <f t="shared" si="41"/>
        <v>0.12499999999999997</v>
      </c>
      <c r="W152" s="45">
        <f t="shared" si="42"/>
        <v>125800</v>
      </c>
      <c r="X152" s="47">
        <f t="shared" si="43"/>
        <v>0.3</v>
      </c>
      <c r="Y152" s="48"/>
      <c r="Z152" s="48"/>
      <c r="AA152" s="50"/>
    </row>
    <row r="153" spans="1:27" ht="14.4" hidden="1" customHeight="1">
      <c r="A153" s="35">
        <v>149</v>
      </c>
      <c r="B153" s="39"/>
      <c r="C153" s="74" t="s">
        <v>312</v>
      </c>
      <c r="D153" s="37" t="str">
        <f t="shared" si="44"/>
        <v xml:space="preserve"> 696</v>
      </c>
      <c r="E153" s="38" t="s">
        <v>312</v>
      </c>
      <c r="F153" s="39">
        <f t="shared" si="45"/>
        <v>0</v>
      </c>
      <c r="G153" s="76" t="s">
        <v>340</v>
      </c>
      <c r="H153" s="77" t="s">
        <v>325</v>
      </c>
      <c r="I153" s="77" t="s">
        <v>318</v>
      </c>
      <c r="J153" s="52">
        <v>71500</v>
      </c>
      <c r="K153" s="42">
        <f t="shared" si="35"/>
        <v>7900</v>
      </c>
      <c r="L153" s="39" t="s">
        <v>22</v>
      </c>
      <c r="M153" s="43">
        <f t="shared" si="36"/>
        <v>63600</v>
      </c>
      <c r="N153" s="52">
        <f>2000+4850+600+200+250</f>
        <v>7900</v>
      </c>
      <c r="O153" s="72">
        <f t="shared" si="37"/>
        <v>71500</v>
      </c>
      <c r="P153" s="29"/>
      <c r="Q153" s="40" t="s">
        <v>330</v>
      </c>
      <c r="R153" s="53"/>
      <c r="S153" s="44">
        <f t="shared" si="38"/>
        <v>71500</v>
      </c>
      <c r="T153" s="44">
        <f t="shared" si="39"/>
        <v>102142.85714285714</v>
      </c>
      <c r="U153" s="45">
        <f t="shared" si="40"/>
        <v>116734.69387755102</v>
      </c>
      <c r="V153" s="46">
        <f t="shared" si="41"/>
        <v>0.12499999999999999</v>
      </c>
      <c r="W153" s="45">
        <f t="shared" si="42"/>
        <v>116800</v>
      </c>
      <c r="X153" s="47">
        <f t="shared" si="43"/>
        <v>0.3</v>
      </c>
      <c r="Y153" s="57">
        <v>99050</v>
      </c>
      <c r="Z153" s="58">
        <f>T153-Y153</f>
        <v>3092.8571428571449</v>
      </c>
      <c r="AA153" s="59">
        <f>Z153/Y153</f>
        <v>3.1225210932429529E-2</v>
      </c>
    </row>
    <row r="154" spans="1:27" ht="14.4" hidden="1" customHeight="1">
      <c r="A154" s="35">
        <v>150</v>
      </c>
      <c r="B154" s="36"/>
      <c r="C154" s="73" t="s">
        <v>205</v>
      </c>
      <c r="D154" s="37" t="str">
        <f t="shared" si="44"/>
        <v xml:space="preserve"> 820</v>
      </c>
      <c r="E154" s="38" t="s">
        <v>205</v>
      </c>
      <c r="F154" s="39">
        <f t="shared" si="45"/>
        <v>0</v>
      </c>
      <c r="G154" s="76" t="s">
        <v>335</v>
      </c>
      <c r="H154" s="77" t="s">
        <v>325</v>
      </c>
      <c r="I154" s="77" t="s">
        <v>64</v>
      </c>
      <c r="J154" s="41">
        <v>68150</v>
      </c>
      <c r="K154" s="42">
        <f t="shared" si="35"/>
        <v>8150</v>
      </c>
      <c r="L154" s="39" t="s">
        <v>22</v>
      </c>
      <c r="M154" s="43">
        <f t="shared" si="36"/>
        <v>60000</v>
      </c>
      <c r="N154" s="49">
        <f>2000+5100+600+200+250</f>
        <v>8150</v>
      </c>
      <c r="O154" s="72">
        <f t="shared" si="37"/>
        <v>68150</v>
      </c>
      <c r="P154" s="29"/>
      <c r="Q154" s="40" t="s">
        <v>69</v>
      </c>
      <c r="R154" s="44"/>
      <c r="S154" s="44">
        <f t="shared" si="38"/>
        <v>68150</v>
      </c>
      <c r="T154" s="44">
        <f t="shared" si="39"/>
        <v>97357.14285714287</v>
      </c>
      <c r="U154" s="45">
        <f t="shared" si="40"/>
        <v>111265.30612244899</v>
      </c>
      <c r="V154" s="46">
        <f t="shared" si="41"/>
        <v>0.125</v>
      </c>
      <c r="W154" s="45">
        <f t="shared" si="42"/>
        <v>111300</v>
      </c>
      <c r="X154" s="47">
        <f t="shared" si="43"/>
        <v>0.3000000000000001</v>
      </c>
      <c r="Y154" s="48"/>
      <c r="Z154" s="48"/>
      <c r="AA154" s="48"/>
    </row>
    <row r="155" spans="1:27" ht="14.4" hidden="1" customHeight="1">
      <c r="A155" s="35">
        <v>151</v>
      </c>
      <c r="B155" s="36"/>
      <c r="C155" s="75" t="s">
        <v>597</v>
      </c>
      <c r="D155" s="37" t="str">
        <f t="shared" si="44"/>
        <v xml:space="preserve"> 512</v>
      </c>
      <c r="E155" s="38" t="s">
        <v>597</v>
      </c>
      <c r="F155" s="39">
        <f t="shared" si="45"/>
        <v>0</v>
      </c>
      <c r="G155" s="76" t="s">
        <v>335</v>
      </c>
      <c r="H155" s="77" t="s">
        <v>325</v>
      </c>
      <c r="I155" s="77" t="s">
        <v>598</v>
      </c>
      <c r="J155" s="41">
        <v>90000</v>
      </c>
      <c r="K155" s="42">
        <f t="shared" si="35"/>
        <v>9250</v>
      </c>
      <c r="L155" s="39"/>
      <c r="M155" s="43">
        <f t="shared" si="36"/>
        <v>80750</v>
      </c>
      <c r="N155" s="49">
        <f>5200+600+200+2000+250+1000</f>
        <v>9250</v>
      </c>
      <c r="O155" s="72">
        <f t="shared" si="37"/>
        <v>90000</v>
      </c>
      <c r="P155" s="29"/>
      <c r="Q155" s="40" t="s">
        <v>1304</v>
      </c>
      <c r="R155" s="44"/>
      <c r="S155" s="44">
        <f t="shared" si="38"/>
        <v>90000</v>
      </c>
      <c r="T155" s="44">
        <f t="shared" si="39"/>
        <v>128571.42857142858</v>
      </c>
      <c r="U155" s="45">
        <f t="shared" si="40"/>
        <v>146938.77551020408</v>
      </c>
      <c r="V155" s="46">
        <f t="shared" si="41"/>
        <v>0.12499999999999994</v>
      </c>
      <c r="W155" s="45">
        <f t="shared" si="42"/>
        <v>147000</v>
      </c>
      <c r="X155" s="47">
        <f t="shared" si="43"/>
        <v>0.30000000000000004</v>
      </c>
      <c r="Y155" s="48"/>
      <c r="Z155" s="48"/>
      <c r="AA155" s="48"/>
    </row>
    <row r="156" spans="1:27" ht="14.4" hidden="1" customHeight="1">
      <c r="A156" s="35">
        <v>152</v>
      </c>
      <c r="B156" s="36"/>
      <c r="C156" s="75" t="s">
        <v>600</v>
      </c>
      <c r="D156" s="37" t="str">
        <f t="shared" si="44"/>
        <v xml:space="preserve"> 683</v>
      </c>
      <c r="E156" s="38" t="s">
        <v>600</v>
      </c>
      <c r="F156" s="39">
        <f t="shared" si="45"/>
        <v>0</v>
      </c>
      <c r="G156" s="76" t="s">
        <v>335</v>
      </c>
      <c r="H156" s="77" t="s">
        <v>325</v>
      </c>
      <c r="I156" s="77" t="s">
        <v>601</v>
      </c>
      <c r="J156" s="41">
        <v>88250</v>
      </c>
      <c r="K156" s="42">
        <f t="shared" si="35"/>
        <v>8250</v>
      </c>
      <c r="L156" s="39" t="s">
        <v>22</v>
      </c>
      <c r="M156" s="43">
        <f t="shared" si="36"/>
        <v>80000</v>
      </c>
      <c r="N156" s="49">
        <f>2000+5200+200+600+250</f>
        <v>8250</v>
      </c>
      <c r="O156" s="72">
        <f t="shared" si="37"/>
        <v>88250</v>
      </c>
      <c r="P156" s="29"/>
      <c r="Q156" s="40" t="s">
        <v>1394</v>
      </c>
      <c r="R156" s="44"/>
      <c r="S156" s="44">
        <f t="shared" si="38"/>
        <v>88250</v>
      </c>
      <c r="T156" s="44">
        <f t="shared" si="39"/>
        <v>126071.42857142858</v>
      </c>
      <c r="U156" s="45">
        <f t="shared" si="40"/>
        <v>144081.63265306124</v>
      </c>
      <c r="V156" s="46">
        <f t="shared" si="41"/>
        <v>0.12500000000000006</v>
      </c>
      <c r="W156" s="45">
        <f t="shared" si="42"/>
        <v>144100</v>
      </c>
      <c r="X156" s="47">
        <f t="shared" si="43"/>
        <v>0.30000000000000004</v>
      </c>
      <c r="Y156" s="48"/>
      <c r="Z156" s="48"/>
      <c r="AA156" s="48"/>
    </row>
    <row r="157" spans="1:27" ht="14.4" hidden="1" customHeight="1">
      <c r="A157" s="35">
        <v>153</v>
      </c>
      <c r="B157" s="36"/>
      <c r="C157" s="73" t="s">
        <v>267</v>
      </c>
      <c r="D157" s="37" t="str">
        <f t="shared" si="44"/>
        <v xml:space="preserve"> 843</v>
      </c>
      <c r="E157" s="38" t="s">
        <v>267</v>
      </c>
      <c r="F157" s="39">
        <f t="shared" si="45"/>
        <v>0</v>
      </c>
      <c r="G157" s="76" t="s">
        <v>335</v>
      </c>
      <c r="H157" s="77" t="s">
        <v>325</v>
      </c>
      <c r="I157" s="77" t="s">
        <v>292</v>
      </c>
      <c r="J157" s="41">
        <v>117500</v>
      </c>
      <c r="K157" s="42">
        <f t="shared" si="35"/>
        <v>9150</v>
      </c>
      <c r="L157" s="39" t="s">
        <v>22</v>
      </c>
      <c r="M157" s="43">
        <f t="shared" si="36"/>
        <v>108350</v>
      </c>
      <c r="N157" s="43">
        <f>2000+5100+600+200+250+1000</f>
        <v>9150</v>
      </c>
      <c r="O157" s="72">
        <f t="shared" si="37"/>
        <v>117500</v>
      </c>
      <c r="P157" s="29"/>
      <c r="Q157" s="40" t="s">
        <v>301</v>
      </c>
      <c r="R157" s="53"/>
      <c r="S157" s="44">
        <f t="shared" si="38"/>
        <v>117500</v>
      </c>
      <c r="T157" s="44">
        <f t="shared" si="39"/>
        <v>167857.14285714287</v>
      </c>
      <c r="U157" s="45">
        <f t="shared" si="40"/>
        <v>191836.73469387757</v>
      </c>
      <c r="V157" s="46">
        <f t="shared" si="41"/>
        <v>0.12500000000000003</v>
      </c>
      <c r="W157" s="45">
        <f t="shared" si="42"/>
        <v>191900</v>
      </c>
      <c r="X157" s="47">
        <f t="shared" si="43"/>
        <v>0.30000000000000004</v>
      </c>
      <c r="Y157" s="54"/>
      <c r="Z157" s="54"/>
      <c r="AA157" s="55"/>
    </row>
    <row r="158" spans="1:27" ht="14.4" hidden="1" customHeight="1">
      <c r="A158" s="35">
        <v>154</v>
      </c>
      <c r="B158" s="36"/>
      <c r="C158" s="75" t="s">
        <v>604</v>
      </c>
      <c r="D158" s="37" t="str">
        <f t="shared" si="44"/>
        <v xml:space="preserve"> 926</v>
      </c>
      <c r="E158" s="38" t="s">
        <v>604</v>
      </c>
      <c r="F158" s="39">
        <f t="shared" si="45"/>
        <v>0</v>
      </c>
      <c r="G158" s="76" t="s">
        <v>340</v>
      </c>
      <c r="H158" s="77" t="s">
        <v>605</v>
      </c>
      <c r="I158" s="77" t="s">
        <v>606</v>
      </c>
      <c r="J158" s="41"/>
      <c r="K158" s="42">
        <f t="shared" si="35"/>
        <v>0</v>
      </c>
      <c r="L158" s="39"/>
      <c r="M158" s="43">
        <f t="shared" si="36"/>
        <v>0</v>
      </c>
      <c r="N158" s="43"/>
      <c r="O158" s="72">
        <f t="shared" si="37"/>
        <v>0</v>
      </c>
      <c r="P158" s="29"/>
      <c r="Q158" s="40"/>
      <c r="R158" s="53"/>
      <c r="S158" s="44">
        <f t="shared" si="38"/>
        <v>0</v>
      </c>
      <c r="T158" s="44">
        <f t="shared" si="39"/>
        <v>0</v>
      </c>
      <c r="U158" s="45">
        <f t="shared" si="40"/>
        <v>0</v>
      </c>
      <c r="V158" s="46" t="e">
        <f t="shared" si="41"/>
        <v>#DIV/0!</v>
      </c>
      <c r="W158" s="45">
        <f t="shared" si="42"/>
        <v>0</v>
      </c>
      <c r="X158" s="47" t="e">
        <f t="shared" si="43"/>
        <v>#DIV/0!</v>
      </c>
      <c r="Y158" s="57">
        <v>112000</v>
      </c>
      <c r="Z158" s="58">
        <f>T158-Y158</f>
        <v>-112000</v>
      </c>
      <c r="AA158" s="59">
        <f>Z158/Y158</f>
        <v>-1</v>
      </c>
    </row>
    <row r="159" spans="1:27" ht="14.4" hidden="1" customHeight="1">
      <c r="A159" s="35">
        <v>155</v>
      </c>
      <c r="B159" s="39"/>
      <c r="C159" s="74" t="s">
        <v>311</v>
      </c>
      <c r="D159" s="37" t="str">
        <f t="shared" si="44"/>
        <v xml:space="preserve"> 983</v>
      </c>
      <c r="E159" s="38" t="s">
        <v>311</v>
      </c>
      <c r="F159" s="39">
        <f t="shared" si="45"/>
        <v>0</v>
      </c>
      <c r="G159" s="76" t="s">
        <v>335</v>
      </c>
      <c r="H159" s="77" t="s">
        <v>605</v>
      </c>
      <c r="I159" s="77" t="s">
        <v>318</v>
      </c>
      <c r="J159" s="52">
        <v>80000</v>
      </c>
      <c r="K159" s="42">
        <f t="shared" si="35"/>
        <v>9550</v>
      </c>
      <c r="L159" s="39" t="s">
        <v>22</v>
      </c>
      <c r="M159" s="43">
        <f t="shared" si="36"/>
        <v>70450</v>
      </c>
      <c r="N159" s="52">
        <f>2000+5500+600+200+250+1000</f>
        <v>9550</v>
      </c>
      <c r="O159" s="72">
        <f t="shared" si="37"/>
        <v>80000</v>
      </c>
      <c r="P159" s="29"/>
      <c r="Q159" s="40" t="s">
        <v>328</v>
      </c>
      <c r="R159" s="53"/>
      <c r="S159" s="44">
        <f t="shared" si="38"/>
        <v>80000</v>
      </c>
      <c r="T159" s="44">
        <f t="shared" si="39"/>
        <v>114285.71428571429</v>
      </c>
      <c r="U159" s="45">
        <f t="shared" si="40"/>
        <v>130612.24489795919</v>
      </c>
      <c r="V159" s="46">
        <f t="shared" si="41"/>
        <v>0.12499999999999999</v>
      </c>
      <c r="W159" s="45">
        <f t="shared" si="42"/>
        <v>130700</v>
      </c>
      <c r="X159" s="47">
        <f t="shared" si="43"/>
        <v>0.30000000000000004</v>
      </c>
      <c r="Y159" s="54"/>
      <c r="Z159" s="54"/>
      <c r="AA159" s="55"/>
    </row>
    <row r="160" spans="1:27" ht="14.4" hidden="1" customHeight="1">
      <c r="A160" s="35">
        <v>156</v>
      </c>
      <c r="B160" s="39"/>
      <c r="C160" s="75" t="s">
        <v>1352</v>
      </c>
      <c r="D160" s="37" t="str">
        <f t="shared" si="44"/>
        <v xml:space="preserve"> 437</v>
      </c>
      <c r="E160" s="38" t="s">
        <v>1352</v>
      </c>
      <c r="F160" s="39">
        <f t="shared" si="45"/>
        <v>0</v>
      </c>
      <c r="G160" s="76" t="s">
        <v>340</v>
      </c>
      <c r="H160" s="77" t="s">
        <v>331</v>
      </c>
      <c r="I160" s="77" t="s">
        <v>610</v>
      </c>
      <c r="J160" s="52"/>
      <c r="K160" s="42">
        <f t="shared" si="35"/>
        <v>0</v>
      </c>
      <c r="L160" s="39"/>
      <c r="M160" s="43">
        <f t="shared" si="36"/>
        <v>0</v>
      </c>
      <c r="N160" s="52"/>
      <c r="O160" s="72">
        <f t="shared" si="37"/>
        <v>0</v>
      </c>
      <c r="P160" s="29"/>
      <c r="Q160" s="40"/>
      <c r="R160" s="53"/>
      <c r="S160" s="44">
        <f t="shared" si="38"/>
        <v>0</v>
      </c>
      <c r="T160" s="44">
        <f t="shared" si="39"/>
        <v>0</v>
      </c>
      <c r="U160" s="45">
        <f t="shared" si="40"/>
        <v>0</v>
      </c>
      <c r="V160" s="46" t="e">
        <f t="shared" si="41"/>
        <v>#DIV/0!</v>
      </c>
      <c r="W160" s="45">
        <f t="shared" si="42"/>
        <v>0</v>
      </c>
      <c r="X160" s="47" t="e">
        <f t="shared" si="43"/>
        <v>#DIV/0!</v>
      </c>
      <c r="Y160" s="57">
        <v>112000</v>
      </c>
      <c r="Z160" s="58">
        <f>T160-Y160</f>
        <v>-112000</v>
      </c>
      <c r="AA160" s="59">
        <f>Z160/Y160</f>
        <v>-1</v>
      </c>
    </row>
    <row r="161" spans="1:27" ht="14.4" hidden="1" customHeight="1">
      <c r="A161" s="35">
        <v>157</v>
      </c>
      <c r="B161" s="39"/>
      <c r="C161" s="75" t="s">
        <v>612</v>
      </c>
      <c r="D161" s="37" t="str">
        <f t="shared" si="44"/>
        <v xml:space="preserve"> 814</v>
      </c>
      <c r="E161" s="38" t="s">
        <v>612</v>
      </c>
      <c r="F161" s="39">
        <f t="shared" si="45"/>
        <v>0</v>
      </c>
      <c r="G161" s="76" t="s">
        <v>335</v>
      </c>
      <c r="H161" s="77" t="s">
        <v>605</v>
      </c>
      <c r="I161" s="77" t="s">
        <v>613</v>
      </c>
      <c r="J161" s="52">
        <v>87000</v>
      </c>
      <c r="K161" s="42">
        <f t="shared" si="35"/>
        <v>9550</v>
      </c>
      <c r="L161" s="39" t="s">
        <v>22</v>
      </c>
      <c r="M161" s="43">
        <f t="shared" si="36"/>
        <v>77450</v>
      </c>
      <c r="N161" s="52">
        <f>2000+5500+600+200+250+1000</f>
        <v>9550</v>
      </c>
      <c r="O161" s="72">
        <f t="shared" si="37"/>
        <v>87000</v>
      </c>
      <c r="P161" s="29"/>
      <c r="Q161" s="40" t="s">
        <v>1310</v>
      </c>
      <c r="R161" s="53"/>
      <c r="S161" s="44">
        <f t="shared" si="38"/>
        <v>87000</v>
      </c>
      <c r="T161" s="44">
        <f t="shared" si="39"/>
        <v>124285.71428571429</v>
      </c>
      <c r="U161" s="45">
        <f t="shared" si="40"/>
        <v>142040.81632653062</v>
      </c>
      <c r="V161" s="46">
        <f t="shared" si="41"/>
        <v>0.12500000000000003</v>
      </c>
      <c r="W161" s="45">
        <f t="shared" si="42"/>
        <v>142100</v>
      </c>
      <c r="X161" s="47">
        <f t="shared" si="43"/>
        <v>0.30000000000000004</v>
      </c>
      <c r="Y161" s="54"/>
      <c r="Z161" s="54"/>
      <c r="AA161" s="55"/>
    </row>
    <row r="162" spans="1:27" ht="14.4" hidden="1" customHeight="1">
      <c r="A162" s="35">
        <v>158</v>
      </c>
      <c r="B162" s="39"/>
      <c r="C162" s="75" t="s">
        <v>615</v>
      </c>
      <c r="D162" s="37" t="str">
        <f t="shared" si="44"/>
        <v xml:space="preserve"> 199</v>
      </c>
      <c r="E162" s="38" t="s">
        <v>615</v>
      </c>
      <c r="F162" s="39">
        <f t="shared" si="45"/>
        <v>0</v>
      </c>
      <c r="G162" s="76" t="s">
        <v>335</v>
      </c>
      <c r="H162" s="77" t="s">
        <v>605</v>
      </c>
      <c r="I162" s="77" t="s">
        <v>613</v>
      </c>
      <c r="J162" s="52">
        <v>87000</v>
      </c>
      <c r="K162" s="42">
        <f t="shared" si="35"/>
        <v>9550</v>
      </c>
      <c r="L162" s="39" t="s">
        <v>22</v>
      </c>
      <c r="M162" s="43">
        <f t="shared" si="36"/>
        <v>77450</v>
      </c>
      <c r="N162" s="52">
        <f>2000+5500+600+200+250+1000</f>
        <v>9550</v>
      </c>
      <c r="O162" s="72">
        <f t="shared" si="37"/>
        <v>87000</v>
      </c>
      <c r="P162" s="29"/>
      <c r="Q162" s="40" t="s">
        <v>1310</v>
      </c>
      <c r="R162" s="53"/>
      <c r="S162" s="44">
        <f t="shared" si="38"/>
        <v>87000</v>
      </c>
      <c r="T162" s="44">
        <f t="shared" si="39"/>
        <v>124285.71428571429</v>
      </c>
      <c r="U162" s="45">
        <f t="shared" si="40"/>
        <v>142040.81632653062</v>
      </c>
      <c r="V162" s="46">
        <f t="shared" si="41"/>
        <v>0.12500000000000003</v>
      </c>
      <c r="W162" s="45">
        <f t="shared" si="42"/>
        <v>142100</v>
      </c>
      <c r="X162" s="47">
        <f t="shared" si="43"/>
        <v>0.30000000000000004</v>
      </c>
      <c r="Y162" s="54"/>
      <c r="Z162" s="54"/>
      <c r="AA162" s="55"/>
    </row>
    <row r="163" spans="1:27" ht="14.4" hidden="1" customHeight="1">
      <c r="A163" s="35">
        <v>159</v>
      </c>
      <c r="B163" s="36"/>
      <c r="C163" s="73" t="s">
        <v>138</v>
      </c>
      <c r="D163" s="37" t="str">
        <f t="shared" si="44"/>
        <v xml:space="preserve"> 844</v>
      </c>
      <c r="E163" s="38" t="s">
        <v>138</v>
      </c>
      <c r="F163" s="39">
        <f t="shared" si="45"/>
        <v>0</v>
      </c>
      <c r="G163" s="76" t="s">
        <v>335</v>
      </c>
      <c r="H163" s="77" t="s">
        <v>325</v>
      </c>
      <c r="I163" s="77" t="s">
        <v>42</v>
      </c>
      <c r="J163" s="41">
        <v>73150</v>
      </c>
      <c r="K163" s="42">
        <f t="shared" si="35"/>
        <v>8150</v>
      </c>
      <c r="L163" s="39" t="s">
        <v>22</v>
      </c>
      <c r="M163" s="43">
        <f t="shared" si="36"/>
        <v>65000</v>
      </c>
      <c r="N163" s="43">
        <f>2000+5100+600+200+250</f>
        <v>8150</v>
      </c>
      <c r="O163" s="72">
        <f t="shared" si="37"/>
        <v>73150</v>
      </c>
      <c r="P163" s="29"/>
      <c r="Q163" s="40" t="s">
        <v>69</v>
      </c>
      <c r="R163" s="44"/>
      <c r="S163" s="44">
        <f t="shared" si="38"/>
        <v>73150</v>
      </c>
      <c r="T163" s="44">
        <f t="shared" si="39"/>
        <v>104500</v>
      </c>
      <c r="U163" s="45">
        <f t="shared" si="40"/>
        <v>119428.57142857143</v>
      </c>
      <c r="V163" s="46">
        <f t="shared" si="41"/>
        <v>0.12500000000000006</v>
      </c>
      <c r="W163" s="45">
        <f t="shared" si="42"/>
        <v>119500</v>
      </c>
      <c r="X163" s="47">
        <f t="shared" si="43"/>
        <v>0.3</v>
      </c>
      <c r="Y163" s="48"/>
      <c r="Z163" s="48"/>
      <c r="AA163" s="48"/>
    </row>
    <row r="164" spans="1:27" ht="14.4" hidden="1" customHeight="1">
      <c r="A164" s="35">
        <v>160</v>
      </c>
      <c r="B164" s="36"/>
      <c r="C164" s="75" t="s">
        <v>618</v>
      </c>
      <c r="D164" s="37" t="str">
        <f t="shared" si="44"/>
        <v xml:space="preserve"> 487</v>
      </c>
      <c r="E164" s="38" t="s">
        <v>618</v>
      </c>
      <c r="F164" s="39">
        <f t="shared" si="45"/>
        <v>0</v>
      </c>
      <c r="G164" s="76" t="s">
        <v>335</v>
      </c>
      <c r="H164" s="77" t="s">
        <v>325</v>
      </c>
      <c r="I164" s="77" t="s">
        <v>619</v>
      </c>
      <c r="J164" s="41">
        <v>76500</v>
      </c>
      <c r="K164" s="42">
        <f t="shared" si="35"/>
        <v>8650</v>
      </c>
      <c r="L164" s="39" t="s">
        <v>22</v>
      </c>
      <c r="M164" s="43">
        <f t="shared" si="36"/>
        <v>67850</v>
      </c>
      <c r="N164" s="43">
        <f>2000+5100+600+200+250+500</f>
        <v>8650</v>
      </c>
      <c r="O164" s="72">
        <f t="shared" si="37"/>
        <v>76500</v>
      </c>
      <c r="P164" s="29"/>
      <c r="Q164" s="40" t="s">
        <v>1319</v>
      </c>
      <c r="R164" s="44"/>
      <c r="S164" s="44">
        <f t="shared" si="38"/>
        <v>76500</v>
      </c>
      <c r="T164" s="44">
        <f t="shared" si="39"/>
        <v>109285.71428571429</v>
      </c>
      <c r="U164" s="45">
        <f t="shared" si="40"/>
        <v>124897.95918367348</v>
      </c>
      <c r="V164" s="46">
        <f t="shared" si="41"/>
        <v>0.12500000000000003</v>
      </c>
      <c r="W164" s="45">
        <f t="shared" si="42"/>
        <v>124900</v>
      </c>
      <c r="X164" s="47">
        <f t="shared" si="43"/>
        <v>0.30000000000000004</v>
      </c>
      <c r="Y164" s="48"/>
      <c r="Z164" s="48"/>
      <c r="AA164" s="48"/>
    </row>
    <row r="165" spans="1:27" ht="14.4" hidden="1" customHeight="1">
      <c r="A165" s="35">
        <v>161</v>
      </c>
      <c r="B165" s="36"/>
      <c r="C165" s="75" t="s">
        <v>621</v>
      </c>
      <c r="D165" s="37" t="str">
        <f t="shared" si="44"/>
        <v xml:space="preserve"> 648</v>
      </c>
      <c r="E165" s="38" t="s">
        <v>621</v>
      </c>
      <c r="F165" s="39">
        <f t="shared" si="45"/>
        <v>0</v>
      </c>
      <c r="G165" s="76" t="s">
        <v>335</v>
      </c>
      <c r="H165" s="77" t="s">
        <v>325</v>
      </c>
      <c r="I165" s="77" t="s">
        <v>622</v>
      </c>
      <c r="J165" s="41">
        <v>80000</v>
      </c>
      <c r="K165" s="42">
        <f t="shared" si="35"/>
        <v>8750</v>
      </c>
      <c r="L165" s="39" t="s">
        <v>22</v>
      </c>
      <c r="M165" s="43">
        <f t="shared" si="36"/>
        <v>71250</v>
      </c>
      <c r="N165" s="43">
        <f>2000+5200+600+200+250+500</f>
        <v>8750</v>
      </c>
      <c r="O165" s="72">
        <f t="shared" si="37"/>
        <v>80000</v>
      </c>
      <c r="P165" s="29"/>
      <c r="Q165" s="40" t="s">
        <v>1305</v>
      </c>
      <c r="R165" s="44"/>
      <c r="S165" s="44">
        <f t="shared" si="38"/>
        <v>80000</v>
      </c>
      <c r="T165" s="44">
        <f t="shared" si="39"/>
        <v>114285.71428571429</v>
      </c>
      <c r="U165" s="45">
        <f t="shared" si="40"/>
        <v>130612.24489795919</v>
      </c>
      <c r="V165" s="46">
        <f t="shared" si="41"/>
        <v>0.12499999999999999</v>
      </c>
      <c r="W165" s="45">
        <f t="shared" si="42"/>
        <v>130700</v>
      </c>
      <c r="X165" s="47">
        <f t="shared" si="43"/>
        <v>0.30000000000000004</v>
      </c>
      <c r="Y165" s="48"/>
      <c r="Z165" s="48"/>
      <c r="AA165" s="48"/>
    </row>
    <row r="166" spans="1:27" ht="14.4" hidden="1" customHeight="1">
      <c r="A166" s="35">
        <v>162</v>
      </c>
      <c r="B166" s="36"/>
      <c r="C166" s="73" t="s">
        <v>624</v>
      </c>
      <c r="D166" s="37" t="str">
        <f t="shared" si="44"/>
        <v xml:space="preserve"> 231</v>
      </c>
      <c r="E166" s="38" t="s">
        <v>624</v>
      </c>
      <c r="F166" s="39">
        <f t="shared" si="45"/>
        <v>0</v>
      </c>
      <c r="G166" s="76" t="s">
        <v>335</v>
      </c>
      <c r="H166" s="77" t="s">
        <v>325</v>
      </c>
      <c r="I166" s="77" t="s">
        <v>55</v>
      </c>
      <c r="J166" s="41">
        <v>80000</v>
      </c>
      <c r="K166" s="42">
        <f t="shared" si="35"/>
        <v>9250</v>
      </c>
      <c r="L166" s="39" t="s">
        <v>22</v>
      </c>
      <c r="M166" s="43">
        <f t="shared" si="36"/>
        <v>70750</v>
      </c>
      <c r="N166" s="49">
        <f>2000+5200+600+200+250+1000</f>
        <v>9250</v>
      </c>
      <c r="O166" s="72">
        <f t="shared" si="37"/>
        <v>80000</v>
      </c>
      <c r="P166" s="29"/>
      <c r="Q166" s="40" t="s">
        <v>84</v>
      </c>
      <c r="R166" s="44"/>
      <c r="S166" s="44">
        <f t="shared" si="38"/>
        <v>80000</v>
      </c>
      <c r="T166" s="44">
        <f t="shared" si="39"/>
        <v>114285.71428571429</v>
      </c>
      <c r="U166" s="45">
        <f t="shared" si="40"/>
        <v>130612.24489795919</v>
      </c>
      <c r="V166" s="46">
        <f t="shared" si="41"/>
        <v>0.12499999999999999</v>
      </c>
      <c r="W166" s="45">
        <f t="shared" si="42"/>
        <v>130700</v>
      </c>
      <c r="X166" s="47">
        <f t="shared" si="43"/>
        <v>0.30000000000000004</v>
      </c>
      <c r="Y166" s="48"/>
      <c r="Z166" s="48"/>
      <c r="AA166" s="50"/>
    </row>
    <row r="167" spans="1:27" ht="14.4" hidden="1" customHeight="1">
      <c r="A167" s="35">
        <v>163</v>
      </c>
      <c r="B167" s="36"/>
      <c r="C167" s="75" t="s">
        <v>626</v>
      </c>
      <c r="D167" s="37" t="str">
        <f t="shared" si="44"/>
        <v xml:space="preserve"> 582</v>
      </c>
      <c r="E167" s="38" t="s">
        <v>626</v>
      </c>
      <c r="F167" s="39">
        <f t="shared" si="45"/>
        <v>0</v>
      </c>
      <c r="G167" s="76" t="s">
        <v>335</v>
      </c>
      <c r="H167" s="77" t="s">
        <v>577</v>
      </c>
      <c r="I167" s="77" t="s">
        <v>627</v>
      </c>
      <c r="J167" s="41"/>
      <c r="K167" s="42">
        <f t="shared" si="35"/>
        <v>0</v>
      </c>
      <c r="L167" s="39"/>
      <c r="M167" s="43">
        <f t="shared" si="36"/>
        <v>0</v>
      </c>
      <c r="N167" s="49"/>
      <c r="O167" s="72">
        <f t="shared" si="37"/>
        <v>0</v>
      </c>
      <c r="P167" s="29"/>
      <c r="Q167" s="40"/>
      <c r="R167" s="44"/>
      <c r="S167" s="44">
        <f t="shared" si="38"/>
        <v>0</v>
      </c>
      <c r="T167" s="44">
        <f t="shared" si="39"/>
        <v>0</v>
      </c>
      <c r="U167" s="45">
        <f t="shared" si="40"/>
        <v>0</v>
      </c>
      <c r="V167" s="46" t="e">
        <f t="shared" si="41"/>
        <v>#DIV/0!</v>
      </c>
      <c r="W167" s="45">
        <f t="shared" si="42"/>
        <v>0</v>
      </c>
      <c r="X167" s="47" t="e">
        <f t="shared" si="43"/>
        <v>#DIV/0!</v>
      </c>
      <c r="Y167" s="48"/>
      <c r="Z167" s="48"/>
      <c r="AA167" s="50"/>
    </row>
    <row r="168" spans="1:27" ht="14.4" hidden="1" customHeight="1">
      <c r="A168" s="35">
        <v>164</v>
      </c>
      <c r="B168" s="36"/>
      <c r="C168" s="75" t="s">
        <v>629</v>
      </c>
      <c r="D168" s="37" t="str">
        <f t="shared" si="44"/>
        <v xml:space="preserve"> 247</v>
      </c>
      <c r="E168" s="38" t="s">
        <v>629</v>
      </c>
      <c r="F168" s="39">
        <f t="shared" si="45"/>
        <v>0</v>
      </c>
      <c r="G168" s="76" t="s">
        <v>340</v>
      </c>
      <c r="H168" s="77" t="s">
        <v>325</v>
      </c>
      <c r="I168" s="77" t="s">
        <v>606</v>
      </c>
      <c r="J168" s="41"/>
      <c r="K168" s="42">
        <f t="shared" si="35"/>
        <v>0</v>
      </c>
      <c r="L168" s="39"/>
      <c r="M168" s="43">
        <f t="shared" si="36"/>
        <v>0</v>
      </c>
      <c r="N168" s="49"/>
      <c r="O168" s="72">
        <f t="shared" si="37"/>
        <v>0</v>
      </c>
      <c r="P168" s="29"/>
      <c r="Q168" s="40"/>
      <c r="R168" s="44"/>
      <c r="S168" s="44">
        <f t="shared" si="38"/>
        <v>0</v>
      </c>
      <c r="T168" s="44">
        <f t="shared" si="39"/>
        <v>0</v>
      </c>
      <c r="U168" s="45">
        <f t="shared" si="40"/>
        <v>0</v>
      </c>
      <c r="V168" s="46" t="e">
        <f t="shared" si="41"/>
        <v>#DIV/0!</v>
      </c>
      <c r="W168" s="45">
        <f t="shared" si="42"/>
        <v>0</v>
      </c>
      <c r="X168" s="47" t="e">
        <f t="shared" si="43"/>
        <v>#DIV/0!</v>
      </c>
      <c r="Y168" s="57">
        <v>111038</v>
      </c>
      <c r="Z168" s="58">
        <f>T168-Y168</f>
        <v>-111038</v>
      </c>
      <c r="AA168" s="59">
        <f>Z168/Y168</f>
        <v>-1</v>
      </c>
    </row>
    <row r="169" spans="1:27" ht="14.4" hidden="1" customHeight="1">
      <c r="A169" s="35">
        <v>165</v>
      </c>
      <c r="B169" s="36"/>
      <c r="C169" s="73" t="s">
        <v>218</v>
      </c>
      <c r="D169" s="37" t="str">
        <f t="shared" si="44"/>
        <v xml:space="preserve"> 499</v>
      </c>
      <c r="E169" s="38" t="s">
        <v>218</v>
      </c>
      <c r="F169" s="39">
        <f t="shared" si="45"/>
        <v>0</v>
      </c>
      <c r="G169" s="76" t="s">
        <v>335</v>
      </c>
      <c r="H169" s="77" t="s">
        <v>577</v>
      </c>
      <c r="I169" s="77" t="s">
        <v>62</v>
      </c>
      <c r="J169" s="41">
        <v>76000</v>
      </c>
      <c r="K169" s="42">
        <f t="shared" si="35"/>
        <v>8150</v>
      </c>
      <c r="L169" s="39" t="s">
        <v>22</v>
      </c>
      <c r="M169" s="43">
        <f t="shared" si="36"/>
        <v>67850</v>
      </c>
      <c r="N169" s="49">
        <f>2000+5100+600+200+250</f>
        <v>8150</v>
      </c>
      <c r="O169" s="72">
        <f t="shared" si="37"/>
        <v>76000</v>
      </c>
      <c r="P169" s="29"/>
      <c r="Q169" s="40" t="s">
        <v>69</v>
      </c>
      <c r="R169" s="44"/>
      <c r="S169" s="44">
        <f t="shared" si="38"/>
        <v>76000</v>
      </c>
      <c r="T169" s="44">
        <f t="shared" si="39"/>
        <v>108571.42857142858</v>
      </c>
      <c r="U169" s="45">
        <f t="shared" si="40"/>
        <v>124081.63265306123</v>
      </c>
      <c r="V169" s="46">
        <f t="shared" si="41"/>
        <v>0.12499999999999996</v>
      </c>
      <c r="W169" s="45">
        <f t="shared" si="42"/>
        <v>124100</v>
      </c>
      <c r="X169" s="47">
        <f t="shared" si="43"/>
        <v>0.30000000000000004</v>
      </c>
      <c r="Y169" s="48"/>
      <c r="Z169" s="48"/>
      <c r="AA169" s="50"/>
    </row>
    <row r="170" spans="1:27" ht="14.4" hidden="1" customHeight="1">
      <c r="A170" s="35">
        <v>166</v>
      </c>
      <c r="B170" s="36"/>
      <c r="C170" s="75" t="s">
        <v>632</v>
      </c>
      <c r="D170" s="37" t="str">
        <f t="shared" si="44"/>
        <v xml:space="preserve"> 524</v>
      </c>
      <c r="E170" s="38" t="s">
        <v>632</v>
      </c>
      <c r="F170" s="39">
        <f t="shared" si="45"/>
        <v>0</v>
      </c>
      <c r="G170" s="76" t="s">
        <v>340</v>
      </c>
      <c r="H170" s="77" t="s">
        <v>325</v>
      </c>
      <c r="I170" s="77" t="s">
        <v>369</v>
      </c>
      <c r="J170" s="41"/>
      <c r="K170" s="42">
        <f t="shared" si="35"/>
        <v>0</v>
      </c>
      <c r="L170" s="39"/>
      <c r="M170" s="43">
        <f t="shared" si="36"/>
        <v>0</v>
      </c>
      <c r="N170" s="49"/>
      <c r="O170" s="72">
        <f t="shared" si="37"/>
        <v>0</v>
      </c>
      <c r="P170" s="29"/>
      <c r="Q170" s="40"/>
      <c r="R170" s="44"/>
      <c r="S170" s="44">
        <f t="shared" si="38"/>
        <v>0</v>
      </c>
      <c r="T170" s="44">
        <f t="shared" si="39"/>
        <v>0</v>
      </c>
      <c r="U170" s="45">
        <f t="shared" si="40"/>
        <v>0</v>
      </c>
      <c r="V170" s="46" t="e">
        <f t="shared" si="41"/>
        <v>#DIV/0!</v>
      </c>
      <c r="W170" s="45">
        <f t="shared" si="42"/>
        <v>0</v>
      </c>
      <c r="X170" s="47" t="e">
        <f t="shared" si="43"/>
        <v>#DIV/0!</v>
      </c>
      <c r="Y170" s="57">
        <v>95025</v>
      </c>
      <c r="Z170" s="58">
        <f>T170-Y170</f>
        <v>-95025</v>
      </c>
      <c r="AA170" s="59">
        <f>Z170/Y170</f>
        <v>-1</v>
      </c>
    </row>
    <row r="171" spans="1:27" ht="14.4" hidden="1" customHeight="1">
      <c r="A171" s="35">
        <v>167</v>
      </c>
      <c r="B171" s="36"/>
      <c r="C171" s="73" t="s">
        <v>219</v>
      </c>
      <c r="D171" s="37" t="str">
        <f t="shared" si="44"/>
        <v xml:space="preserve"> 335</v>
      </c>
      <c r="E171" s="38" t="s">
        <v>219</v>
      </c>
      <c r="F171" s="39">
        <f t="shared" si="45"/>
        <v>0</v>
      </c>
      <c r="G171" s="76" t="s">
        <v>335</v>
      </c>
      <c r="H171" s="77" t="s">
        <v>634</v>
      </c>
      <c r="I171" s="77" t="s">
        <v>62</v>
      </c>
      <c r="J171" s="41">
        <v>76000</v>
      </c>
      <c r="K171" s="42">
        <f t="shared" si="35"/>
        <v>8150</v>
      </c>
      <c r="L171" s="39" t="s">
        <v>22</v>
      </c>
      <c r="M171" s="43">
        <f t="shared" si="36"/>
        <v>67850</v>
      </c>
      <c r="N171" s="49">
        <f>2000+5100+600+200+250</f>
        <v>8150</v>
      </c>
      <c r="O171" s="72">
        <f t="shared" si="37"/>
        <v>76000</v>
      </c>
      <c r="P171" s="29"/>
      <c r="Q171" s="40" t="s">
        <v>69</v>
      </c>
      <c r="R171" s="44"/>
      <c r="S171" s="44">
        <f t="shared" si="38"/>
        <v>76000</v>
      </c>
      <c r="T171" s="44">
        <f t="shared" si="39"/>
        <v>108571.42857142858</v>
      </c>
      <c r="U171" s="45">
        <f t="shared" si="40"/>
        <v>124081.63265306123</v>
      </c>
      <c r="V171" s="46">
        <f t="shared" si="41"/>
        <v>0.12499999999999996</v>
      </c>
      <c r="W171" s="45">
        <f t="shared" si="42"/>
        <v>124100</v>
      </c>
      <c r="X171" s="47">
        <f t="shared" si="43"/>
        <v>0.30000000000000004</v>
      </c>
      <c r="Y171" s="48"/>
      <c r="Z171" s="48"/>
      <c r="AA171" s="50"/>
    </row>
    <row r="172" spans="1:27" ht="14.4" hidden="1" customHeight="1">
      <c r="A172" s="35">
        <v>168</v>
      </c>
      <c r="B172" s="36"/>
      <c r="C172" s="73" t="s">
        <v>278</v>
      </c>
      <c r="D172" s="37" t="str">
        <f t="shared" si="44"/>
        <v xml:space="preserve"> 795</v>
      </c>
      <c r="E172" s="38" t="s">
        <v>278</v>
      </c>
      <c r="F172" s="39">
        <f t="shared" si="45"/>
        <v>0</v>
      </c>
      <c r="G172" s="76" t="s">
        <v>340</v>
      </c>
      <c r="H172" s="77" t="s">
        <v>333</v>
      </c>
      <c r="I172" s="77" t="s">
        <v>296</v>
      </c>
      <c r="J172" s="41">
        <v>76000</v>
      </c>
      <c r="K172" s="42">
        <f t="shared" si="35"/>
        <v>8150</v>
      </c>
      <c r="L172" s="39" t="s">
        <v>22</v>
      </c>
      <c r="M172" s="43">
        <f t="shared" si="36"/>
        <v>67850</v>
      </c>
      <c r="N172" s="43">
        <v>8150</v>
      </c>
      <c r="O172" s="72">
        <f t="shared" si="37"/>
        <v>76000</v>
      </c>
      <c r="P172" s="29"/>
      <c r="Q172" s="40" t="s">
        <v>69</v>
      </c>
      <c r="R172" s="53"/>
      <c r="S172" s="44">
        <f t="shared" si="38"/>
        <v>76000</v>
      </c>
      <c r="T172" s="44">
        <f t="shared" si="39"/>
        <v>108571.42857142858</v>
      </c>
      <c r="U172" s="45">
        <f t="shared" si="40"/>
        <v>124081.63265306123</v>
      </c>
      <c r="V172" s="46">
        <f t="shared" si="41"/>
        <v>0.12499999999999996</v>
      </c>
      <c r="W172" s="45">
        <f t="shared" si="42"/>
        <v>124100</v>
      </c>
      <c r="X172" s="47">
        <f t="shared" si="43"/>
        <v>0.30000000000000004</v>
      </c>
      <c r="Y172" s="57">
        <v>107100</v>
      </c>
      <c r="Z172" s="58">
        <f>T172-Y172</f>
        <v>1471.4285714285797</v>
      </c>
      <c r="AA172" s="59">
        <f>Z172/Y172</f>
        <v>1.3738828864879362E-2</v>
      </c>
    </row>
    <row r="173" spans="1:27" ht="14.4" hidden="1" customHeight="1">
      <c r="A173" s="35">
        <v>169</v>
      </c>
      <c r="B173" s="36"/>
      <c r="C173" s="75" t="s">
        <v>637</v>
      </c>
      <c r="D173" s="37" t="str">
        <f t="shared" si="44"/>
        <v xml:space="preserve"> 373</v>
      </c>
      <c r="E173" s="38" t="s">
        <v>637</v>
      </c>
      <c r="F173" s="39">
        <f t="shared" si="45"/>
        <v>0</v>
      </c>
      <c r="G173" s="76" t="s">
        <v>335</v>
      </c>
      <c r="H173" s="77" t="s">
        <v>577</v>
      </c>
      <c r="I173" s="77" t="s">
        <v>638</v>
      </c>
      <c r="J173" s="41"/>
      <c r="K173" s="42">
        <f t="shared" si="35"/>
        <v>0</v>
      </c>
      <c r="L173" s="39"/>
      <c r="M173" s="43">
        <f t="shared" si="36"/>
        <v>0</v>
      </c>
      <c r="N173" s="43"/>
      <c r="O173" s="72">
        <f t="shared" si="37"/>
        <v>0</v>
      </c>
      <c r="P173" s="29"/>
      <c r="Q173" s="40"/>
      <c r="R173" s="53"/>
      <c r="S173" s="44">
        <f t="shared" si="38"/>
        <v>0</v>
      </c>
      <c r="T173" s="44">
        <f t="shared" si="39"/>
        <v>0</v>
      </c>
      <c r="U173" s="45">
        <f t="shared" si="40"/>
        <v>0</v>
      </c>
      <c r="V173" s="46" t="e">
        <f t="shared" si="41"/>
        <v>#DIV/0!</v>
      </c>
      <c r="W173" s="45">
        <f t="shared" si="42"/>
        <v>0</v>
      </c>
      <c r="X173" s="47" t="e">
        <f t="shared" si="43"/>
        <v>#DIV/0!</v>
      </c>
      <c r="Y173" s="54"/>
      <c r="Z173" s="54"/>
      <c r="AA173" s="55"/>
    </row>
    <row r="174" spans="1:27" ht="14.4" hidden="1" customHeight="1">
      <c r="A174" s="35">
        <v>170</v>
      </c>
      <c r="B174" s="36"/>
      <c r="C174" s="75" t="s">
        <v>640</v>
      </c>
      <c r="D174" s="37" t="str">
        <f t="shared" si="44"/>
        <v xml:space="preserve"> 473</v>
      </c>
      <c r="E174" s="38" t="s">
        <v>640</v>
      </c>
      <c r="F174" s="39">
        <f t="shared" si="45"/>
        <v>0</v>
      </c>
      <c r="G174" s="76" t="s">
        <v>340</v>
      </c>
      <c r="H174" s="77" t="s">
        <v>325</v>
      </c>
      <c r="I174" s="77" t="s">
        <v>641</v>
      </c>
      <c r="J174" s="41"/>
      <c r="K174" s="42">
        <f t="shared" si="35"/>
        <v>0</v>
      </c>
      <c r="L174" s="39"/>
      <c r="M174" s="43">
        <f t="shared" si="36"/>
        <v>0</v>
      </c>
      <c r="N174" s="43"/>
      <c r="O174" s="72">
        <f t="shared" si="37"/>
        <v>0</v>
      </c>
      <c r="P174" s="29"/>
      <c r="Q174" s="40"/>
      <c r="R174" s="53"/>
      <c r="S174" s="44">
        <f t="shared" si="38"/>
        <v>0</v>
      </c>
      <c r="T174" s="44">
        <f t="shared" si="39"/>
        <v>0</v>
      </c>
      <c r="U174" s="45">
        <f t="shared" si="40"/>
        <v>0</v>
      </c>
      <c r="V174" s="46" t="e">
        <f t="shared" si="41"/>
        <v>#DIV/0!</v>
      </c>
      <c r="W174" s="45">
        <f t="shared" si="42"/>
        <v>0</v>
      </c>
      <c r="X174" s="47" t="e">
        <f t="shared" si="43"/>
        <v>#DIV/0!</v>
      </c>
      <c r="Y174" s="57">
        <v>106050</v>
      </c>
      <c r="Z174" s="58">
        <f>T174-Y174</f>
        <v>-106050</v>
      </c>
      <c r="AA174" s="59">
        <f>Z174/Y174</f>
        <v>-1</v>
      </c>
    </row>
    <row r="175" spans="1:27" ht="14.4" hidden="1" customHeight="1">
      <c r="A175" s="35">
        <v>171</v>
      </c>
      <c r="B175" s="36"/>
      <c r="C175" s="73" t="s">
        <v>189</v>
      </c>
      <c r="D175" s="37" t="str">
        <f t="shared" si="44"/>
        <v xml:space="preserve"> 798</v>
      </c>
      <c r="E175" s="38" t="s">
        <v>189</v>
      </c>
      <c r="F175" s="39">
        <f t="shared" si="45"/>
        <v>0</v>
      </c>
      <c r="G175" s="76" t="s">
        <v>335</v>
      </c>
      <c r="H175" s="77" t="s">
        <v>634</v>
      </c>
      <c r="I175" s="77" t="s">
        <v>63</v>
      </c>
      <c r="J175" s="41">
        <v>62500</v>
      </c>
      <c r="K175" s="42">
        <f t="shared" si="35"/>
        <v>7900</v>
      </c>
      <c r="L175" s="39" t="s">
        <v>22</v>
      </c>
      <c r="M175" s="43">
        <f t="shared" si="36"/>
        <v>54600</v>
      </c>
      <c r="N175" s="49">
        <f>2000+4850+600+200+250</f>
        <v>7900</v>
      </c>
      <c r="O175" s="72">
        <f t="shared" si="37"/>
        <v>62500</v>
      </c>
      <c r="P175" s="29"/>
      <c r="Q175" s="40" t="s">
        <v>70</v>
      </c>
      <c r="R175" s="44"/>
      <c r="S175" s="44">
        <f t="shared" si="38"/>
        <v>62500</v>
      </c>
      <c r="T175" s="44">
        <f t="shared" si="39"/>
        <v>89285.71428571429</v>
      </c>
      <c r="U175" s="45">
        <f t="shared" si="40"/>
        <v>102040.81632653062</v>
      </c>
      <c r="V175" s="46">
        <f t="shared" si="41"/>
        <v>0.12500000000000003</v>
      </c>
      <c r="W175" s="45">
        <f t="shared" si="42"/>
        <v>102100</v>
      </c>
      <c r="X175" s="47">
        <f t="shared" si="43"/>
        <v>0.30000000000000004</v>
      </c>
      <c r="Y175" s="48"/>
      <c r="Z175" s="48"/>
      <c r="AA175" s="50"/>
    </row>
    <row r="176" spans="1:27" ht="14.4" hidden="1" customHeight="1">
      <c r="A176" s="35">
        <v>172</v>
      </c>
      <c r="B176" s="36"/>
      <c r="C176" s="75" t="s">
        <v>644</v>
      </c>
      <c r="D176" s="37" t="str">
        <f t="shared" si="44"/>
        <v xml:space="preserve"> 735</v>
      </c>
      <c r="E176" s="38" t="s">
        <v>644</v>
      </c>
      <c r="F176" s="39">
        <f t="shared" si="45"/>
        <v>0</v>
      </c>
      <c r="G176" s="76" t="s">
        <v>340</v>
      </c>
      <c r="H176" s="77" t="s">
        <v>325</v>
      </c>
      <c r="I176" s="77" t="s">
        <v>377</v>
      </c>
      <c r="J176" s="41">
        <v>83000</v>
      </c>
      <c r="K176" s="42">
        <f t="shared" si="35"/>
        <v>8550</v>
      </c>
      <c r="L176" s="39" t="s">
        <v>22</v>
      </c>
      <c r="M176" s="43">
        <f t="shared" si="36"/>
        <v>74450</v>
      </c>
      <c r="N176" s="49">
        <f>5500+600+200+250+2000</f>
        <v>8550</v>
      </c>
      <c r="O176" s="72">
        <f t="shared" si="37"/>
        <v>83000</v>
      </c>
      <c r="P176" s="29"/>
      <c r="Q176" s="40" t="s">
        <v>1397</v>
      </c>
      <c r="R176" s="44"/>
      <c r="S176" s="44">
        <f t="shared" si="38"/>
        <v>83000</v>
      </c>
      <c r="T176" s="44">
        <f t="shared" si="39"/>
        <v>118571.42857142858</v>
      </c>
      <c r="U176" s="45">
        <f t="shared" si="40"/>
        <v>135510.20408163266</v>
      </c>
      <c r="V176" s="46">
        <f t="shared" si="41"/>
        <v>0.125</v>
      </c>
      <c r="W176" s="45">
        <f t="shared" si="42"/>
        <v>135600</v>
      </c>
      <c r="X176" s="47">
        <f t="shared" si="43"/>
        <v>0.30000000000000004</v>
      </c>
      <c r="Y176" s="57">
        <v>119000</v>
      </c>
      <c r="Z176" s="58">
        <f>T176-Y176</f>
        <v>-428.57142857142026</v>
      </c>
      <c r="AA176" s="59">
        <f>Z176/Y176</f>
        <v>-3.6014405762304223E-3</v>
      </c>
    </row>
    <row r="177" spans="1:27" ht="14.4" hidden="1" customHeight="1">
      <c r="A177" s="35">
        <v>173</v>
      </c>
      <c r="B177" s="36"/>
      <c r="C177" s="75" t="s">
        <v>646</v>
      </c>
      <c r="D177" s="37" t="str">
        <f t="shared" si="44"/>
        <v xml:space="preserve"> 330</v>
      </c>
      <c r="E177" s="38" t="s">
        <v>646</v>
      </c>
      <c r="F177" s="39">
        <f t="shared" si="45"/>
        <v>0</v>
      </c>
      <c r="G177" s="76" t="s">
        <v>335</v>
      </c>
      <c r="H177" s="77" t="s">
        <v>325</v>
      </c>
      <c r="I177" s="77" t="s">
        <v>647</v>
      </c>
      <c r="J177" s="41">
        <v>80000</v>
      </c>
      <c r="K177" s="42">
        <f t="shared" si="35"/>
        <v>8150</v>
      </c>
      <c r="L177" s="39" t="s">
        <v>22</v>
      </c>
      <c r="M177" s="43">
        <f t="shared" si="36"/>
        <v>71850</v>
      </c>
      <c r="N177" s="49">
        <f>2000+5100+600+200+250</f>
        <v>8150</v>
      </c>
      <c r="O177" s="72">
        <f t="shared" si="37"/>
        <v>80000</v>
      </c>
      <c r="P177" s="29"/>
      <c r="Q177" s="40" t="s">
        <v>1307</v>
      </c>
      <c r="R177" s="44"/>
      <c r="S177" s="44">
        <f t="shared" si="38"/>
        <v>80000</v>
      </c>
      <c r="T177" s="44">
        <f t="shared" si="39"/>
        <v>114285.71428571429</v>
      </c>
      <c r="U177" s="45">
        <f t="shared" si="40"/>
        <v>130612.24489795919</v>
      </c>
      <c r="V177" s="46">
        <f t="shared" si="41"/>
        <v>0.12499999999999999</v>
      </c>
      <c r="W177" s="45">
        <f t="shared" si="42"/>
        <v>130700</v>
      </c>
      <c r="X177" s="47">
        <f t="shared" si="43"/>
        <v>0.30000000000000004</v>
      </c>
      <c r="Y177" s="48"/>
      <c r="Z177" s="48"/>
      <c r="AA177" s="50"/>
    </row>
    <row r="178" spans="1:27" ht="14.4" hidden="1" customHeight="1">
      <c r="A178" s="35">
        <v>174</v>
      </c>
      <c r="B178" s="36"/>
      <c r="C178" s="75" t="s">
        <v>1345</v>
      </c>
      <c r="D178" s="37" t="str">
        <f t="shared" si="44"/>
        <v xml:space="preserve"> </v>
      </c>
      <c r="E178" s="38" t="s">
        <v>649</v>
      </c>
      <c r="F178" s="39">
        <f t="shared" si="45"/>
        <v>1</v>
      </c>
      <c r="G178" s="76" t="s">
        <v>340</v>
      </c>
      <c r="H178" s="77" t="s">
        <v>325</v>
      </c>
      <c r="I178" s="77" t="s">
        <v>355</v>
      </c>
      <c r="J178" s="41"/>
      <c r="K178" s="42">
        <f t="shared" si="35"/>
        <v>0</v>
      </c>
      <c r="L178" s="39"/>
      <c r="M178" s="43">
        <f t="shared" si="36"/>
        <v>0</v>
      </c>
      <c r="N178" s="49"/>
      <c r="O178" s="72">
        <f t="shared" si="37"/>
        <v>0</v>
      </c>
      <c r="P178" s="29"/>
      <c r="Q178" s="40"/>
      <c r="R178" s="44"/>
      <c r="S178" s="44">
        <f t="shared" si="38"/>
        <v>0</v>
      </c>
      <c r="T178" s="44">
        <f t="shared" si="39"/>
        <v>0</v>
      </c>
      <c r="U178" s="45">
        <f t="shared" si="40"/>
        <v>0</v>
      </c>
      <c r="V178" s="46" t="e">
        <f t="shared" si="41"/>
        <v>#DIV/0!</v>
      </c>
      <c r="W178" s="45">
        <f t="shared" si="42"/>
        <v>0</v>
      </c>
      <c r="X178" s="47" t="e">
        <f t="shared" si="43"/>
        <v>#DIV/0!</v>
      </c>
      <c r="Y178" s="57"/>
      <c r="Z178" s="58">
        <f>T178-Y178</f>
        <v>0</v>
      </c>
      <c r="AA178" s="59" t="e">
        <f>Z178/Y178</f>
        <v>#DIV/0!</v>
      </c>
    </row>
    <row r="179" spans="1:27" ht="14.4" hidden="1" customHeight="1">
      <c r="A179" s="35">
        <v>175</v>
      </c>
      <c r="B179" s="36"/>
      <c r="C179" s="73" t="s">
        <v>253</v>
      </c>
      <c r="D179" s="37" t="str">
        <f t="shared" si="44"/>
        <v xml:space="preserve"> 455</v>
      </c>
      <c r="E179" s="38" t="s">
        <v>253</v>
      </c>
      <c r="F179" s="39">
        <f t="shared" si="45"/>
        <v>0</v>
      </c>
      <c r="G179" s="76" t="s">
        <v>335</v>
      </c>
      <c r="H179" s="77" t="s">
        <v>634</v>
      </c>
      <c r="I179" s="77" t="s">
        <v>48</v>
      </c>
      <c r="J179" s="41">
        <v>71000</v>
      </c>
      <c r="K179" s="42">
        <f t="shared" si="35"/>
        <v>7900</v>
      </c>
      <c r="L179" s="39" t="s">
        <v>22</v>
      </c>
      <c r="M179" s="43">
        <f t="shared" si="36"/>
        <v>63100</v>
      </c>
      <c r="N179" s="43">
        <f>2000+4850+600+200+250</f>
        <v>7900</v>
      </c>
      <c r="O179" s="72">
        <f t="shared" si="37"/>
        <v>71000</v>
      </c>
      <c r="P179" s="29"/>
      <c r="Q179" s="40" t="s">
        <v>70</v>
      </c>
      <c r="R179" s="44"/>
      <c r="S179" s="44">
        <f t="shared" si="38"/>
        <v>71000</v>
      </c>
      <c r="T179" s="44">
        <f t="shared" si="39"/>
        <v>101428.57142857143</v>
      </c>
      <c r="U179" s="45">
        <f t="shared" si="40"/>
        <v>115918.36734693879</v>
      </c>
      <c r="V179" s="46">
        <f t="shared" si="41"/>
        <v>0.12500000000000003</v>
      </c>
      <c r="W179" s="45">
        <f t="shared" si="42"/>
        <v>116000</v>
      </c>
      <c r="X179" s="47">
        <f t="shared" si="43"/>
        <v>0.30000000000000004</v>
      </c>
      <c r="Y179" s="48"/>
      <c r="Z179" s="48"/>
      <c r="AA179" s="50"/>
    </row>
    <row r="180" spans="1:27" ht="14.4" hidden="1" customHeight="1">
      <c r="A180" s="56">
        <v>176</v>
      </c>
      <c r="B180" s="36"/>
      <c r="C180" s="73" t="s">
        <v>265</v>
      </c>
      <c r="D180" s="37" t="str">
        <f t="shared" si="44"/>
        <v xml:space="preserve"> 570</v>
      </c>
      <c r="E180" s="38" t="s">
        <v>265</v>
      </c>
      <c r="F180" s="39">
        <f t="shared" si="45"/>
        <v>0</v>
      </c>
      <c r="G180" s="76" t="s">
        <v>335</v>
      </c>
      <c r="H180" s="77" t="s">
        <v>634</v>
      </c>
      <c r="I180" s="77" t="s">
        <v>291</v>
      </c>
      <c r="J180" s="41">
        <v>70000</v>
      </c>
      <c r="K180" s="42">
        <f t="shared" si="35"/>
        <v>7900</v>
      </c>
      <c r="L180" s="39" t="s">
        <v>22</v>
      </c>
      <c r="M180" s="43">
        <f t="shared" si="36"/>
        <v>62100</v>
      </c>
      <c r="N180" s="43">
        <f>2000+4850+600+200+250</f>
        <v>7900</v>
      </c>
      <c r="O180" s="72">
        <f t="shared" si="37"/>
        <v>70000</v>
      </c>
      <c r="P180" s="29"/>
      <c r="Q180" s="40" t="s">
        <v>70</v>
      </c>
      <c r="R180" s="53"/>
      <c r="S180" s="44">
        <f t="shared" si="38"/>
        <v>70000</v>
      </c>
      <c r="T180" s="44">
        <f t="shared" si="39"/>
        <v>100000</v>
      </c>
      <c r="U180" s="45">
        <f t="shared" si="40"/>
        <v>114285.71428571429</v>
      </c>
      <c r="V180" s="46">
        <f t="shared" si="41"/>
        <v>0.12500000000000003</v>
      </c>
      <c r="W180" s="45">
        <f t="shared" si="42"/>
        <v>114300</v>
      </c>
      <c r="X180" s="47">
        <f t="shared" si="43"/>
        <v>0.3</v>
      </c>
      <c r="Y180" s="54"/>
      <c r="Z180" s="54"/>
      <c r="AA180" s="55"/>
    </row>
    <row r="181" spans="1:27" ht="14.4" hidden="1" customHeight="1">
      <c r="A181" s="35">
        <v>177</v>
      </c>
      <c r="B181" s="36"/>
      <c r="C181" s="73" t="s">
        <v>176</v>
      </c>
      <c r="D181" s="37" t="str">
        <f t="shared" si="44"/>
        <v xml:space="preserve"> 152</v>
      </c>
      <c r="E181" s="38" t="s">
        <v>176</v>
      </c>
      <c r="F181" s="39">
        <f t="shared" si="45"/>
        <v>0</v>
      </c>
      <c r="G181" s="76" t="s">
        <v>335</v>
      </c>
      <c r="H181" s="77" t="s">
        <v>634</v>
      </c>
      <c r="I181" s="77" t="s">
        <v>48</v>
      </c>
      <c r="J181" s="41">
        <v>74000</v>
      </c>
      <c r="K181" s="42">
        <f t="shared" si="35"/>
        <v>7900</v>
      </c>
      <c r="L181" s="39" t="s">
        <v>22</v>
      </c>
      <c r="M181" s="43">
        <f t="shared" si="36"/>
        <v>66100</v>
      </c>
      <c r="N181" s="43">
        <f>2000+4850+600+200+250</f>
        <v>7900</v>
      </c>
      <c r="O181" s="72">
        <f t="shared" si="37"/>
        <v>74000</v>
      </c>
      <c r="P181" s="29"/>
      <c r="Q181" s="40" t="s">
        <v>70</v>
      </c>
      <c r="R181" s="44"/>
      <c r="S181" s="44">
        <f t="shared" si="38"/>
        <v>74000</v>
      </c>
      <c r="T181" s="44">
        <f t="shared" si="39"/>
        <v>105714.28571428572</v>
      </c>
      <c r="U181" s="45">
        <f t="shared" si="40"/>
        <v>120816.32653061226</v>
      </c>
      <c r="V181" s="46">
        <f t="shared" si="41"/>
        <v>0.12500000000000006</v>
      </c>
      <c r="W181" s="45">
        <f t="shared" si="42"/>
        <v>120900</v>
      </c>
      <c r="X181" s="47">
        <f t="shared" si="43"/>
        <v>0.30000000000000004</v>
      </c>
      <c r="Y181" s="48"/>
      <c r="Z181" s="48"/>
      <c r="AA181" s="48"/>
    </row>
    <row r="182" spans="1:27" ht="14.4" hidden="1" customHeight="1">
      <c r="A182" s="56">
        <v>178</v>
      </c>
      <c r="B182" s="36"/>
      <c r="C182" s="73" t="s">
        <v>264</v>
      </c>
      <c r="D182" s="37" t="str">
        <f t="shared" si="44"/>
        <v xml:space="preserve"> 790</v>
      </c>
      <c r="E182" s="38" t="s">
        <v>264</v>
      </c>
      <c r="F182" s="39">
        <f t="shared" si="45"/>
        <v>0</v>
      </c>
      <c r="G182" s="76" t="s">
        <v>340</v>
      </c>
      <c r="H182" s="77" t="s">
        <v>321</v>
      </c>
      <c r="I182" s="77" t="s">
        <v>291</v>
      </c>
      <c r="J182" s="41">
        <v>77500</v>
      </c>
      <c r="K182" s="42">
        <f t="shared" si="35"/>
        <v>7900</v>
      </c>
      <c r="L182" s="39" t="s">
        <v>22</v>
      </c>
      <c r="M182" s="43">
        <f t="shared" si="36"/>
        <v>69600</v>
      </c>
      <c r="N182" s="43">
        <f>2000+4850+600+200+250</f>
        <v>7900</v>
      </c>
      <c r="O182" s="72">
        <f t="shared" si="37"/>
        <v>77500</v>
      </c>
      <c r="P182" s="29"/>
      <c r="Q182" s="40" t="s">
        <v>70</v>
      </c>
      <c r="R182" s="53"/>
      <c r="S182" s="44">
        <f t="shared" si="38"/>
        <v>77500</v>
      </c>
      <c r="T182" s="44">
        <f t="shared" si="39"/>
        <v>110714.28571428572</v>
      </c>
      <c r="U182" s="45">
        <f t="shared" si="40"/>
        <v>126530.61224489797</v>
      </c>
      <c r="V182" s="46">
        <f t="shared" si="41"/>
        <v>0.12500000000000003</v>
      </c>
      <c r="W182" s="45">
        <f t="shared" si="42"/>
        <v>126600</v>
      </c>
      <c r="X182" s="47">
        <f t="shared" si="43"/>
        <v>0.30000000000000004</v>
      </c>
      <c r="Y182" s="57">
        <v>110075</v>
      </c>
      <c r="Z182" s="58">
        <f>T182-Y182</f>
        <v>639.28571428572468</v>
      </c>
      <c r="AA182" s="59">
        <f>Z182/Y182</f>
        <v>5.8077284968042217E-3</v>
      </c>
    </row>
    <row r="183" spans="1:27" ht="14.4" hidden="1" customHeight="1">
      <c r="A183" s="35">
        <v>179</v>
      </c>
      <c r="B183" s="36"/>
      <c r="C183" s="73" t="s">
        <v>177</v>
      </c>
      <c r="D183" s="37" t="str">
        <f t="shared" si="44"/>
        <v xml:space="preserve"> 489</v>
      </c>
      <c r="E183" s="38" t="s">
        <v>177</v>
      </c>
      <c r="F183" s="39">
        <f t="shared" si="45"/>
        <v>0</v>
      </c>
      <c r="G183" s="76" t="s">
        <v>335</v>
      </c>
      <c r="H183" s="77" t="s">
        <v>326</v>
      </c>
      <c r="I183" s="77" t="s">
        <v>48</v>
      </c>
      <c r="J183" s="41">
        <v>71000</v>
      </c>
      <c r="K183" s="42">
        <f t="shared" si="35"/>
        <v>7900</v>
      </c>
      <c r="L183" s="39" t="s">
        <v>22</v>
      </c>
      <c r="M183" s="43">
        <f t="shared" si="36"/>
        <v>63100</v>
      </c>
      <c r="N183" s="43">
        <f>2000+4850+600+200+250</f>
        <v>7900</v>
      </c>
      <c r="O183" s="72">
        <f t="shared" si="37"/>
        <v>71000</v>
      </c>
      <c r="P183" s="29"/>
      <c r="Q183" s="40" t="s">
        <v>70</v>
      </c>
      <c r="R183" s="44"/>
      <c r="S183" s="44">
        <f t="shared" si="38"/>
        <v>71000</v>
      </c>
      <c r="T183" s="44">
        <f t="shared" si="39"/>
        <v>101428.57142857143</v>
      </c>
      <c r="U183" s="45">
        <f t="shared" si="40"/>
        <v>115918.36734693879</v>
      </c>
      <c r="V183" s="46">
        <f t="shared" si="41"/>
        <v>0.12500000000000003</v>
      </c>
      <c r="W183" s="45">
        <f t="shared" si="42"/>
        <v>116000</v>
      </c>
      <c r="X183" s="47">
        <f t="shared" si="43"/>
        <v>0.30000000000000004</v>
      </c>
      <c r="Y183" s="48"/>
      <c r="Z183" s="48"/>
      <c r="AA183" s="48"/>
    </row>
    <row r="184" spans="1:27" ht="14.4" hidden="1" customHeight="1">
      <c r="A184" s="56">
        <v>180</v>
      </c>
      <c r="B184" s="36"/>
      <c r="C184" s="75" t="s">
        <v>96</v>
      </c>
      <c r="D184" s="37" t="str">
        <f t="shared" si="44"/>
        <v xml:space="preserve"> 313</v>
      </c>
      <c r="E184" s="38" t="s">
        <v>96</v>
      </c>
      <c r="F184" s="39">
        <f t="shared" si="45"/>
        <v>0</v>
      </c>
      <c r="G184" s="76" t="s">
        <v>340</v>
      </c>
      <c r="H184" s="77" t="s">
        <v>634</v>
      </c>
      <c r="I184" s="77" t="s">
        <v>46</v>
      </c>
      <c r="J184" s="41">
        <v>70000</v>
      </c>
      <c r="K184" s="42">
        <f t="shared" si="35"/>
        <v>7900</v>
      </c>
      <c r="L184" s="39" t="s">
        <v>22</v>
      </c>
      <c r="M184" s="43">
        <f t="shared" si="36"/>
        <v>62100</v>
      </c>
      <c r="N184" s="43">
        <v>7900</v>
      </c>
      <c r="O184" s="72">
        <f t="shared" si="37"/>
        <v>70000</v>
      </c>
      <c r="P184" s="29"/>
      <c r="Q184" s="40" t="s">
        <v>70</v>
      </c>
      <c r="R184" s="44"/>
      <c r="S184" s="44">
        <f t="shared" si="38"/>
        <v>70000</v>
      </c>
      <c r="T184" s="44">
        <f t="shared" si="39"/>
        <v>100000</v>
      </c>
      <c r="U184" s="45">
        <f t="shared" si="40"/>
        <v>114285.71428571429</v>
      </c>
      <c r="V184" s="46">
        <f t="shared" si="41"/>
        <v>0.12500000000000003</v>
      </c>
      <c r="W184" s="45">
        <f t="shared" si="42"/>
        <v>114300</v>
      </c>
      <c r="X184" s="47">
        <f t="shared" si="43"/>
        <v>0.3</v>
      </c>
      <c r="Y184" s="57">
        <v>99050</v>
      </c>
      <c r="Z184" s="58">
        <f>T184-Y184</f>
        <v>950</v>
      </c>
      <c r="AA184" s="59">
        <f>Z184/Y184</f>
        <v>9.5911155981827367E-3</v>
      </c>
    </row>
    <row r="185" spans="1:27" ht="14.4" hidden="1" customHeight="1">
      <c r="A185" s="56">
        <v>181</v>
      </c>
      <c r="B185" s="36"/>
      <c r="C185" s="73" t="s">
        <v>228</v>
      </c>
      <c r="D185" s="37" t="str">
        <f t="shared" si="44"/>
        <v xml:space="preserve"> 351</v>
      </c>
      <c r="E185" s="38" t="s">
        <v>228</v>
      </c>
      <c r="F185" s="39">
        <f t="shared" si="45"/>
        <v>0</v>
      </c>
      <c r="G185" s="76" t="s">
        <v>335</v>
      </c>
      <c r="H185" s="77" t="s">
        <v>325</v>
      </c>
      <c r="I185" s="77" t="s">
        <v>55</v>
      </c>
      <c r="J185" s="41">
        <v>70000</v>
      </c>
      <c r="K185" s="42">
        <f t="shared" si="35"/>
        <v>8150</v>
      </c>
      <c r="L185" s="39" t="s">
        <v>22</v>
      </c>
      <c r="M185" s="43">
        <f t="shared" si="36"/>
        <v>61850</v>
      </c>
      <c r="N185" s="49">
        <f>2000+5100+600+250+200</f>
        <v>8150</v>
      </c>
      <c r="O185" s="72">
        <f t="shared" si="37"/>
        <v>70000</v>
      </c>
      <c r="P185" s="29"/>
      <c r="Q185" s="40" t="s">
        <v>69</v>
      </c>
      <c r="R185" s="44"/>
      <c r="S185" s="44">
        <f t="shared" si="38"/>
        <v>70000</v>
      </c>
      <c r="T185" s="44">
        <f t="shared" si="39"/>
        <v>100000</v>
      </c>
      <c r="U185" s="45">
        <f t="shared" si="40"/>
        <v>114285.71428571429</v>
      </c>
      <c r="V185" s="46">
        <f t="shared" si="41"/>
        <v>0.12500000000000003</v>
      </c>
      <c r="W185" s="45">
        <f t="shared" si="42"/>
        <v>114300</v>
      </c>
      <c r="X185" s="47">
        <f t="shared" si="43"/>
        <v>0.3</v>
      </c>
      <c r="Y185" s="48"/>
      <c r="Z185" s="48"/>
      <c r="AA185" s="48"/>
    </row>
    <row r="186" spans="1:27" ht="14.4" hidden="1" customHeight="1">
      <c r="A186" s="35">
        <v>182</v>
      </c>
      <c r="B186" s="36"/>
      <c r="C186" s="73" t="s">
        <v>97</v>
      </c>
      <c r="D186" s="37" t="str">
        <f t="shared" si="44"/>
        <v xml:space="preserve"> 436</v>
      </c>
      <c r="E186" s="38" t="s">
        <v>97</v>
      </c>
      <c r="F186" s="39">
        <f t="shared" si="45"/>
        <v>0</v>
      </c>
      <c r="G186" s="76" t="s">
        <v>340</v>
      </c>
      <c r="H186" s="77" t="s">
        <v>321</v>
      </c>
      <c r="I186" s="77" t="s">
        <v>46</v>
      </c>
      <c r="J186" s="41">
        <v>72000</v>
      </c>
      <c r="K186" s="42">
        <f t="shared" si="35"/>
        <v>7900</v>
      </c>
      <c r="L186" s="39" t="s">
        <v>22</v>
      </c>
      <c r="M186" s="43">
        <f t="shared" si="36"/>
        <v>64100</v>
      </c>
      <c r="N186" s="43">
        <f>2000+4850+600+200+250</f>
        <v>7900</v>
      </c>
      <c r="O186" s="72">
        <f t="shared" si="37"/>
        <v>72000</v>
      </c>
      <c r="P186" s="29"/>
      <c r="Q186" s="40" t="s">
        <v>70</v>
      </c>
      <c r="R186" s="44"/>
      <c r="S186" s="44">
        <f t="shared" si="38"/>
        <v>72000</v>
      </c>
      <c r="T186" s="44">
        <f t="shared" si="39"/>
        <v>102857.14285714287</v>
      </c>
      <c r="U186" s="45">
        <f t="shared" si="40"/>
        <v>117551.02040816328</v>
      </c>
      <c r="V186" s="46">
        <f t="shared" si="41"/>
        <v>0.12500000000000003</v>
      </c>
      <c r="W186" s="45">
        <f t="shared" si="42"/>
        <v>117600</v>
      </c>
      <c r="X186" s="47">
        <f t="shared" si="43"/>
        <v>0.3000000000000001</v>
      </c>
      <c r="Y186" s="57">
        <v>99050</v>
      </c>
      <c r="Z186" s="58">
        <f>T186-Y186</f>
        <v>3807.1428571428696</v>
      </c>
      <c r="AA186" s="59">
        <f>Z186/Y186</f>
        <v>3.8436576043845226E-2</v>
      </c>
    </row>
    <row r="187" spans="1:27" ht="14.4" hidden="1" customHeight="1">
      <c r="A187" s="56">
        <v>183</v>
      </c>
      <c r="B187" s="36"/>
      <c r="C187" s="73" t="s">
        <v>166</v>
      </c>
      <c r="D187" s="37" t="str">
        <f t="shared" si="44"/>
        <v xml:space="preserve"> 382</v>
      </c>
      <c r="E187" s="38" t="s">
        <v>166</v>
      </c>
      <c r="F187" s="39">
        <f t="shared" si="45"/>
        <v>0</v>
      </c>
      <c r="G187" s="76" t="s">
        <v>335</v>
      </c>
      <c r="H187" s="77" t="s">
        <v>321</v>
      </c>
      <c r="I187" s="77" t="s">
        <v>53</v>
      </c>
      <c r="J187" s="41">
        <v>70000</v>
      </c>
      <c r="K187" s="42">
        <f t="shared" si="35"/>
        <v>7900</v>
      </c>
      <c r="L187" s="39" t="s">
        <v>22</v>
      </c>
      <c r="M187" s="43">
        <f t="shared" si="36"/>
        <v>62100</v>
      </c>
      <c r="N187" s="49">
        <f>2000+4850+600+200+250</f>
        <v>7900</v>
      </c>
      <c r="O187" s="72">
        <f t="shared" si="37"/>
        <v>70000</v>
      </c>
      <c r="P187" s="61"/>
      <c r="Q187" s="40" t="s">
        <v>70</v>
      </c>
      <c r="R187" s="44"/>
      <c r="S187" s="44">
        <f t="shared" si="38"/>
        <v>70000</v>
      </c>
      <c r="T187" s="44">
        <f t="shared" si="39"/>
        <v>100000</v>
      </c>
      <c r="U187" s="45">
        <f t="shared" si="40"/>
        <v>114285.71428571429</v>
      </c>
      <c r="V187" s="46">
        <f t="shared" si="41"/>
        <v>0.12500000000000003</v>
      </c>
      <c r="W187" s="45">
        <f t="shared" si="42"/>
        <v>114300</v>
      </c>
      <c r="X187" s="47">
        <f t="shared" si="43"/>
        <v>0.3</v>
      </c>
      <c r="Y187" s="48"/>
      <c r="Z187" s="48"/>
      <c r="AA187" s="50"/>
    </row>
    <row r="188" spans="1:27" ht="14.4" hidden="1" customHeight="1">
      <c r="A188" s="56">
        <v>184</v>
      </c>
      <c r="B188" s="36"/>
      <c r="C188" s="73" t="s">
        <v>179</v>
      </c>
      <c r="D188" s="37" t="str">
        <f t="shared" si="44"/>
        <v xml:space="preserve"> 745</v>
      </c>
      <c r="E188" s="38" t="s">
        <v>179</v>
      </c>
      <c r="F188" s="39">
        <f t="shared" si="45"/>
        <v>0</v>
      </c>
      <c r="G188" s="76" t="s">
        <v>335</v>
      </c>
      <c r="H188" s="77" t="s">
        <v>634</v>
      </c>
      <c r="I188" s="77" t="s">
        <v>48</v>
      </c>
      <c r="J188" s="41">
        <v>71000</v>
      </c>
      <c r="K188" s="42">
        <f t="shared" si="35"/>
        <v>7900</v>
      </c>
      <c r="L188" s="39" t="s">
        <v>22</v>
      </c>
      <c r="M188" s="43">
        <f t="shared" si="36"/>
        <v>63100</v>
      </c>
      <c r="N188" s="43">
        <f>2000+4850+600+200+250</f>
        <v>7900</v>
      </c>
      <c r="O188" s="72">
        <f t="shared" si="37"/>
        <v>71000</v>
      </c>
      <c r="P188" s="29"/>
      <c r="Q188" s="40" t="s">
        <v>70</v>
      </c>
      <c r="R188" s="44"/>
      <c r="S188" s="44">
        <f t="shared" si="38"/>
        <v>71000</v>
      </c>
      <c r="T188" s="44">
        <f t="shared" si="39"/>
        <v>101428.57142857143</v>
      </c>
      <c r="U188" s="45">
        <f t="shared" si="40"/>
        <v>115918.36734693879</v>
      </c>
      <c r="V188" s="46">
        <f t="shared" si="41"/>
        <v>0.12500000000000003</v>
      </c>
      <c r="W188" s="45">
        <f t="shared" si="42"/>
        <v>116000</v>
      </c>
      <c r="X188" s="47">
        <f t="shared" si="43"/>
        <v>0.30000000000000004</v>
      </c>
      <c r="Y188" s="48"/>
      <c r="Z188" s="48"/>
      <c r="AA188" s="48"/>
    </row>
    <row r="189" spans="1:27" ht="14.4" hidden="1" customHeight="1">
      <c r="A189" s="35">
        <v>185</v>
      </c>
      <c r="B189" s="36"/>
      <c r="C189" s="73" t="s">
        <v>255</v>
      </c>
      <c r="D189" s="37" t="str">
        <f t="shared" si="44"/>
        <v xml:space="preserve"> 236</v>
      </c>
      <c r="E189" s="38" t="s">
        <v>255</v>
      </c>
      <c r="F189" s="39">
        <f t="shared" si="45"/>
        <v>0</v>
      </c>
      <c r="G189" s="76" t="s">
        <v>335</v>
      </c>
      <c r="H189" s="77" t="s">
        <v>634</v>
      </c>
      <c r="I189" s="77" t="s">
        <v>661</v>
      </c>
      <c r="J189" s="41"/>
      <c r="K189" s="42">
        <f t="shared" ref="K189:K252" si="46">J189-M189</f>
        <v>0</v>
      </c>
      <c r="L189" s="39" t="s">
        <v>22</v>
      </c>
      <c r="M189" s="43">
        <f t="shared" ref="M189:M252" si="47">J189-N189</f>
        <v>0</v>
      </c>
      <c r="N189" s="43"/>
      <c r="O189" s="72">
        <f t="shared" ref="O189:O252" si="48">M189+N189</f>
        <v>0</v>
      </c>
      <c r="P189" s="29"/>
      <c r="Q189" s="40" t="s">
        <v>70</v>
      </c>
      <c r="R189" s="53"/>
      <c r="S189" s="44">
        <f t="shared" ref="S189:S252" si="49">R189+O189</f>
        <v>0</v>
      </c>
      <c r="T189" s="44">
        <f t="shared" ref="T189:T252" si="50">S189/0.7</f>
        <v>0</v>
      </c>
      <c r="U189" s="45">
        <f t="shared" ref="U189:U252" si="51">T189/0.875</f>
        <v>0</v>
      </c>
      <c r="V189" s="46" t="e">
        <f t="shared" ref="V189:V252" si="52">(U189-T189)/U189</f>
        <v>#DIV/0!</v>
      </c>
      <c r="W189" s="45">
        <f t="shared" ref="W189:W252" si="53">(ROUNDUP((U189/100),0))*100</f>
        <v>0</v>
      </c>
      <c r="X189" s="47" t="e">
        <f t="shared" ref="X189:X252" si="54">(T189-O189)/T189</f>
        <v>#DIV/0!</v>
      </c>
      <c r="Y189" s="54"/>
      <c r="Z189" s="54"/>
      <c r="AA189" s="55"/>
    </row>
    <row r="190" spans="1:27" ht="14.4" hidden="1" customHeight="1">
      <c r="A190" s="56">
        <v>186</v>
      </c>
      <c r="B190" s="39"/>
      <c r="C190" s="74" t="s">
        <v>304</v>
      </c>
      <c r="D190" s="37" t="str">
        <f t="shared" si="44"/>
        <v xml:space="preserve"> 884</v>
      </c>
      <c r="E190" s="38" t="s">
        <v>304</v>
      </c>
      <c r="F190" s="39">
        <f t="shared" si="45"/>
        <v>0</v>
      </c>
      <c r="G190" s="76" t="s">
        <v>335</v>
      </c>
      <c r="H190" s="77" t="s">
        <v>321</v>
      </c>
      <c r="I190" s="77" t="s">
        <v>315</v>
      </c>
      <c r="J190" s="62">
        <v>80000</v>
      </c>
      <c r="K190" s="42">
        <f t="shared" si="46"/>
        <v>7900</v>
      </c>
      <c r="L190" s="39" t="s">
        <v>22</v>
      </c>
      <c r="M190" s="43">
        <f t="shared" si="47"/>
        <v>72100</v>
      </c>
      <c r="N190" s="63">
        <f>2000+4850+600+200+250</f>
        <v>7900</v>
      </c>
      <c r="O190" s="72">
        <f t="shared" si="48"/>
        <v>80000</v>
      </c>
      <c r="P190" s="29"/>
      <c r="Q190" s="40" t="s">
        <v>69</v>
      </c>
      <c r="R190" s="53"/>
      <c r="S190" s="44">
        <f t="shared" si="49"/>
        <v>80000</v>
      </c>
      <c r="T190" s="44">
        <f t="shared" si="50"/>
        <v>114285.71428571429</v>
      </c>
      <c r="U190" s="45">
        <f t="shared" si="51"/>
        <v>130612.24489795919</v>
      </c>
      <c r="V190" s="46">
        <f t="shared" si="52"/>
        <v>0.12499999999999999</v>
      </c>
      <c r="W190" s="45">
        <f t="shared" si="53"/>
        <v>130700</v>
      </c>
      <c r="X190" s="47">
        <f t="shared" si="54"/>
        <v>0.30000000000000004</v>
      </c>
      <c r="Y190" s="54"/>
      <c r="Z190" s="54"/>
      <c r="AA190" s="55"/>
    </row>
    <row r="191" spans="1:27" ht="14.4" hidden="1" customHeight="1">
      <c r="A191" s="56">
        <v>187</v>
      </c>
      <c r="B191" s="36"/>
      <c r="C191" s="73" t="s">
        <v>108</v>
      </c>
      <c r="D191" s="37" t="str">
        <f t="shared" si="44"/>
        <v xml:space="preserve"> 293</v>
      </c>
      <c r="E191" s="38" t="s">
        <v>108</v>
      </c>
      <c r="F191" s="39">
        <f t="shared" si="45"/>
        <v>0</v>
      </c>
      <c r="G191" s="76" t="s">
        <v>335</v>
      </c>
      <c r="H191" s="77" t="s">
        <v>664</v>
      </c>
      <c r="I191" s="77" t="s">
        <v>334</v>
      </c>
      <c r="J191" s="41">
        <v>78000</v>
      </c>
      <c r="K191" s="42">
        <f t="shared" si="46"/>
        <v>8250</v>
      </c>
      <c r="L191" s="39" t="s">
        <v>22</v>
      </c>
      <c r="M191" s="43">
        <f t="shared" si="47"/>
        <v>69750</v>
      </c>
      <c r="N191" s="43">
        <f>2000+5200+600+200+250</f>
        <v>8250</v>
      </c>
      <c r="O191" s="72">
        <f t="shared" si="48"/>
        <v>78000</v>
      </c>
      <c r="P191" s="29"/>
      <c r="Q191" s="40" t="s">
        <v>71</v>
      </c>
      <c r="R191" s="44"/>
      <c r="S191" s="44">
        <f t="shared" si="49"/>
        <v>78000</v>
      </c>
      <c r="T191" s="44">
        <f t="shared" si="50"/>
        <v>111428.57142857143</v>
      </c>
      <c r="U191" s="45">
        <f t="shared" si="51"/>
        <v>127346.93877551021</v>
      </c>
      <c r="V191" s="46">
        <f t="shared" si="52"/>
        <v>0.12499999999999997</v>
      </c>
      <c r="W191" s="45">
        <f t="shared" si="53"/>
        <v>127400</v>
      </c>
      <c r="X191" s="47">
        <f t="shared" si="54"/>
        <v>0.30000000000000004</v>
      </c>
      <c r="Y191" s="48"/>
      <c r="Z191" s="48"/>
      <c r="AA191" s="48"/>
    </row>
    <row r="192" spans="1:27" ht="14.4" hidden="1" customHeight="1">
      <c r="A192" s="35">
        <v>188</v>
      </c>
      <c r="B192" s="36"/>
      <c r="C192" s="73" t="s">
        <v>109</v>
      </c>
      <c r="D192" s="37" t="str">
        <f t="shared" si="44"/>
        <v xml:space="preserve"> 995</v>
      </c>
      <c r="E192" s="38" t="s">
        <v>109</v>
      </c>
      <c r="F192" s="39">
        <f t="shared" si="45"/>
        <v>0</v>
      </c>
      <c r="G192" s="76" t="s">
        <v>335</v>
      </c>
      <c r="H192" s="77" t="s">
        <v>664</v>
      </c>
      <c r="I192" s="77" t="s">
        <v>334</v>
      </c>
      <c r="J192" s="41">
        <v>78000</v>
      </c>
      <c r="K192" s="42">
        <f t="shared" si="46"/>
        <v>8250</v>
      </c>
      <c r="L192" s="39" t="s">
        <v>22</v>
      </c>
      <c r="M192" s="43">
        <f t="shared" si="47"/>
        <v>69750</v>
      </c>
      <c r="N192" s="43">
        <f>2000+5200+600+200+250</f>
        <v>8250</v>
      </c>
      <c r="O192" s="72">
        <f t="shared" si="48"/>
        <v>78000</v>
      </c>
      <c r="P192" s="29"/>
      <c r="Q192" s="40" t="s">
        <v>71</v>
      </c>
      <c r="R192" s="44"/>
      <c r="S192" s="44">
        <f t="shared" si="49"/>
        <v>78000</v>
      </c>
      <c r="T192" s="44">
        <f t="shared" si="50"/>
        <v>111428.57142857143</v>
      </c>
      <c r="U192" s="45">
        <f t="shared" si="51"/>
        <v>127346.93877551021</v>
      </c>
      <c r="V192" s="46">
        <f t="shared" si="52"/>
        <v>0.12499999999999997</v>
      </c>
      <c r="W192" s="45">
        <f t="shared" si="53"/>
        <v>127400</v>
      </c>
      <c r="X192" s="47">
        <f t="shared" si="54"/>
        <v>0.30000000000000004</v>
      </c>
      <c r="Y192" s="48"/>
      <c r="Z192" s="48"/>
      <c r="AA192" s="50"/>
    </row>
    <row r="193" spans="1:27" ht="14.4" hidden="1" customHeight="1">
      <c r="A193" s="56">
        <v>189</v>
      </c>
      <c r="B193" s="36"/>
      <c r="C193" s="73" t="s">
        <v>106</v>
      </c>
      <c r="D193" s="37" t="str">
        <f t="shared" si="44"/>
        <v xml:space="preserve"> 885</v>
      </c>
      <c r="E193" s="38" t="s">
        <v>106</v>
      </c>
      <c r="F193" s="39">
        <f t="shared" si="45"/>
        <v>0</v>
      </c>
      <c r="G193" s="76" t="s">
        <v>335</v>
      </c>
      <c r="H193" s="77" t="s">
        <v>664</v>
      </c>
      <c r="I193" s="77" t="s">
        <v>334</v>
      </c>
      <c r="J193" s="41">
        <v>78000</v>
      </c>
      <c r="K193" s="42">
        <f t="shared" si="46"/>
        <v>8250</v>
      </c>
      <c r="L193" s="39" t="s">
        <v>22</v>
      </c>
      <c r="M193" s="43">
        <f t="shared" si="47"/>
        <v>69750</v>
      </c>
      <c r="N193" s="43">
        <f>2000+5200+600+200+250</f>
        <v>8250</v>
      </c>
      <c r="O193" s="72">
        <f t="shared" si="48"/>
        <v>78000</v>
      </c>
      <c r="P193" s="29"/>
      <c r="Q193" s="40" t="s">
        <v>71</v>
      </c>
      <c r="R193" s="44"/>
      <c r="S193" s="44">
        <f t="shared" si="49"/>
        <v>78000</v>
      </c>
      <c r="T193" s="44">
        <f t="shared" si="50"/>
        <v>111428.57142857143</v>
      </c>
      <c r="U193" s="45">
        <f t="shared" si="51"/>
        <v>127346.93877551021</v>
      </c>
      <c r="V193" s="46">
        <f t="shared" si="52"/>
        <v>0.12499999999999997</v>
      </c>
      <c r="W193" s="45">
        <f t="shared" si="53"/>
        <v>127400</v>
      </c>
      <c r="X193" s="47">
        <f t="shared" si="54"/>
        <v>0.30000000000000004</v>
      </c>
      <c r="Y193" s="48"/>
      <c r="Z193" s="48"/>
      <c r="AA193" s="50"/>
    </row>
    <row r="194" spans="1:27" ht="14.4" hidden="1" customHeight="1">
      <c r="A194" s="56">
        <v>190</v>
      </c>
      <c r="B194" s="36"/>
      <c r="C194" s="75" t="s">
        <v>668</v>
      </c>
      <c r="D194" s="37" t="str">
        <f t="shared" si="44"/>
        <v xml:space="preserve"> 980</v>
      </c>
      <c r="E194" s="38" t="s">
        <v>668</v>
      </c>
      <c r="F194" s="39">
        <f t="shared" si="45"/>
        <v>0</v>
      </c>
      <c r="G194" s="76" t="s">
        <v>340</v>
      </c>
      <c r="H194" s="77" t="s">
        <v>669</v>
      </c>
      <c r="I194" s="77" t="s">
        <v>670</v>
      </c>
      <c r="J194" s="41"/>
      <c r="K194" s="42">
        <f t="shared" si="46"/>
        <v>0</v>
      </c>
      <c r="L194" s="39"/>
      <c r="M194" s="43">
        <f t="shared" si="47"/>
        <v>0</v>
      </c>
      <c r="N194" s="43"/>
      <c r="O194" s="72">
        <f t="shared" si="48"/>
        <v>0</v>
      </c>
      <c r="P194" s="29"/>
      <c r="Q194" s="40"/>
      <c r="R194" s="44"/>
      <c r="S194" s="44">
        <f t="shared" si="49"/>
        <v>0</v>
      </c>
      <c r="T194" s="44">
        <f t="shared" si="50"/>
        <v>0</v>
      </c>
      <c r="U194" s="45">
        <f t="shared" si="51"/>
        <v>0</v>
      </c>
      <c r="V194" s="46" t="e">
        <f t="shared" si="52"/>
        <v>#DIV/0!</v>
      </c>
      <c r="W194" s="45">
        <f t="shared" si="53"/>
        <v>0</v>
      </c>
      <c r="X194" s="47" t="e">
        <f t="shared" si="54"/>
        <v>#DIV/0!</v>
      </c>
      <c r="Y194" s="57">
        <v>132038</v>
      </c>
      <c r="Z194" s="58">
        <f>T194-Y194</f>
        <v>-132038</v>
      </c>
      <c r="AA194" s="59">
        <f>Z194/Y194</f>
        <v>-1</v>
      </c>
    </row>
    <row r="195" spans="1:27" ht="14.4" hidden="1" customHeight="1">
      <c r="A195" s="35">
        <v>191</v>
      </c>
      <c r="B195" s="36"/>
      <c r="C195" s="75" t="s">
        <v>672</v>
      </c>
      <c r="D195" s="37" t="str">
        <f t="shared" si="44"/>
        <v xml:space="preserve"> 142</v>
      </c>
      <c r="E195" s="38" t="s">
        <v>672</v>
      </c>
      <c r="F195" s="39">
        <f t="shared" si="45"/>
        <v>0</v>
      </c>
      <c r="G195" s="76" t="s">
        <v>340</v>
      </c>
      <c r="H195" s="77" t="s">
        <v>673</v>
      </c>
      <c r="I195" s="77" t="s">
        <v>674</v>
      </c>
      <c r="J195" s="41"/>
      <c r="K195" s="42">
        <f t="shared" si="46"/>
        <v>0</v>
      </c>
      <c r="L195" s="39"/>
      <c r="M195" s="43">
        <f t="shared" si="47"/>
        <v>0</v>
      </c>
      <c r="N195" s="43"/>
      <c r="O195" s="72">
        <f t="shared" si="48"/>
        <v>0</v>
      </c>
      <c r="P195" s="29"/>
      <c r="Q195" s="40"/>
      <c r="R195" s="44"/>
      <c r="S195" s="44">
        <f t="shared" si="49"/>
        <v>0</v>
      </c>
      <c r="T195" s="44">
        <f t="shared" si="50"/>
        <v>0</v>
      </c>
      <c r="U195" s="45">
        <f t="shared" si="51"/>
        <v>0</v>
      </c>
      <c r="V195" s="46" t="e">
        <f t="shared" si="52"/>
        <v>#DIV/0!</v>
      </c>
      <c r="W195" s="45">
        <f t="shared" si="53"/>
        <v>0</v>
      </c>
      <c r="X195" s="47" t="e">
        <f t="shared" si="54"/>
        <v>#DIV/0!</v>
      </c>
      <c r="Y195" s="57">
        <v>160038</v>
      </c>
      <c r="Z195" s="58">
        <f>T195-Y195</f>
        <v>-160038</v>
      </c>
      <c r="AA195" s="59">
        <f>Z195/Y195</f>
        <v>-1</v>
      </c>
    </row>
    <row r="196" spans="1:27" ht="14.4" hidden="1" customHeight="1">
      <c r="A196" s="56">
        <v>192</v>
      </c>
      <c r="B196" s="36"/>
      <c r="C196" s="75" t="s">
        <v>676</v>
      </c>
      <c r="D196" s="37" t="str">
        <f t="shared" si="44"/>
        <v xml:space="preserve"> 716</v>
      </c>
      <c r="E196" s="38" t="s">
        <v>676</v>
      </c>
      <c r="F196" s="39">
        <f t="shared" si="45"/>
        <v>0</v>
      </c>
      <c r="G196" s="76" t="s">
        <v>340</v>
      </c>
      <c r="H196" s="77" t="s">
        <v>669</v>
      </c>
      <c r="I196" s="77" t="s">
        <v>674</v>
      </c>
      <c r="J196" s="41"/>
      <c r="K196" s="42">
        <f t="shared" si="46"/>
        <v>0</v>
      </c>
      <c r="L196" s="39"/>
      <c r="M196" s="43">
        <f t="shared" si="47"/>
        <v>0</v>
      </c>
      <c r="N196" s="43"/>
      <c r="O196" s="72">
        <f t="shared" si="48"/>
        <v>0</v>
      </c>
      <c r="P196" s="29"/>
      <c r="Q196" s="40"/>
      <c r="R196" s="44"/>
      <c r="S196" s="44">
        <f t="shared" si="49"/>
        <v>0</v>
      </c>
      <c r="T196" s="44">
        <f t="shared" si="50"/>
        <v>0</v>
      </c>
      <c r="U196" s="45">
        <f t="shared" si="51"/>
        <v>0</v>
      </c>
      <c r="V196" s="46" t="e">
        <f t="shared" si="52"/>
        <v>#DIV/0!</v>
      </c>
      <c r="W196" s="45">
        <f t="shared" si="53"/>
        <v>0</v>
      </c>
      <c r="X196" s="47" t="e">
        <f t="shared" si="54"/>
        <v>#DIV/0!</v>
      </c>
      <c r="Y196" s="57">
        <v>189000</v>
      </c>
      <c r="Z196" s="58">
        <f>T196-Y196</f>
        <v>-189000</v>
      </c>
      <c r="AA196" s="59">
        <f>Z196/Y196</f>
        <v>-1</v>
      </c>
    </row>
    <row r="197" spans="1:27" ht="14.4" hidden="1" customHeight="1">
      <c r="A197" s="56">
        <v>193</v>
      </c>
      <c r="B197" s="36"/>
      <c r="C197" s="75" t="s">
        <v>678</v>
      </c>
      <c r="D197" s="37" t="str">
        <f t="shared" ref="D197:D260" si="55">REPLACE(C197,1,3, )</f>
        <v xml:space="preserve"> 840</v>
      </c>
      <c r="E197" s="38" t="s">
        <v>678</v>
      </c>
      <c r="F197" s="39">
        <f t="shared" ref="F197:F260" si="56">IF(C197=E197,0,1)</f>
        <v>0</v>
      </c>
      <c r="G197" s="76" t="s">
        <v>335</v>
      </c>
      <c r="H197" s="77" t="s">
        <v>664</v>
      </c>
      <c r="I197" s="77" t="s">
        <v>679</v>
      </c>
      <c r="J197" s="41">
        <v>105000</v>
      </c>
      <c r="K197" s="42">
        <f t="shared" si="46"/>
        <v>8150</v>
      </c>
      <c r="L197" s="39" t="s">
        <v>22</v>
      </c>
      <c r="M197" s="43">
        <f t="shared" si="47"/>
        <v>96850</v>
      </c>
      <c r="N197" s="43">
        <f>2000+5100+600+200+250</f>
        <v>8150</v>
      </c>
      <c r="O197" s="72">
        <f t="shared" si="48"/>
        <v>105000</v>
      </c>
      <c r="P197" s="29"/>
      <c r="Q197" s="40" t="s">
        <v>1307</v>
      </c>
      <c r="R197" s="44"/>
      <c r="S197" s="44">
        <f t="shared" si="49"/>
        <v>105000</v>
      </c>
      <c r="T197" s="44">
        <f t="shared" si="50"/>
        <v>150000</v>
      </c>
      <c r="U197" s="45">
        <f t="shared" si="51"/>
        <v>171428.57142857142</v>
      </c>
      <c r="V197" s="46">
        <f t="shared" si="52"/>
        <v>0.12499999999999996</v>
      </c>
      <c r="W197" s="45">
        <f t="shared" si="53"/>
        <v>171500</v>
      </c>
      <c r="X197" s="47">
        <f t="shared" si="54"/>
        <v>0.3</v>
      </c>
      <c r="Y197" s="48"/>
      <c r="Z197" s="48"/>
      <c r="AA197" s="50"/>
    </row>
    <row r="198" spans="1:27" ht="14.4" hidden="1" customHeight="1">
      <c r="A198" s="35">
        <v>194</v>
      </c>
      <c r="B198" s="36"/>
      <c r="C198" s="75" t="s">
        <v>681</v>
      </c>
      <c r="D198" s="37" t="str">
        <f t="shared" si="55"/>
        <v xml:space="preserve"> 153</v>
      </c>
      <c r="E198" s="38" t="s">
        <v>681</v>
      </c>
      <c r="F198" s="39">
        <f t="shared" si="56"/>
        <v>0</v>
      </c>
      <c r="G198" s="76" t="s">
        <v>340</v>
      </c>
      <c r="H198" s="77" t="s">
        <v>669</v>
      </c>
      <c r="I198" s="77" t="s">
        <v>679</v>
      </c>
      <c r="J198" s="41">
        <v>105000</v>
      </c>
      <c r="K198" s="42">
        <f t="shared" si="46"/>
        <v>8150</v>
      </c>
      <c r="L198" s="39" t="s">
        <v>22</v>
      </c>
      <c r="M198" s="43">
        <f t="shared" si="47"/>
        <v>96850</v>
      </c>
      <c r="N198" s="43">
        <f>2000+5100+600+200+250</f>
        <v>8150</v>
      </c>
      <c r="O198" s="72">
        <f t="shared" si="48"/>
        <v>105000</v>
      </c>
      <c r="P198" s="29"/>
      <c r="Q198" s="40" t="s">
        <v>1307</v>
      </c>
      <c r="R198" s="44"/>
      <c r="S198" s="44">
        <f t="shared" si="49"/>
        <v>105000</v>
      </c>
      <c r="T198" s="44">
        <f t="shared" si="50"/>
        <v>150000</v>
      </c>
      <c r="U198" s="45">
        <f t="shared" si="51"/>
        <v>171428.57142857142</v>
      </c>
      <c r="V198" s="46">
        <f t="shared" si="52"/>
        <v>0.12499999999999996</v>
      </c>
      <c r="W198" s="45">
        <f t="shared" si="53"/>
        <v>171500</v>
      </c>
      <c r="X198" s="47">
        <f t="shared" si="54"/>
        <v>0.3</v>
      </c>
      <c r="Y198" s="57">
        <v>144550</v>
      </c>
      <c r="Z198" s="58">
        <f>T198-Y198</f>
        <v>5450</v>
      </c>
      <c r="AA198" s="59">
        <f>Z198/Y198</f>
        <v>3.7703216879972329E-2</v>
      </c>
    </row>
    <row r="199" spans="1:27" ht="14.4" hidden="1" customHeight="1">
      <c r="A199" s="56">
        <v>195</v>
      </c>
      <c r="B199" s="36"/>
      <c r="C199" s="75" t="s">
        <v>683</v>
      </c>
      <c r="D199" s="37" t="str">
        <f t="shared" si="55"/>
        <v xml:space="preserve"> 281</v>
      </c>
      <c r="E199" s="38" t="s">
        <v>683</v>
      </c>
      <c r="F199" s="39">
        <f t="shared" si="56"/>
        <v>0</v>
      </c>
      <c r="G199" s="76" t="s">
        <v>335</v>
      </c>
      <c r="H199" s="77" t="s">
        <v>664</v>
      </c>
      <c r="I199" s="77" t="s">
        <v>679</v>
      </c>
      <c r="J199" s="41">
        <v>105000</v>
      </c>
      <c r="K199" s="42">
        <f t="shared" si="46"/>
        <v>8150</v>
      </c>
      <c r="L199" s="39" t="s">
        <v>22</v>
      </c>
      <c r="M199" s="43">
        <f t="shared" si="47"/>
        <v>96850</v>
      </c>
      <c r="N199" s="43">
        <f>2000+5100+600+200+250</f>
        <v>8150</v>
      </c>
      <c r="O199" s="72">
        <f t="shared" si="48"/>
        <v>105000</v>
      </c>
      <c r="P199" s="29"/>
      <c r="Q199" s="40" t="s">
        <v>1307</v>
      </c>
      <c r="R199" s="44"/>
      <c r="S199" s="44">
        <f t="shared" si="49"/>
        <v>105000</v>
      </c>
      <c r="T199" s="44">
        <f t="shared" si="50"/>
        <v>150000</v>
      </c>
      <c r="U199" s="45">
        <f t="shared" si="51"/>
        <v>171428.57142857142</v>
      </c>
      <c r="V199" s="46">
        <f t="shared" si="52"/>
        <v>0.12499999999999996</v>
      </c>
      <c r="W199" s="45">
        <f t="shared" si="53"/>
        <v>171500</v>
      </c>
      <c r="X199" s="47">
        <f t="shared" si="54"/>
        <v>0.3</v>
      </c>
      <c r="Y199" s="48"/>
      <c r="Z199" s="48"/>
      <c r="AA199" s="50"/>
    </row>
    <row r="200" spans="1:27" ht="14.4" hidden="1" customHeight="1">
      <c r="A200" s="56">
        <v>196</v>
      </c>
      <c r="B200" s="36"/>
      <c r="C200" s="75" t="s">
        <v>685</v>
      </c>
      <c r="D200" s="37" t="str">
        <f t="shared" si="55"/>
        <v xml:space="preserve"> 949</v>
      </c>
      <c r="E200" s="38" t="s">
        <v>685</v>
      </c>
      <c r="F200" s="39">
        <f t="shared" si="56"/>
        <v>0</v>
      </c>
      <c r="G200" s="76" t="s">
        <v>340</v>
      </c>
      <c r="H200" s="77" t="s">
        <v>664</v>
      </c>
      <c r="I200" s="77" t="s">
        <v>686</v>
      </c>
      <c r="J200" s="41">
        <v>74000</v>
      </c>
      <c r="K200" s="42">
        <f t="shared" si="46"/>
        <v>8150</v>
      </c>
      <c r="L200" s="39"/>
      <c r="M200" s="43">
        <f t="shared" si="47"/>
        <v>65850</v>
      </c>
      <c r="N200" s="43">
        <f>2000+5100+600+200+250</f>
        <v>8150</v>
      </c>
      <c r="O200" s="72">
        <f t="shared" si="48"/>
        <v>74000</v>
      </c>
      <c r="P200" s="29"/>
      <c r="Q200" s="40" t="s">
        <v>1307</v>
      </c>
      <c r="R200" s="44"/>
      <c r="S200" s="44">
        <f t="shared" si="49"/>
        <v>74000</v>
      </c>
      <c r="T200" s="44">
        <f t="shared" si="50"/>
        <v>105714.28571428572</v>
      </c>
      <c r="U200" s="45">
        <f t="shared" si="51"/>
        <v>120816.32653061226</v>
      </c>
      <c r="V200" s="46">
        <f t="shared" si="52"/>
        <v>0.12500000000000006</v>
      </c>
      <c r="W200" s="45">
        <f t="shared" si="53"/>
        <v>120900</v>
      </c>
      <c r="X200" s="47">
        <f t="shared" si="54"/>
        <v>0.30000000000000004</v>
      </c>
      <c r="Y200" s="57">
        <v>105088</v>
      </c>
      <c r="Z200" s="58">
        <f>T200-Y200</f>
        <v>626.28571428572468</v>
      </c>
      <c r="AA200" s="59">
        <f>Z200/Y200</f>
        <v>5.9596311118845606E-3</v>
      </c>
    </row>
    <row r="201" spans="1:27" ht="14.4" hidden="1" customHeight="1">
      <c r="A201" s="35">
        <v>197</v>
      </c>
      <c r="B201" s="36"/>
      <c r="C201" s="73" t="s">
        <v>164</v>
      </c>
      <c r="D201" s="37" t="str">
        <f t="shared" si="55"/>
        <v xml:space="preserve"> 853</v>
      </c>
      <c r="E201" s="38" t="s">
        <v>164</v>
      </c>
      <c r="F201" s="39">
        <f t="shared" si="56"/>
        <v>0</v>
      </c>
      <c r="G201" s="76" t="s">
        <v>335</v>
      </c>
      <c r="H201" s="77" t="s">
        <v>324</v>
      </c>
      <c r="I201" s="77" t="s">
        <v>53</v>
      </c>
      <c r="J201" s="41">
        <v>72500</v>
      </c>
      <c r="K201" s="42">
        <f t="shared" si="46"/>
        <v>8150</v>
      </c>
      <c r="L201" s="39" t="s">
        <v>22</v>
      </c>
      <c r="M201" s="43">
        <f t="shared" si="47"/>
        <v>64350</v>
      </c>
      <c r="N201" s="49">
        <f>2000+5100+600+200+250</f>
        <v>8150</v>
      </c>
      <c r="O201" s="72">
        <f t="shared" si="48"/>
        <v>72500</v>
      </c>
      <c r="P201" s="29"/>
      <c r="Q201" s="40" t="s">
        <v>69</v>
      </c>
      <c r="R201" s="44"/>
      <c r="S201" s="44">
        <f t="shared" si="49"/>
        <v>72500</v>
      </c>
      <c r="T201" s="44">
        <f t="shared" si="50"/>
        <v>103571.42857142858</v>
      </c>
      <c r="U201" s="45">
        <f t="shared" si="51"/>
        <v>118367.34693877552</v>
      </c>
      <c r="V201" s="46">
        <f t="shared" si="52"/>
        <v>0.12499999999999999</v>
      </c>
      <c r="W201" s="45">
        <f t="shared" si="53"/>
        <v>118400</v>
      </c>
      <c r="X201" s="47">
        <f t="shared" si="54"/>
        <v>0.30000000000000004</v>
      </c>
      <c r="Y201" s="64"/>
      <c r="Z201" s="48"/>
      <c r="AA201" s="50"/>
    </row>
    <row r="202" spans="1:27" ht="14.4" hidden="1" customHeight="1">
      <c r="A202" s="56">
        <v>198</v>
      </c>
      <c r="B202" s="36"/>
      <c r="C202" s="75" t="s">
        <v>689</v>
      </c>
      <c r="D202" s="37" t="str">
        <f t="shared" si="55"/>
        <v xml:space="preserve"> 428</v>
      </c>
      <c r="E202" s="38" t="s">
        <v>689</v>
      </c>
      <c r="F202" s="39">
        <f t="shared" si="56"/>
        <v>0</v>
      </c>
      <c r="G202" s="76" t="s">
        <v>340</v>
      </c>
      <c r="H202" s="77" t="s">
        <v>664</v>
      </c>
      <c r="I202" s="77" t="s">
        <v>344</v>
      </c>
      <c r="J202" s="41">
        <v>72000</v>
      </c>
      <c r="K202" s="42">
        <f t="shared" si="46"/>
        <v>8250</v>
      </c>
      <c r="L202" s="39" t="s">
        <v>22</v>
      </c>
      <c r="M202" s="43">
        <f t="shared" si="47"/>
        <v>63750</v>
      </c>
      <c r="N202" s="49">
        <f>2000+600+200+250+5200</f>
        <v>8250</v>
      </c>
      <c r="O202" s="72">
        <f t="shared" si="48"/>
        <v>72000</v>
      </c>
      <c r="P202" s="29"/>
      <c r="Q202" s="40"/>
      <c r="R202" s="44"/>
      <c r="S202" s="44">
        <f t="shared" si="49"/>
        <v>72000</v>
      </c>
      <c r="T202" s="44">
        <f t="shared" si="50"/>
        <v>102857.14285714287</v>
      </c>
      <c r="U202" s="45">
        <f t="shared" si="51"/>
        <v>117551.02040816328</v>
      </c>
      <c r="V202" s="46">
        <f t="shared" si="52"/>
        <v>0.12500000000000003</v>
      </c>
      <c r="W202" s="45">
        <f t="shared" si="53"/>
        <v>117600</v>
      </c>
      <c r="X202" s="47">
        <f t="shared" si="54"/>
        <v>0.3000000000000001</v>
      </c>
      <c r="Y202" s="57">
        <v>103075</v>
      </c>
      <c r="Z202" s="58">
        <f>T202-Y202</f>
        <v>-217.85714285713038</v>
      </c>
      <c r="AA202" s="59">
        <f>Z202/Y202</f>
        <v>-2.1135788780706319E-3</v>
      </c>
    </row>
    <row r="203" spans="1:27" ht="14.4" hidden="1" customHeight="1">
      <c r="A203" s="56">
        <v>199</v>
      </c>
      <c r="B203" s="36"/>
      <c r="C203" s="75" t="s">
        <v>691</v>
      </c>
      <c r="D203" s="37" t="str">
        <f t="shared" si="55"/>
        <v xml:space="preserve"> 269</v>
      </c>
      <c r="E203" s="38" t="s">
        <v>691</v>
      </c>
      <c r="F203" s="39">
        <f t="shared" si="56"/>
        <v>0</v>
      </c>
      <c r="G203" s="76" t="s">
        <v>335</v>
      </c>
      <c r="H203" s="77" t="s">
        <v>664</v>
      </c>
      <c r="I203" s="77" t="s">
        <v>692</v>
      </c>
      <c r="J203" s="41">
        <v>80000</v>
      </c>
      <c r="K203" s="42">
        <f t="shared" si="46"/>
        <v>8250</v>
      </c>
      <c r="L203" s="39" t="s">
        <v>22</v>
      </c>
      <c r="M203" s="43">
        <f t="shared" si="47"/>
        <v>71750</v>
      </c>
      <c r="N203" s="49">
        <f>2000+5200+600+200+250</f>
        <v>8250</v>
      </c>
      <c r="O203" s="72">
        <f t="shared" si="48"/>
        <v>80000</v>
      </c>
      <c r="P203" s="29"/>
      <c r="Q203" s="40"/>
      <c r="R203" s="44"/>
      <c r="S203" s="44">
        <f t="shared" si="49"/>
        <v>80000</v>
      </c>
      <c r="T203" s="44">
        <f t="shared" si="50"/>
        <v>114285.71428571429</v>
      </c>
      <c r="U203" s="45">
        <f t="shared" si="51"/>
        <v>130612.24489795919</v>
      </c>
      <c r="V203" s="46">
        <f t="shared" si="52"/>
        <v>0.12499999999999999</v>
      </c>
      <c r="W203" s="45">
        <f t="shared" si="53"/>
        <v>130700</v>
      </c>
      <c r="X203" s="47">
        <f t="shared" si="54"/>
        <v>0.30000000000000004</v>
      </c>
      <c r="Y203" s="64"/>
      <c r="Z203" s="48"/>
      <c r="AA203" s="50"/>
    </row>
    <row r="204" spans="1:27" ht="14.4" hidden="1" customHeight="1">
      <c r="A204" s="35">
        <v>200</v>
      </c>
      <c r="B204" s="36"/>
      <c r="C204" s="75" t="s">
        <v>379</v>
      </c>
      <c r="D204" s="37" t="str">
        <f t="shared" si="55"/>
        <v/>
      </c>
      <c r="E204" s="38" t="s">
        <v>379</v>
      </c>
      <c r="F204" s="39">
        <f t="shared" si="56"/>
        <v>0</v>
      </c>
      <c r="G204" s="76"/>
      <c r="H204" s="77"/>
      <c r="I204" s="77"/>
      <c r="J204" s="41"/>
      <c r="K204" s="42">
        <f t="shared" si="46"/>
        <v>0</v>
      </c>
      <c r="L204" s="39"/>
      <c r="M204" s="43">
        <f t="shared" si="47"/>
        <v>0</v>
      </c>
      <c r="N204" s="49"/>
      <c r="O204" s="72">
        <f t="shared" si="48"/>
        <v>0</v>
      </c>
      <c r="P204" s="29"/>
      <c r="Q204" s="40"/>
      <c r="R204" s="44"/>
      <c r="S204" s="44">
        <f t="shared" si="49"/>
        <v>0</v>
      </c>
      <c r="T204" s="44">
        <f t="shared" si="50"/>
        <v>0</v>
      </c>
      <c r="U204" s="45">
        <f t="shared" si="51"/>
        <v>0</v>
      </c>
      <c r="V204" s="46" t="e">
        <f t="shared" si="52"/>
        <v>#DIV/0!</v>
      </c>
      <c r="W204" s="45">
        <f t="shared" si="53"/>
        <v>0</v>
      </c>
      <c r="X204" s="47" t="e">
        <f t="shared" si="54"/>
        <v>#DIV/0!</v>
      </c>
      <c r="Y204" s="64"/>
      <c r="Z204" s="48"/>
      <c r="AA204" s="50"/>
    </row>
    <row r="205" spans="1:27" ht="14.4" hidden="1" customHeight="1">
      <c r="A205" s="56">
        <v>201</v>
      </c>
      <c r="B205" s="36"/>
      <c r="C205" s="75" t="s">
        <v>694</v>
      </c>
      <c r="D205" s="37" t="str">
        <f t="shared" si="55"/>
        <v xml:space="preserve"> 253</v>
      </c>
      <c r="E205" s="38" t="s">
        <v>694</v>
      </c>
      <c r="F205" s="39">
        <f t="shared" si="56"/>
        <v>0</v>
      </c>
      <c r="G205" s="76" t="s">
        <v>335</v>
      </c>
      <c r="H205" s="77" t="s">
        <v>695</v>
      </c>
      <c r="I205" s="77" t="s">
        <v>344</v>
      </c>
      <c r="J205" s="41">
        <v>74000</v>
      </c>
      <c r="K205" s="42">
        <f t="shared" si="46"/>
        <v>8250</v>
      </c>
      <c r="L205" s="39" t="s">
        <v>22</v>
      </c>
      <c r="M205" s="43">
        <f t="shared" si="47"/>
        <v>65750</v>
      </c>
      <c r="N205" s="49">
        <f>2000+600+200+250+5200</f>
        <v>8250</v>
      </c>
      <c r="O205" s="72">
        <f t="shared" si="48"/>
        <v>74000</v>
      </c>
      <c r="P205" s="29"/>
      <c r="Q205" s="40" t="s">
        <v>1340</v>
      </c>
      <c r="R205" s="44"/>
      <c r="S205" s="44">
        <f t="shared" si="49"/>
        <v>74000</v>
      </c>
      <c r="T205" s="44">
        <f t="shared" si="50"/>
        <v>105714.28571428572</v>
      </c>
      <c r="U205" s="45">
        <f t="shared" si="51"/>
        <v>120816.32653061226</v>
      </c>
      <c r="V205" s="46">
        <f t="shared" si="52"/>
        <v>0.12500000000000006</v>
      </c>
      <c r="W205" s="45">
        <f t="shared" si="53"/>
        <v>120900</v>
      </c>
      <c r="X205" s="47">
        <f t="shared" si="54"/>
        <v>0.30000000000000004</v>
      </c>
      <c r="Y205" s="64"/>
      <c r="Z205" s="48"/>
      <c r="AA205" s="50"/>
    </row>
    <row r="206" spans="1:27" ht="14.4" hidden="1" customHeight="1">
      <c r="A206" s="35">
        <v>202</v>
      </c>
      <c r="B206" s="36"/>
      <c r="C206" s="73" t="s">
        <v>183</v>
      </c>
      <c r="D206" s="37" t="str">
        <f t="shared" si="55"/>
        <v xml:space="preserve"> 171</v>
      </c>
      <c r="E206" s="38" t="s">
        <v>183</v>
      </c>
      <c r="F206" s="39">
        <f t="shared" si="56"/>
        <v>0</v>
      </c>
      <c r="G206" s="76" t="s">
        <v>340</v>
      </c>
      <c r="H206" s="77" t="s">
        <v>673</v>
      </c>
      <c r="I206" s="77" t="s">
        <v>47</v>
      </c>
      <c r="J206" s="41">
        <v>145000</v>
      </c>
      <c r="K206" s="42">
        <f t="shared" si="46"/>
        <v>8550</v>
      </c>
      <c r="L206" s="39" t="s">
        <v>22</v>
      </c>
      <c r="M206" s="43">
        <f t="shared" si="47"/>
        <v>136450</v>
      </c>
      <c r="N206" s="43">
        <f>2000+5500+600+200+250</f>
        <v>8550</v>
      </c>
      <c r="O206" s="72">
        <f t="shared" si="48"/>
        <v>145000</v>
      </c>
      <c r="P206" s="29"/>
      <c r="Q206" s="40" t="s">
        <v>74</v>
      </c>
      <c r="R206" s="44"/>
      <c r="S206" s="44">
        <f t="shared" si="49"/>
        <v>145000</v>
      </c>
      <c r="T206" s="44">
        <f t="shared" si="50"/>
        <v>207142.85714285716</v>
      </c>
      <c r="U206" s="45">
        <f t="shared" si="51"/>
        <v>236734.69387755104</v>
      </c>
      <c r="V206" s="46">
        <f t="shared" si="52"/>
        <v>0.12499999999999999</v>
      </c>
      <c r="W206" s="45">
        <f t="shared" si="53"/>
        <v>236800</v>
      </c>
      <c r="X206" s="47">
        <f t="shared" si="54"/>
        <v>0.30000000000000004</v>
      </c>
      <c r="Y206" s="57">
        <v>199063</v>
      </c>
      <c r="Z206" s="58">
        <f>T206-Y206</f>
        <v>8079.8571428571595</v>
      </c>
      <c r="AA206" s="59">
        <f>Z206/Y206</f>
        <v>4.0589447274768084E-2</v>
      </c>
    </row>
    <row r="207" spans="1:27" ht="14.4" hidden="1" customHeight="1">
      <c r="A207" s="56">
        <v>203</v>
      </c>
      <c r="B207" s="36"/>
      <c r="C207" s="75" t="s">
        <v>698</v>
      </c>
      <c r="D207" s="37" t="str">
        <f t="shared" si="55"/>
        <v xml:space="preserve"> 145</v>
      </c>
      <c r="E207" s="38" t="s">
        <v>698</v>
      </c>
      <c r="F207" s="39">
        <f t="shared" si="56"/>
        <v>0</v>
      </c>
      <c r="G207" s="76" t="s">
        <v>335</v>
      </c>
      <c r="H207" s="77" t="s">
        <v>673</v>
      </c>
      <c r="I207" s="77" t="s">
        <v>699</v>
      </c>
      <c r="J207" s="41"/>
      <c r="K207" s="42">
        <f t="shared" si="46"/>
        <v>0</v>
      </c>
      <c r="L207" s="39"/>
      <c r="M207" s="43">
        <f t="shared" si="47"/>
        <v>0</v>
      </c>
      <c r="N207" s="43"/>
      <c r="O207" s="72">
        <f t="shared" si="48"/>
        <v>0</v>
      </c>
      <c r="P207" s="29"/>
      <c r="Q207" s="40"/>
      <c r="R207" s="44"/>
      <c r="S207" s="44">
        <f t="shared" si="49"/>
        <v>0</v>
      </c>
      <c r="T207" s="44">
        <f t="shared" si="50"/>
        <v>0</v>
      </c>
      <c r="U207" s="45">
        <f t="shared" si="51"/>
        <v>0</v>
      </c>
      <c r="V207" s="46" t="e">
        <f t="shared" si="52"/>
        <v>#DIV/0!</v>
      </c>
      <c r="W207" s="45">
        <f t="shared" si="53"/>
        <v>0</v>
      </c>
      <c r="X207" s="47" t="e">
        <f t="shared" si="54"/>
        <v>#DIV/0!</v>
      </c>
      <c r="Y207" s="57"/>
      <c r="Z207" s="58"/>
      <c r="AA207" s="59"/>
    </row>
    <row r="208" spans="1:27" ht="14.4" hidden="1" customHeight="1">
      <c r="A208" s="35">
        <v>204</v>
      </c>
      <c r="B208" s="36"/>
      <c r="C208" s="75" t="s">
        <v>701</v>
      </c>
      <c r="D208" s="37" t="str">
        <f t="shared" si="55"/>
        <v xml:space="preserve"> 234</v>
      </c>
      <c r="E208" s="38" t="s">
        <v>701</v>
      </c>
      <c r="F208" s="39">
        <f t="shared" si="56"/>
        <v>0</v>
      </c>
      <c r="G208" s="76" t="s">
        <v>340</v>
      </c>
      <c r="H208" s="77" t="s">
        <v>673</v>
      </c>
      <c r="I208" s="77" t="s">
        <v>360</v>
      </c>
      <c r="J208" s="41">
        <v>177500</v>
      </c>
      <c r="K208" s="42">
        <f t="shared" si="46"/>
        <v>8550</v>
      </c>
      <c r="L208" s="39"/>
      <c r="M208" s="43">
        <f t="shared" si="47"/>
        <v>168950</v>
      </c>
      <c r="N208" s="43">
        <f>2000+5500+600+200+250</f>
        <v>8550</v>
      </c>
      <c r="O208" s="72">
        <f t="shared" si="48"/>
        <v>177500</v>
      </c>
      <c r="P208" s="29"/>
      <c r="Q208" s="40" t="s">
        <v>1303</v>
      </c>
      <c r="R208" s="44"/>
      <c r="S208" s="44">
        <f t="shared" si="49"/>
        <v>177500</v>
      </c>
      <c r="T208" s="44">
        <f t="shared" si="50"/>
        <v>253571.42857142858</v>
      </c>
      <c r="U208" s="45">
        <f t="shared" si="51"/>
        <v>289795.91836734692</v>
      </c>
      <c r="V208" s="46">
        <f t="shared" si="52"/>
        <v>0.12499999999999993</v>
      </c>
      <c r="W208" s="45">
        <f t="shared" si="53"/>
        <v>289800</v>
      </c>
      <c r="X208" s="47">
        <f t="shared" si="54"/>
        <v>0.30000000000000004</v>
      </c>
      <c r="Y208" s="57">
        <v>233538</v>
      </c>
      <c r="Z208" s="58"/>
      <c r="AA208" s="59"/>
    </row>
    <row r="209" spans="1:27" ht="14.4" hidden="1" customHeight="1">
      <c r="A209" s="56">
        <v>205</v>
      </c>
      <c r="B209" s="36"/>
      <c r="C209" s="75" t="s">
        <v>703</v>
      </c>
      <c r="D209" s="37" t="str">
        <f t="shared" si="55"/>
        <v xml:space="preserve"> 136</v>
      </c>
      <c r="E209" s="38" t="s">
        <v>703</v>
      </c>
      <c r="F209" s="39">
        <f t="shared" si="56"/>
        <v>0</v>
      </c>
      <c r="G209" s="76" t="s">
        <v>335</v>
      </c>
      <c r="H209" s="77" t="s">
        <v>673</v>
      </c>
      <c r="I209" s="77" t="s">
        <v>704</v>
      </c>
      <c r="J209" s="41">
        <v>132000</v>
      </c>
      <c r="K209" s="42">
        <f t="shared" si="46"/>
        <v>8550</v>
      </c>
      <c r="L209" s="39" t="s">
        <v>22</v>
      </c>
      <c r="M209" s="43">
        <f t="shared" si="47"/>
        <v>123450</v>
      </c>
      <c r="N209" s="43">
        <f>2000+5500+600+200+250</f>
        <v>8550</v>
      </c>
      <c r="O209" s="72">
        <f t="shared" si="48"/>
        <v>132000</v>
      </c>
      <c r="P209" s="29"/>
      <c r="Q209" s="40" t="s">
        <v>1303</v>
      </c>
      <c r="R209" s="44"/>
      <c r="S209" s="44">
        <f t="shared" si="49"/>
        <v>132000</v>
      </c>
      <c r="T209" s="44">
        <f t="shared" si="50"/>
        <v>188571.42857142858</v>
      </c>
      <c r="U209" s="45">
        <f t="shared" si="51"/>
        <v>215510.20408163266</v>
      </c>
      <c r="V209" s="46">
        <f t="shared" si="52"/>
        <v>0.125</v>
      </c>
      <c r="W209" s="45">
        <f t="shared" si="53"/>
        <v>215600</v>
      </c>
      <c r="X209" s="47">
        <f t="shared" si="54"/>
        <v>0.30000000000000004</v>
      </c>
      <c r="Y209" s="57"/>
      <c r="Z209" s="58"/>
      <c r="AA209" s="59"/>
    </row>
    <row r="210" spans="1:27" ht="14.4" hidden="1" customHeight="1">
      <c r="A210" s="35">
        <v>206</v>
      </c>
      <c r="B210" s="36"/>
      <c r="C210" s="73" t="s">
        <v>182</v>
      </c>
      <c r="D210" s="37" t="str">
        <f t="shared" si="55"/>
        <v xml:space="preserve"> 984</v>
      </c>
      <c r="E210" s="38" t="s">
        <v>182</v>
      </c>
      <c r="F210" s="39">
        <f t="shared" si="56"/>
        <v>0</v>
      </c>
      <c r="G210" s="76" t="s">
        <v>340</v>
      </c>
      <c r="H210" s="77" t="s">
        <v>673</v>
      </c>
      <c r="I210" s="77" t="s">
        <v>47</v>
      </c>
      <c r="J210" s="41">
        <v>145000</v>
      </c>
      <c r="K210" s="42">
        <f t="shared" si="46"/>
        <v>8550</v>
      </c>
      <c r="L210" s="39" t="s">
        <v>22</v>
      </c>
      <c r="M210" s="43">
        <f t="shared" si="47"/>
        <v>136450</v>
      </c>
      <c r="N210" s="43">
        <f>2000+5500+600+200+250</f>
        <v>8550</v>
      </c>
      <c r="O210" s="72">
        <f t="shared" si="48"/>
        <v>145000</v>
      </c>
      <c r="P210" s="29"/>
      <c r="Q210" s="40" t="s">
        <v>74</v>
      </c>
      <c r="R210" s="44"/>
      <c r="S210" s="44">
        <f t="shared" si="49"/>
        <v>145000</v>
      </c>
      <c r="T210" s="44">
        <f t="shared" si="50"/>
        <v>207142.85714285716</v>
      </c>
      <c r="U210" s="45">
        <f t="shared" si="51"/>
        <v>236734.69387755104</v>
      </c>
      <c r="V210" s="46">
        <f t="shared" si="52"/>
        <v>0.12499999999999999</v>
      </c>
      <c r="W210" s="45">
        <f t="shared" si="53"/>
        <v>236800</v>
      </c>
      <c r="X210" s="47">
        <f t="shared" si="54"/>
        <v>0.30000000000000004</v>
      </c>
      <c r="Y210" s="57">
        <v>202563</v>
      </c>
      <c r="Z210" s="58">
        <f>T210-Y210</f>
        <v>4579.8571428571595</v>
      </c>
      <c r="AA210" s="59">
        <f>Z210/Y210</f>
        <v>2.2609544402764373E-2</v>
      </c>
    </row>
    <row r="211" spans="1:27" ht="14.4" hidden="1" customHeight="1">
      <c r="A211" s="56">
        <v>207</v>
      </c>
      <c r="B211" s="36"/>
      <c r="C211" s="73" t="s">
        <v>185</v>
      </c>
      <c r="D211" s="37" t="str">
        <f t="shared" si="55"/>
        <v xml:space="preserve"> 759</v>
      </c>
      <c r="E211" s="38" t="s">
        <v>185</v>
      </c>
      <c r="F211" s="39">
        <f t="shared" si="56"/>
        <v>0</v>
      </c>
      <c r="G211" s="76" t="s">
        <v>335</v>
      </c>
      <c r="H211" s="77" t="s">
        <v>673</v>
      </c>
      <c r="I211" s="77" t="s">
        <v>47</v>
      </c>
      <c r="J211" s="41">
        <v>145000</v>
      </c>
      <c r="K211" s="42">
        <f t="shared" si="46"/>
        <v>8550</v>
      </c>
      <c r="L211" s="39" t="s">
        <v>22</v>
      </c>
      <c r="M211" s="43">
        <f t="shared" si="47"/>
        <v>136450</v>
      </c>
      <c r="N211" s="43">
        <f>2000+5500+600+200+250</f>
        <v>8550</v>
      </c>
      <c r="O211" s="72">
        <f t="shared" si="48"/>
        <v>145000</v>
      </c>
      <c r="P211" s="29"/>
      <c r="Q211" s="40" t="s">
        <v>74</v>
      </c>
      <c r="R211" s="44"/>
      <c r="S211" s="44">
        <f t="shared" si="49"/>
        <v>145000</v>
      </c>
      <c r="T211" s="44">
        <f t="shared" si="50"/>
        <v>207142.85714285716</v>
      </c>
      <c r="U211" s="45">
        <f t="shared" si="51"/>
        <v>236734.69387755104</v>
      </c>
      <c r="V211" s="46">
        <f t="shared" si="52"/>
        <v>0.12499999999999999</v>
      </c>
      <c r="W211" s="45">
        <f t="shared" si="53"/>
        <v>236800</v>
      </c>
      <c r="X211" s="47">
        <f t="shared" si="54"/>
        <v>0.30000000000000004</v>
      </c>
      <c r="Y211" s="48"/>
      <c r="Z211" s="48"/>
      <c r="AA211" s="48"/>
    </row>
    <row r="212" spans="1:27" ht="15" hidden="1" customHeight="1">
      <c r="A212" s="35">
        <v>208</v>
      </c>
      <c r="B212" s="36"/>
      <c r="C212" s="75" t="s">
        <v>708</v>
      </c>
      <c r="D212" s="37" t="str">
        <f t="shared" si="55"/>
        <v xml:space="preserve"> 242</v>
      </c>
      <c r="E212" s="38" t="s">
        <v>708</v>
      </c>
      <c r="F212" s="39">
        <f t="shared" si="56"/>
        <v>0</v>
      </c>
      <c r="G212" s="76" t="s">
        <v>335</v>
      </c>
      <c r="H212" s="77" t="s">
        <v>673</v>
      </c>
      <c r="I212" s="77" t="s">
        <v>709</v>
      </c>
      <c r="J212" s="41">
        <v>92500</v>
      </c>
      <c r="K212" s="42">
        <f t="shared" si="46"/>
        <v>8550</v>
      </c>
      <c r="L212" s="39"/>
      <c r="M212" s="43">
        <f t="shared" si="47"/>
        <v>83950</v>
      </c>
      <c r="N212" s="43">
        <f>2000+5500+600+200+250</f>
        <v>8550</v>
      </c>
      <c r="O212" s="72">
        <f t="shared" si="48"/>
        <v>92500</v>
      </c>
      <c r="P212" s="29"/>
      <c r="Q212" s="40" t="s">
        <v>1303</v>
      </c>
      <c r="R212" s="44"/>
      <c r="S212" s="44">
        <f t="shared" si="49"/>
        <v>92500</v>
      </c>
      <c r="T212" s="44">
        <f t="shared" si="50"/>
        <v>132142.85714285716</v>
      </c>
      <c r="U212" s="45">
        <f t="shared" si="51"/>
        <v>151020.40816326533</v>
      </c>
      <c r="V212" s="46">
        <f t="shared" si="52"/>
        <v>0.125</v>
      </c>
      <c r="W212" s="45">
        <f t="shared" si="53"/>
        <v>151100</v>
      </c>
      <c r="X212" s="47">
        <f t="shared" si="54"/>
        <v>0.3000000000000001</v>
      </c>
      <c r="Y212" s="48"/>
      <c r="Z212" s="48"/>
      <c r="AA212" s="48"/>
    </row>
    <row r="213" spans="1:27" ht="15" hidden="1" customHeight="1">
      <c r="A213" s="56">
        <v>209</v>
      </c>
      <c r="B213" s="36"/>
      <c r="C213" s="75" t="s">
        <v>711</v>
      </c>
      <c r="D213" s="37" t="str">
        <f t="shared" si="55"/>
        <v xml:space="preserve"> 780</v>
      </c>
      <c r="E213" s="38" t="s">
        <v>711</v>
      </c>
      <c r="F213" s="39">
        <f t="shared" si="56"/>
        <v>0</v>
      </c>
      <c r="G213" s="76" t="s">
        <v>340</v>
      </c>
      <c r="H213" s="77" t="s">
        <v>673</v>
      </c>
      <c r="I213" s="77" t="s">
        <v>712</v>
      </c>
      <c r="J213" s="41"/>
      <c r="K213" s="42">
        <f t="shared" si="46"/>
        <v>0</v>
      </c>
      <c r="L213" s="39"/>
      <c r="M213" s="43">
        <f t="shared" si="47"/>
        <v>0</v>
      </c>
      <c r="N213" s="43"/>
      <c r="O213" s="72">
        <f t="shared" si="48"/>
        <v>0</v>
      </c>
      <c r="P213" s="29"/>
      <c r="Q213" s="40"/>
      <c r="R213" s="44"/>
      <c r="S213" s="44">
        <f t="shared" si="49"/>
        <v>0</v>
      </c>
      <c r="T213" s="44">
        <f t="shared" si="50"/>
        <v>0</v>
      </c>
      <c r="U213" s="45">
        <f t="shared" si="51"/>
        <v>0</v>
      </c>
      <c r="V213" s="46" t="e">
        <f t="shared" si="52"/>
        <v>#DIV/0!</v>
      </c>
      <c r="W213" s="45">
        <f t="shared" si="53"/>
        <v>0</v>
      </c>
      <c r="X213" s="47" t="e">
        <f t="shared" si="54"/>
        <v>#DIV/0!</v>
      </c>
      <c r="Y213" s="57">
        <v>185063</v>
      </c>
      <c r="Z213" s="58">
        <f>T213-Y213</f>
        <v>-185063</v>
      </c>
      <c r="AA213" s="59">
        <f>Z213/Y213</f>
        <v>-1</v>
      </c>
    </row>
    <row r="214" spans="1:27" ht="15" hidden="1" customHeight="1">
      <c r="A214" s="35">
        <v>210</v>
      </c>
      <c r="B214" s="36"/>
      <c r="C214" s="73" t="s">
        <v>181</v>
      </c>
      <c r="D214" s="37" t="str">
        <f t="shared" si="55"/>
        <v xml:space="preserve"> 252</v>
      </c>
      <c r="E214" s="38" t="s">
        <v>181</v>
      </c>
      <c r="F214" s="39">
        <f t="shared" si="56"/>
        <v>0</v>
      </c>
      <c r="G214" s="76" t="s">
        <v>335</v>
      </c>
      <c r="H214" s="77" t="s">
        <v>673</v>
      </c>
      <c r="I214" s="77" t="s">
        <v>47</v>
      </c>
      <c r="J214" s="41">
        <v>127500</v>
      </c>
      <c r="K214" s="42">
        <f t="shared" si="46"/>
        <v>8550</v>
      </c>
      <c r="L214" s="39" t="s">
        <v>22</v>
      </c>
      <c r="M214" s="43">
        <f t="shared" si="47"/>
        <v>118950</v>
      </c>
      <c r="N214" s="43">
        <f>2000+5500+600+200+250</f>
        <v>8550</v>
      </c>
      <c r="O214" s="72">
        <f t="shared" si="48"/>
        <v>127500</v>
      </c>
      <c r="P214" s="29"/>
      <c r="Q214" s="40" t="s">
        <v>74</v>
      </c>
      <c r="R214" s="44"/>
      <c r="S214" s="44">
        <f t="shared" si="49"/>
        <v>127500</v>
      </c>
      <c r="T214" s="44">
        <f t="shared" si="50"/>
        <v>182142.85714285716</v>
      </c>
      <c r="U214" s="45">
        <f t="shared" si="51"/>
        <v>208163.26530612246</v>
      </c>
      <c r="V214" s="46">
        <f t="shared" si="52"/>
        <v>0.12499999999999994</v>
      </c>
      <c r="W214" s="45">
        <f t="shared" si="53"/>
        <v>208200</v>
      </c>
      <c r="X214" s="47">
        <f t="shared" si="54"/>
        <v>0.30000000000000004</v>
      </c>
      <c r="Y214" s="48"/>
      <c r="Z214" s="48"/>
      <c r="AA214" s="50"/>
    </row>
    <row r="215" spans="1:27" ht="15" hidden="1" customHeight="1">
      <c r="A215" s="56">
        <v>211</v>
      </c>
      <c r="B215" s="36"/>
      <c r="C215" s="73" t="s">
        <v>184</v>
      </c>
      <c r="D215" s="37" t="str">
        <f t="shared" si="55"/>
        <v xml:space="preserve"> 261</v>
      </c>
      <c r="E215" s="38" t="s">
        <v>184</v>
      </c>
      <c r="F215" s="39">
        <f t="shared" si="56"/>
        <v>0</v>
      </c>
      <c r="G215" s="76" t="s">
        <v>340</v>
      </c>
      <c r="H215" s="77" t="s">
        <v>673</v>
      </c>
      <c r="I215" s="77" t="s">
        <v>47</v>
      </c>
      <c r="J215" s="41">
        <v>127500</v>
      </c>
      <c r="K215" s="42">
        <f t="shared" si="46"/>
        <v>8550</v>
      </c>
      <c r="L215" s="39" t="s">
        <v>22</v>
      </c>
      <c r="M215" s="43">
        <f t="shared" si="47"/>
        <v>118950</v>
      </c>
      <c r="N215" s="43">
        <f>2000+5500+600+200+250</f>
        <v>8550</v>
      </c>
      <c r="O215" s="72">
        <f t="shared" si="48"/>
        <v>127500</v>
      </c>
      <c r="P215" s="29"/>
      <c r="Q215" s="40" t="s">
        <v>74</v>
      </c>
      <c r="R215" s="44"/>
      <c r="S215" s="44">
        <f t="shared" si="49"/>
        <v>127500</v>
      </c>
      <c r="T215" s="44">
        <f t="shared" si="50"/>
        <v>182142.85714285716</v>
      </c>
      <c r="U215" s="45">
        <f t="shared" si="51"/>
        <v>208163.26530612246</v>
      </c>
      <c r="V215" s="46">
        <f t="shared" si="52"/>
        <v>0.12499999999999994</v>
      </c>
      <c r="W215" s="45">
        <f t="shared" si="53"/>
        <v>208200</v>
      </c>
      <c r="X215" s="47">
        <f t="shared" si="54"/>
        <v>0.30000000000000004</v>
      </c>
      <c r="Y215" s="57">
        <v>180075</v>
      </c>
      <c r="Z215" s="58">
        <f>T215-Y215</f>
        <v>2067.8571428571595</v>
      </c>
      <c r="AA215" s="59">
        <f>Z215/Y215</f>
        <v>1.1483310525376423E-2</v>
      </c>
    </row>
    <row r="216" spans="1:27" ht="14.4" hidden="1" customHeight="1">
      <c r="A216" s="35">
        <v>212</v>
      </c>
      <c r="B216" s="36"/>
      <c r="C216" s="75" t="s">
        <v>716</v>
      </c>
      <c r="D216" s="37" t="str">
        <f t="shared" si="55"/>
        <v xml:space="preserve"> 573</v>
      </c>
      <c r="E216" s="38" t="s">
        <v>716</v>
      </c>
      <c r="F216" s="39">
        <f t="shared" si="56"/>
        <v>0</v>
      </c>
      <c r="G216" s="76" t="s">
        <v>335</v>
      </c>
      <c r="H216" s="77" t="s">
        <v>322</v>
      </c>
      <c r="I216" s="77" t="s">
        <v>717</v>
      </c>
      <c r="J216" s="41">
        <v>142000</v>
      </c>
      <c r="K216" s="42">
        <f t="shared" si="46"/>
        <v>8550</v>
      </c>
      <c r="L216" s="39"/>
      <c r="M216" s="43">
        <f t="shared" si="47"/>
        <v>133450</v>
      </c>
      <c r="N216" s="43">
        <f>2000+5500+600+200+250</f>
        <v>8550</v>
      </c>
      <c r="O216" s="72">
        <f t="shared" si="48"/>
        <v>142000</v>
      </c>
      <c r="P216" s="29"/>
      <c r="Q216" s="40" t="s">
        <v>1303</v>
      </c>
      <c r="R216" s="44"/>
      <c r="S216" s="44">
        <f t="shared" si="49"/>
        <v>142000</v>
      </c>
      <c r="T216" s="44">
        <f t="shared" si="50"/>
        <v>202857.14285714287</v>
      </c>
      <c r="U216" s="45">
        <f t="shared" si="51"/>
        <v>231836.73469387757</v>
      </c>
      <c r="V216" s="46">
        <f t="shared" si="52"/>
        <v>0.12500000000000003</v>
      </c>
      <c r="W216" s="45">
        <f t="shared" si="53"/>
        <v>231900</v>
      </c>
      <c r="X216" s="47">
        <f t="shared" si="54"/>
        <v>0.30000000000000004</v>
      </c>
      <c r="Y216" s="57"/>
      <c r="Z216" s="58"/>
      <c r="AA216" s="59"/>
    </row>
    <row r="217" spans="1:27" ht="14.4" hidden="1" customHeight="1">
      <c r="A217" s="56">
        <v>213</v>
      </c>
      <c r="B217" s="36"/>
      <c r="C217" s="75" t="s">
        <v>719</v>
      </c>
      <c r="D217" s="37" t="str">
        <f t="shared" si="55"/>
        <v xml:space="preserve"> 043</v>
      </c>
      <c r="E217" s="38" t="s">
        <v>719</v>
      </c>
      <c r="F217" s="39">
        <f t="shared" si="56"/>
        <v>0</v>
      </c>
      <c r="G217" s="76" t="s">
        <v>340</v>
      </c>
      <c r="H217" s="77" t="s">
        <v>673</v>
      </c>
      <c r="I217" s="77" t="s">
        <v>720</v>
      </c>
      <c r="J217" s="41">
        <v>107500</v>
      </c>
      <c r="K217" s="42">
        <f t="shared" si="46"/>
        <v>8550</v>
      </c>
      <c r="L217" s="39" t="s">
        <v>22</v>
      </c>
      <c r="M217" s="43">
        <f t="shared" si="47"/>
        <v>98950</v>
      </c>
      <c r="N217" s="43">
        <f>2000+5500+600+200+250</f>
        <v>8550</v>
      </c>
      <c r="O217" s="72">
        <f t="shared" si="48"/>
        <v>107500</v>
      </c>
      <c r="P217" s="29"/>
      <c r="Q217" s="40" t="s">
        <v>1303</v>
      </c>
      <c r="R217" s="44"/>
      <c r="S217" s="44">
        <f t="shared" si="49"/>
        <v>107500</v>
      </c>
      <c r="T217" s="44">
        <f t="shared" si="50"/>
        <v>153571.42857142858</v>
      </c>
      <c r="U217" s="45">
        <f t="shared" si="51"/>
        <v>175510.20408163266</v>
      </c>
      <c r="V217" s="46">
        <f t="shared" si="52"/>
        <v>0.125</v>
      </c>
      <c r="W217" s="45">
        <f t="shared" si="53"/>
        <v>175600</v>
      </c>
      <c r="X217" s="47">
        <f t="shared" si="54"/>
        <v>0.30000000000000004</v>
      </c>
      <c r="Y217" s="57">
        <v>152250</v>
      </c>
      <c r="Z217" s="58"/>
      <c r="AA217" s="59"/>
    </row>
    <row r="218" spans="1:27" ht="14.4" hidden="1" customHeight="1">
      <c r="A218" s="35">
        <v>214</v>
      </c>
      <c r="B218" s="36"/>
      <c r="C218" s="75" t="s">
        <v>722</v>
      </c>
      <c r="D218" s="37" t="str">
        <f t="shared" si="55"/>
        <v xml:space="preserve"> 623</v>
      </c>
      <c r="E218" s="38" t="s">
        <v>722</v>
      </c>
      <c r="F218" s="39">
        <f t="shared" si="56"/>
        <v>0</v>
      </c>
      <c r="G218" s="76" t="s">
        <v>335</v>
      </c>
      <c r="H218" s="77" t="s">
        <v>322</v>
      </c>
      <c r="I218" s="77" t="s">
        <v>723</v>
      </c>
      <c r="J218" s="41">
        <v>134000</v>
      </c>
      <c r="K218" s="42">
        <f t="shared" si="46"/>
        <v>8550</v>
      </c>
      <c r="L218" s="39" t="s">
        <v>22</v>
      </c>
      <c r="M218" s="43">
        <f t="shared" si="47"/>
        <v>125450</v>
      </c>
      <c r="N218" s="43">
        <f>2000+5500+600+200+250</f>
        <v>8550</v>
      </c>
      <c r="O218" s="72">
        <f t="shared" si="48"/>
        <v>134000</v>
      </c>
      <c r="P218" s="29"/>
      <c r="Q218" s="40" t="s">
        <v>1303</v>
      </c>
      <c r="R218" s="44"/>
      <c r="S218" s="44">
        <f t="shared" si="49"/>
        <v>134000</v>
      </c>
      <c r="T218" s="44">
        <f t="shared" si="50"/>
        <v>191428.57142857145</v>
      </c>
      <c r="U218" s="45">
        <f t="shared" si="51"/>
        <v>218775.51020408166</v>
      </c>
      <c r="V218" s="46">
        <f t="shared" si="52"/>
        <v>0.125</v>
      </c>
      <c r="W218" s="45">
        <f t="shared" si="53"/>
        <v>218800</v>
      </c>
      <c r="X218" s="47">
        <f t="shared" si="54"/>
        <v>0.3000000000000001</v>
      </c>
      <c r="Y218" s="57"/>
      <c r="Z218" s="58"/>
      <c r="AA218" s="59"/>
    </row>
    <row r="219" spans="1:27" ht="14.4" hidden="1" customHeight="1">
      <c r="A219" s="56">
        <v>215</v>
      </c>
      <c r="B219" s="36"/>
      <c r="C219" s="75" t="s">
        <v>725</v>
      </c>
      <c r="D219" s="37" t="str">
        <f t="shared" si="55"/>
        <v xml:space="preserve"> 952</v>
      </c>
      <c r="E219" s="38" t="s">
        <v>725</v>
      </c>
      <c r="F219" s="39">
        <f t="shared" si="56"/>
        <v>0</v>
      </c>
      <c r="G219" s="76" t="s">
        <v>340</v>
      </c>
      <c r="H219" s="77" t="s">
        <v>726</v>
      </c>
      <c r="I219" s="77" t="s">
        <v>355</v>
      </c>
      <c r="J219" s="41">
        <v>150000</v>
      </c>
      <c r="K219" s="42">
        <f t="shared" si="46"/>
        <v>9250</v>
      </c>
      <c r="L219" s="39"/>
      <c r="M219" s="43">
        <f t="shared" si="47"/>
        <v>140750</v>
      </c>
      <c r="N219" s="43">
        <f>2000+6200+600+200+250</f>
        <v>9250</v>
      </c>
      <c r="O219" s="72">
        <f t="shared" si="48"/>
        <v>150000</v>
      </c>
      <c r="P219" s="29"/>
      <c r="Q219" s="40"/>
      <c r="R219" s="44"/>
      <c r="S219" s="44">
        <f t="shared" si="49"/>
        <v>150000</v>
      </c>
      <c r="T219" s="44">
        <f t="shared" si="50"/>
        <v>214285.71428571429</v>
      </c>
      <c r="U219" s="45">
        <f t="shared" si="51"/>
        <v>244897.95918367346</v>
      </c>
      <c r="V219" s="46">
        <f t="shared" si="52"/>
        <v>0.12499999999999996</v>
      </c>
      <c r="W219" s="45">
        <f t="shared" si="53"/>
        <v>244900</v>
      </c>
      <c r="X219" s="47">
        <f t="shared" si="54"/>
        <v>0.3</v>
      </c>
      <c r="Y219" s="57">
        <v>198538</v>
      </c>
      <c r="Z219" s="58"/>
      <c r="AA219" s="59"/>
    </row>
    <row r="220" spans="1:27" ht="14.4" hidden="1" customHeight="1">
      <c r="A220" s="35">
        <v>216</v>
      </c>
      <c r="B220" s="36"/>
      <c r="C220" s="75" t="s">
        <v>728</v>
      </c>
      <c r="D220" s="37" t="str">
        <f t="shared" si="55"/>
        <v xml:space="preserve"> 890</v>
      </c>
      <c r="E220" s="38" t="s">
        <v>728</v>
      </c>
      <c r="F220" s="39">
        <f t="shared" si="56"/>
        <v>0</v>
      </c>
      <c r="G220" s="76" t="s">
        <v>335</v>
      </c>
      <c r="H220" s="77" t="s">
        <v>729</v>
      </c>
      <c r="I220" s="77" t="s">
        <v>723</v>
      </c>
      <c r="J220" s="41">
        <v>150000</v>
      </c>
      <c r="K220" s="42">
        <f t="shared" si="46"/>
        <v>9250</v>
      </c>
      <c r="L220" s="39" t="s">
        <v>22</v>
      </c>
      <c r="M220" s="43">
        <f t="shared" si="47"/>
        <v>140750</v>
      </c>
      <c r="N220" s="43">
        <f>2000+6200+600+200+250</f>
        <v>9250</v>
      </c>
      <c r="O220" s="72">
        <f t="shared" si="48"/>
        <v>150000</v>
      </c>
      <c r="P220" s="29"/>
      <c r="Q220" s="40" t="s">
        <v>1311</v>
      </c>
      <c r="R220" s="44"/>
      <c r="S220" s="44">
        <f t="shared" si="49"/>
        <v>150000</v>
      </c>
      <c r="T220" s="44">
        <f t="shared" si="50"/>
        <v>214285.71428571429</v>
      </c>
      <c r="U220" s="45">
        <f t="shared" si="51"/>
        <v>244897.95918367346</v>
      </c>
      <c r="V220" s="46">
        <f t="shared" si="52"/>
        <v>0.12499999999999996</v>
      </c>
      <c r="W220" s="45">
        <f t="shared" si="53"/>
        <v>244900</v>
      </c>
      <c r="X220" s="47">
        <f t="shared" si="54"/>
        <v>0.3</v>
      </c>
      <c r="Y220" s="57"/>
      <c r="Z220" s="58"/>
      <c r="AA220" s="59"/>
    </row>
    <row r="221" spans="1:27" ht="14.4" hidden="1" customHeight="1">
      <c r="A221" s="56">
        <v>217</v>
      </c>
      <c r="B221" s="36"/>
      <c r="C221" s="75" t="s">
        <v>731</v>
      </c>
      <c r="D221" s="37" t="str">
        <f t="shared" si="55"/>
        <v xml:space="preserve"> 851</v>
      </c>
      <c r="E221" s="38" t="s">
        <v>731</v>
      </c>
      <c r="F221" s="39">
        <f t="shared" si="56"/>
        <v>0</v>
      </c>
      <c r="G221" s="76" t="s">
        <v>340</v>
      </c>
      <c r="H221" s="77" t="s">
        <v>732</v>
      </c>
      <c r="I221" s="77" t="s">
        <v>720</v>
      </c>
      <c r="J221" s="41">
        <v>84000</v>
      </c>
      <c r="K221" s="42">
        <f t="shared" si="46"/>
        <v>8550</v>
      </c>
      <c r="L221" s="39" t="s">
        <v>22</v>
      </c>
      <c r="M221" s="43">
        <f t="shared" si="47"/>
        <v>75450</v>
      </c>
      <c r="N221" s="43">
        <f>2000+5500+600+200+250</f>
        <v>8550</v>
      </c>
      <c r="O221" s="72">
        <f t="shared" si="48"/>
        <v>84000</v>
      </c>
      <c r="P221" s="29"/>
      <c r="Q221" s="40" t="s">
        <v>1303</v>
      </c>
      <c r="R221" s="44"/>
      <c r="S221" s="44">
        <f t="shared" si="49"/>
        <v>84000</v>
      </c>
      <c r="T221" s="44">
        <f t="shared" si="50"/>
        <v>120000.00000000001</v>
      </c>
      <c r="U221" s="45">
        <f t="shared" si="51"/>
        <v>137142.85714285716</v>
      </c>
      <c r="V221" s="46">
        <f t="shared" si="52"/>
        <v>0.125</v>
      </c>
      <c r="W221" s="45">
        <f t="shared" si="53"/>
        <v>137200</v>
      </c>
      <c r="X221" s="47">
        <f t="shared" si="54"/>
        <v>0.3000000000000001</v>
      </c>
      <c r="Y221" s="57">
        <v>115063</v>
      </c>
      <c r="Z221" s="58"/>
      <c r="AA221" s="59"/>
    </row>
    <row r="222" spans="1:27" ht="14.4" hidden="1" customHeight="1">
      <c r="A222" s="35">
        <v>218</v>
      </c>
      <c r="B222" s="36"/>
      <c r="C222" s="73" t="s">
        <v>230</v>
      </c>
      <c r="D222" s="37" t="str">
        <f t="shared" si="55"/>
        <v xml:space="preserve"> 548</v>
      </c>
      <c r="E222" s="38" t="s">
        <v>230</v>
      </c>
      <c r="F222" s="39">
        <f t="shared" si="56"/>
        <v>0</v>
      </c>
      <c r="G222" s="76" t="s">
        <v>335</v>
      </c>
      <c r="H222" s="77" t="s">
        <v>726</v>
      </c>
      <c r="I222" s="77" t="s">
        <v>49</v>
      </c>
      <c r="J222" s="43">
        <v>116500</v>
      </c>
      <c r="K222" s="42">
        <f t="shared" si="46"/>
        <v>8550</v>
      </c>
      <c r="L222" s="39" t="s">
        <v>22</v>
      </c>
      <c r="M222" s="43">
        <f t="shared" si="47"/>
        <v>107950</v>
      </c>
      <c r="N222" s="43">
        <f>2000+5500+600+200+250</f>
        <v>8550</v>
      </c>
      <c r="O222" s="72">
        <f t="shared" si="48"/>
        <v>116500</v>
      </c>
      <c r="P222" s="29"/>
      <c r="Q222" s="40" t="s">
        <v>74</v>
      </c>
      <c r="R222" s="44"/>
      <c r="S222" s="44">
        <f t="shared" si="49"/>
        <v>116500</v>
      </c>
      <c r="T222" s="44">
        <f t="shared" si="50"/>
        <v>166428.57142857145</v>
      </c>
      <c r="U222" s="45">
        <f t="shared" si="51"/>
        <v>190204.08163265308</v>
      </c>
      <c r="V222" s="46">
        <f t="shared" si="52"/>
        <v>0.12499999999999996</v>
      </c>
      <c r="W222" s="45">
        <f t="shared" si="53"/>
        <v>190300</v>
      </c>
      <c r="X222" s="47">
        <f t="shared" si="54"/>
        <v>0.3000000000000001</v>
      </c>
      <c r="Y222" s="48"/>
      <c r="Z222" s="48"/>
      <c r="AA222" s="50"/>
    </row>
    <row r="223" spans="1:27" ht="14.4" hidden="1" customHeight="1">
      <c r="A223" s="56">
        <v>219</v>
      </c>
      <c r="B223" s="36"/>
      <c r="C223" s="75" t="s">
        <v>735</v>
      </c>
      <c r="D223" s="37" t="str">
        <f t="shared" si="55"/>
        <v xml:space="preserve"> 413</v>
      </c>
      <c r="E223" s="38" t="s">
        <v>735</v>
      </c>
      <c r="F223" s="39">
        <f t="shared" si="56"/>
        <v>0</v>
      </c>
      <c r="G223" s="76" t="s">
        <v>340</v>
      </c>
      <c r="H223" s="77" t="s">
        <v>729</v>
      </c>
      <c r="I223" s="77" t="s">
        <v>736</v>
      </c>
      <c r="J223" s="43"/>
      <c r="K223" s="42">
        <f t="shared" si="46"/>
        <v>0</v>
      </c>
      <c r="L223" s="39"/>
      <c r="M223" s="43">
        <f t="shared" si="47"/>
        <v>0</v>
      </c>
      <c r="N223" s="43"/>
      <c r="O223" s="72">
        <f t="shared" si="48"/>
        <v>0</v>
      </c>
      <c r="P223" s="29"/>
      <c r="Q223" s="40"/>
      <c r="R223" s="44"/>
      <c r="S223" s="44">
        <f t="shared" si="49"/>
        <v>0</v>
      </c>
      <c r="T223" s="44">
        <f t="shared" si="50"/>
        <v>0</v>
      </c>
      <c r="U223" s="45">
        <f t="shared" si="51"/>
        <v>0</v>
      </c>
      <c r="V223" s="46" t="e">
        <f t="shared" si="52"/>
        <v>#DIV/0!</v>
      </c>
      <c r="W223" s="45">
        <f t="shared" si="53"/>
        <v>0</v>
      </c>
      <c r="X223" s="47" t="e">
        <f t="shared" si="54"/>
        <v>#DIV/0!</v>
      </c>
      <c r="Y223" s="57">
        <v>120575</v>
      </c>
      <c r="Z223" s="58">
        <f>T223-Y223</f>
        <v>-120575</v>
      </c>
      <c r="AA223" s="59">
        <f>Z223/Y223</f>
        <v>-1</v>
      </c>
    </row>
    <row r="224" spans="1:27" ht="14.4" hidden="1" customHeight="1">
      <c r="A224" s="35">
        <v>220</v>
      </c>
      <c r="B224" s="36"/>
      <c r="C224" s="73" t="s">
        <v>231</v>
      </c>
      <c r="D224" s="37" t="str">
        <f t="shared" si="55"/>
        <v xml:space="preserve"> 212</v>
      </c>
      <c r="E224" s="38" t="s">
        <v>231</v>
      </c>
      <c r="F224" s="39">
        <f t="shared" si="56"/>
        <v>0</v>
      </c>
      <c r="G224" s="76" t="s">
        <v>335</v>
      </c>
      <c r="H224" s="77" t="s">
        <v>322</v>
      </c>
      <c r="I224" s="77" t="s">
        <v>49</v>
      </c>
      <c r="J224" s="41">
        <v>116500</v>
      </c>
      <c r="K224" s="42">
        <f t="shared" si="46"/>
        <v>8550</v>
      </c>
      <c r="L224" s="39" t="s">
        <v>22</v>
      </c>
      <c r="M224" s="43">
        <f t="shared" si="47"/>
        <v>107950</v>
      </c>
      <c r="N224" s="43">
        <f>2000+5500+600+200+250</f>
        <v>8550</v>
      </c>
      <c r="O224" s="72">
        <f t="shared" si="48"/>
        <v>116500</v>
      </c>
      <c r="P224" s="29"/>
      <c r="Q224" s="40" t="s">
        <v>74</v>
      </c>
      <c r="R224" s="44"/>
      <c r="S224" s="44">
        <f t="shared" si="49"/>
        <v>116500</v>
      </c>
      <c r="T224" s="44">
        <f t="shared" si="50"/>
        <v>166428.57142857145</v>
      </c>
      <c r="U224" s="45">
        <f t="shared" si="51"/>
        <v>190204.08163265308</v>
      </c>
      <c r="V224" s="46">
        <f t="shared" si="52"/>
        <v>0.12499999999999996</v>
      </c>
      <c r="W224" s="45">
        <f t="shared" si="53"/>
        <v>190300</v>
      </c>
      <c r="X224" s="47">
        <f t="shared" si="54"/>
        <v>0.3000000000000001</v>
      </c>
      <c r="Y224" s="48"/>
      <c r="Z224" s="48"/>
      <c r="AA224" s="48"/>
    </row>
    <row r="225" spans="1:27" ht="14.4" hidden="1" customHeight="1">
      <c r="A225" s="56">
        <v>221</v>
      </c>
      <c r="B225" s="36"/>
      <c r="C225" s="73" t="s">
        <v>127</v>
      </c>
      <c r="D225" s="37" t="str">
        <f t="shared" si="55"/>
        <v xml:space="preserve"> 668</v>
      </c>
      <c r="E225" s="38" t="s">
        <v>127</v>
      </c>
      <c r="F225" s="39">
        <f t="shared" si="56"/>
        <v>0</v>
      </c>
      <c r="G225" s="76" t="s">
        <v>335</v>
      </c>
      <c r="H225" s="77" t="s">
        <v>322</v>
      </c>
      <c r="I225" s="77" t="s">
        <v>39</v>
      </c>
      <c r="J225" s="41">
        <v>92000</v>
      </c>
      <c r="K225" s="42">
        <f t="shared" si="46"/>
        <v>9050</v>
      </c>
      <c r="L225" s="39" t="s">
        <v>22</v>
      </c>
      <c r="M225" s="43">
        <f t="shared" si="47"/>
        <v>82950</v>
      </c>
      <c r="N225" s="43">
        <f>2000+5500+600+200+250+500</f>
        <v>9050</v>
      </c>
      <c r="O225" s="72">
        <f t="shared" si="48"/>
        <v>92000</v>
      </c>
      <c r="P225" s="29"/>
      <c r="Q225" s="40" t="s">
        <v>77</v>
      </c>
      <c r="R225" s="44"/>
      <c r="S225" s="44">
        <f t="shared" si="49"/>
        <v>92000</v>
      </c>
      <c r="T225" s="44">
        <f t="shared" si="50"/>
        <v>131428.57142857145</v>
      </c>
      <c r="U225" s="45">
        <f t="shared" si="51"/>
        <v>150204.08163265308</v>
      </c>
      <c r="V225" s="46">
        <f t="shared" si="52"/>
        <v>0.12499999999999996</v>
      </c>
      <c r="W225" s="45">
        <f t="shared" si="53"/>
        <v>150300</v>
      </c>
      <c r="X225" s="47">
        <f t="shared" si="54"/>
        <v>0.3000000000000001</v>
      </c>
      <c r="Y225" s="57">
        <v>126000</v>
      </c>
      <c r="Z225" s="58">
        <f>T225-Y225</f>
        <v>5428.5714285714494</v>
      </c>
      <c r="AA225" s="59">
        <f>Z225/Y225</f>
        <v>4.3083900226757538E-2</v>
      </c>
    </row>
    <row r="226" spans="1:27" ht="14.4" hidden="1" customHeight="1">
      <c r="A226" s="56">
        <v>222</v>
      </c>
      <c r="B226" s="36"/>
      <c r="C226" s="73" t="s">
        <v>272</v>
      </c>
      <c r="D226" s="37" t="str">
        <f t="shared" si="55"/>
        <v xml:space="preserve"> 322</v>
      </c>
      <c r="E226" s="38" t="s">
        <v>272</v>
      </c>
      <c r="F226" s="39">
        <f t="shared" si="56"/>
        <v>0</v>
      </c>
      <c r="G226" s="76" t="s">
        <v>335</v>
      </c>
      <c r="H226" s="77" t="s">
        <v>732</v>
      </c>
      <c r="I226" s="77" t="s">
        <v>293</v>
      </c>
      <c r="J226" s="41">
        <v>122000</v>
      </c>
      <c r="K226" s="42">
        <f t="shared" si="46"/>
        <v>8450</v>
      </c>
      <c r="L226" s="39" t="s">
        <v>22</v>
      </c>
      <c r="M226" s="43">
        <f t="shared" si="47"/>
        <v>113550</v>
      </c>
      <c r="N226" s="43">
        <f>2000+5500+200+250+500</f>
        <v>8450</v>
      </c>
      <c r="O226" s="72">
        <f t="shared" si="48"/>
        <v>122000</v>
      </c>
      <c r="P226" s="29"/>
      <c r="Q226" s="40" t="s">
        <v>303</v>
      </c>
      <c r="R226" s="53"/>
      <c r="S226" s="44">
        <f t="shared" si="49"/>
        <v>122000</v>
      </c>
      <c r="T226" s="44">
        <f t="shared" si="50"/>
        <v>174285.71428571429</v>
      </c>
      <c r="U226" s="45">
        <f t="shared" si="51"/>
        <v>199183.67346938775</v>
      </c>
      <c r="V226" s="46">
        <f t="shared" si="52"/>
        <v>0.12499999999999996</v>
      </c>
      <c r="W226" s="45">
        <f t="shared" si="53"/>
        <v>199200</v>
      </c>
      <c r="X226" s="47">
        <f t="shared" si="54"/>
        <v>0.30000000000000004</v>
      </c>
      <c r="Y226" s="54"/>
      <c r="Z226" s="54"/>
      <c r="AA226" s="55"/>
    </row>
    <row r="227" spans="1:27" ht="14.4" hidden="1" customHeight="1">
      <c r="A227" s="56">
        <v>223</v>
      </c>
      <c r="B227" s="36"/>
      <c r="C227" s="75" t="s">
        <v>741</v>
      </c>
      <c r="D227" s="37" t="str">
        <f t="shared" si="55"/>
        <v xml:space="preserve"> 932</v>
      </c>
      <c r="E227" s="38" t="s">
        <v>741</v>
      </c>
      <c r="F227" s="39">
        <f t="shared" si="56"/>
        <v>0</v>
      </c>
      <c r="G227" s="76" t="s">
        <v>340</v>
      </c>
      <c r="H227" s="77" t="s">
        <v>729</v>
      </c>
      <c r="I227" s="77" t="s">
        <v>742</v>
      </c>
      <c r="J227" s="41"/>
      <c r="K227" s="42">
        <f t="shared" si="46"/>
        <v>0</v>
      </c>
      <c r="L227" s="39"/>
      <c r="M227" s="43">
        <f t="shared" si="47"/>
        <v>0</v>
      </c>
      <c r="N227" s="43"/>
      <c r="O227" s="72">
        <f t="shared" si="48"/>
        <v>0</v>
      </c>
      <c r="P227" s="29"/>
      <c r="Q227" s="40"/>
      <c r="R227" s="53"/>
      <c r="S227" s="44">
        <f t="shared" si="49"/>
        <v>0</v>
      </c>
      <c r="T227" s="44">
        <f t="shared" si="50"/>
        <v>0</v>
      </c>
      <c r="U227" s="45">
        <f t="shared" si="51"/>
        <v>0</v>
      </c>
      <c r="V227" s="46" t="e">
        <f t="shared" si="52"/>
        <v>#DIV/0!</v>
      </c>
      <c r="W227" s="45">
        <f t="shared" si="53"/>
        <v>0</v>
      </c>
      <c r="X227" s="47" t="e">
        <f t="shared" si="54"/>
        <v>#DIV/0!</v>
      </c>
      <c r="Y227" s="57">
        <v>127050</v>
      </c>
      <c r="Z227" s="58">
        <f>T227-Y227</f>
        <v>-127050</v>
      </c>
      <c r="AA227" s="59">
        <f>Z227/Y227</f>
        <v>-1</v>
      </c>
    </row>
    <row r="228" spans="1:27" ht="14.4" hidden="1" customHeight="1">
      <c r="A228" s="56">
        <v>224</v>
      </c>
      <c r="B228" s="36"/>
      <c r="C228" s="73" t="s">
        <v>271</v>
      </c>
      <c r="D228" s="37" t="str">
        <f t="shared" si="55"/>
        <v xml:space="preserve"> 640</v>
      </c>
      <c r="E228" s="38" t="s">
        <v>271</v>
      </c>
      <c r="F228" s="39">
        <f t="shared" si="56"/>
        <v>0</v>
      </c>
      <c r="G228" s="76" t="s">
        <v>335</v>
      </c>
      <c r="H228" s="77" t="s">
        <v>732</v>
      </c>
      <c r="I228" s="77" t="s">
        <v>293</v>
      </c>
      <c r="J228" s="41">
        <v>122000</v>
      </c>
      <c r="K228" s="42">
        <f t="shared" si="46"/>
        <v>8450</v>
      </c>
      <c r="L228" s="39" t="s">
        <v>22</v>
      </c>
      <c r="M228" s="43">
        <f t="shared" si="47"/>
        <v>113550</v>
      </c>
      <c r="N228" s="43">
        <f>2000+5500+200+250+500</f>
        <v>8450</v>
      </c>
      <c r="O228" s="72">
        <f t="shared" si="48"/>
        <v>122000</v>
      </c>
      <c r="P228" s="29"/>
      <c r="Q228" s="40" t="s">
        <v>303</v>
      </c>
      <c r="R228" s="53"/>
      <c r="S228" s="44">
        <f t="shared" si="49"/>
        <v>122000</v>
      </c>
      <c r="T228" s="44">
        <f t="shared" si="50"/>
        <v>174285.71428571429</v>
      </c>
      <c r="U228" s="45">
        <f t="shared" si="51"/>
        <v>199183.67346938775</v>
      </c>
      <c r="V228" s="46">
        <f t="shared" si="52"/>
        <v>0.12499999999999996</v>
      </c>
      <c r="W228" s="45">
        <f t="shared" si="53"/>
        <v>199200</v>
      </c>
      <c r="X228" s="47">
        <f t="shared" si="54"/>
        <v>0.30000000000000004</v>
      </c>
      <c r="Y228" s="54"/>
      <c r="Z228" s="54"/>
      <c r="AA228" s="55"/>
    </row>
    <row r="229" spans="1:27" ht="14.4" hidden="1" customHeight="1">
      <c r="A229" s="56">
        <v>225</v>
      </c>
      <c r="B229" s="36"/>
      <c r="C229" s="75" t="s">
        <v>745</v>
      </c>
      <c r="D229" s="37" t="str">
        <f t="shared" si="55"/>
        <v xml:space="preserve"> 638</v>
      </c>
      <c r="E229" s="38" t="s">
        <v>745</v>
      </c>
      <c r="F229" s="39">
        <f t="shared" si="56"/>
        <v>0</v>
      </c>
      <c r="G229" s="76" t="s">
        <v>340</v>
      </c>
      <c r="H229" s="77" t="s">
        <v>729</v>
      </c>
      <c r="I229" s="77" t="s">
        <v>746</v>
      </c>
      <c r="J229" s="41"/>
      <c r="K229" s="42">
        <f t="shared" si="46"/>
        <v>0</v>
      </c>
      <c r="L229" s="39"/>
      <c r="M229" s="43">
        <f t="shared" si="47"/>
        <v>0</v>
      </c>
      <c r="N229" s="43"/>
      <c r="O229" s="72">
        <f t="shared" si="48"/>
        <v>0</v>
      </c>
      <c r="P229" s="29"/>
      <c r="Q229" s="40"/>
      <c r="R229" s="53"/>
      <c r="S229" s="44">
        <f t="shared" si="49"/>
        <v>0</v>
      </c>
      <c r="T229" s="44">
        <f t="shared" si="50"/>
        <v>0</v>
      </c>
      <c r="U229" s="45">
        <f t="shared" si="51"/>
        <v>0</v>
      </c>
      <c r="V229" s="46" t="e">
        <f t="shared" si="52"/>
        <v>#DIV/0!</v>
      </c>
      <c r="W229" s="45">
        <f t="shared" si="53"/>
        <v>0</v>
      </c>
      <c r="X229" s="47" t="e">
        <f t="shared" si="54"/>
        <v>#DIV/0!</v>
      </c>
      <c r="Y229" s="57">
        <v>123463</v>
      </c>
      <c r="Z229" s="58">
        <f>T229-Y229</f>
        <v>-123463</v>
      </c>
      <c r="AA229" s="59">
        <f>Z229/Y229</f>
        <v>-1</v>
      </c>
    </row>
    <row r="230" spans="1:27" ht="14.4" hidden="1" customHeight="1">
      <c r="A230" s="56">
        <v>226</v>
      </c>
      <c r="B230" s="36"/>
      <c r="C230" s="73" t="s">
        <v>155</v>
      </c>
      <c r="D230" s="37" t="str">
        <f t="shared" si="55"/>
        <v xml:space="preserve"> 520</v>
      </c>
      <c r="E230" s="38" t="s">
        <v>155</v>
      </c>
      <c r="F230" s="39">
        <f t="shared" si="56"/>
        <v>0</v>
      </c>
      <c r="G230" s="76" t="s">
        <v>340</v>
      </c>
      <c r="H230" s="77" t="s">
        <v>748</v>
      </c>
      <c r="I230" s="77" t="s">
        <v>45</v>
      </c>
      <c r="J230" s="41">
        <v>100000</v>
      </c>
      <c r="K230" s="42">
        <f t="shared" si="46"/>
        <v>8550</v>
      </c>
      <c r="L230" s="39" t="s">
        <v>22</v>
      </c>
      <c r="M230" s="43">
        <f t="shared" si="47"/>
        <v>91450</v>
      </c>
      <c r="N230" s="43">
        <f>2000+5500+600+200+250</f>
        <v>8550</v>
      </c>
      <c r="O230" s="72">
        <f t="shared" si="48"/>
        <v>100000</v>
      </c>
      <c r="P230" s="29"/>
      <c r="Q230" s="40" t="s">
        <v>74</v>
      </c>
      <c r="R230" s="44"/>
      <c r="S230" s="44">
        <f t="shared" si="49"/>
        <v>100000</v>
      </c>
      <c r="T230" s="44">
        <f t="shared" si="50"/>
        <v>142857.14285714287</v>
      </c>
      <c r="U230" s="45">
        <f t="shared" si="51"/>
        <v>163265.30612244899</v>
      </c>
      <c r="V230" s="46">
        <f t="shared" si="52"/>
        <v>0.125</v>
      </c>
      <c r="W230" s="45">
        <f t="shared" si="53"/>
        <v>163300</v>
      </c>
      <c r="X230" s="47">
        <f t="shared" si="54"/>
        <v>0.30000000000000004</v>
      </c>
      <c r="Y230" s="57">
        <v>139038</v>
      </c>
      <c r="Z230" s="58">
        <f>T230-Y230</f>
        <v>3819.1428571428696</v>
      </c>
      <c r="AA230" s="59">
        <f>Z230/Y230</f>
        <v>2.7468338563147267E-2</v>
      </c>
    </row>
    <row r="231" spans="1:27" ht="14.4" hidden="1" customHeight="1">
      <c r="A231" s="56">
        <v>227</v>
      </c>
      <c r="B231" s="36"/>
      <c r="C231" s="75" t="s">
        <v>379</v>
      </c>
      <c r="D231" s="37" t="str">
        <f t="shared" si="55"/>
        <v/>
      </c>
      <c r="E231" s="38" t="s">
        <v>379</v>
      </c>
      <c r="F231" s="39">
        <f t="shared" si="56"/>
        <v>0</v>
      </c>
      <c r="G231" s="76"/>
      <c r="H231" s="77"/>
      <c r="I231" s="77"/>
      <c r="J231" s="41"/>
      <c r="K231" s="42">
        <f t="shared" si="46"/>
        <v>0</v>
      </c>
      <c r="L231" s="39"/>
      <c r="M231" s="43">
        <f t="shared" si="47"/>
        <v>0</v>
      </c>
      <c r="N231" s="43"/>
      <c r="O231" s="72">
        <f t="shared" si="48"/>
        <v>0</v>
      </c>
      <c r="P231" s="29"/>
      <c r="Q231" s="40"/>
      <c r="R231" s="44"/>
      <c r="S231" s="44">
        <f t="shared" si="49"/>
        <v>0</v>
      </c>
      <c r="T231" s="44">
        <f t="shared" si="50"/>
        <v>0</v>
      </c>
      <c r="U231" s="45">
        <f t="shared" si="51"/>
        <v>0</v>
      </c>
      <c r="V231" s="46" t="e">
        <f t="shared" si="52"/>
        <v>#DIV/0!</v>
      </c>
      <c r="W231" s="45">
        <f t="shared" si="53"/>
        <v>0</v>
      </c>
      <c r="X231" s="47" t="e">
        <f t="shared" si="54"/>
        <v>#DIV/0!</v>
      </c>
      <c r="Y231" s="57"/>
      <c r="Z231" s="58"/>
      <c r="AA231" s="59"/>
    </row>
    <row r="232" spans="1:27" ht="14.4" hidden="1" customHeight="1">
      <c r="A232" s="56">
        <v>228</v>
      </c>
      <c r="B232" s="36"/>
      <c r="C232" s="73" t="s">
        <v>198</v>
      </c>
      <c r="D232" s="37" t="str">
        <f t="shared" si="55"/>
        <v xml:space="preserve"> 155</v>
      </c>
      <c r="E232" s="38" t="s">
        <v>198</v>
      </c>
      <c r="F232" s="39">
        <f t="shared" si="56"/>
        <v>0</v>
      </c>
      <c r="G232" s="76" t="s">
        <v>340</v>
      </c>
      <c r="H232" s="77" t="s">
        <v>748</v>
      </c>
      <c r="I232" s="77" t="s">
        <v>38</v>
      </c>
      <c r="J232" s="41">
        <v>81500</v>
      </c>
      <c r="K232" s="42">
        <f t="shared" si="46"/>
        <v>9050</v>
      </c>
      <c r="L232" s="39" t="s">
        <v>22</v>
      </c>
      <c r="M232" s="43">
        <f t="shared" si="47"/>
        <v>72450</v>
      </c>
      <c r="N232" s="43">
        <f>2000+5500+600+200+250+500</f>
        <v>9050</v>
      </c>
      <c r="O232" s="72">
        <f t="shared" si="48"/>
        <v>81500</v>
      </c>
      <c r="P232" s="29"/>
      <c r="Q232" s="40" t="s">
        <v>75</v>
      </c>
      <c r="R232" s="44"/>
      <c r="S232" s="44">
        <f t="shared" si="49"/>
        <v>81500</v>
      </c>
      <c r="T232" s="44">
        <f t="shared" si="50"/>
        <v>116428.57142857143</v>
      </c>
      <c r="U232" s="45">
        <f t="shared" si="51"/>
        <v>133061.22448979592</v>
      </c>
      <c r="V232" s="46">
        <f t="shared" si="52"/>
        <v>0.12499999999999994</v>
      </c>
      <c r="W232" s="45">
        <f t="shared" si="53"/>
        <v>133100</v>
      </c>
      <c r="X232" s="47">
        <f t="shared" si="54"/>
        <v>0.30000000000000004</v>
      </c>
      <c r="Y232" s="57">
        <v>115063</v>
      </c>
      <c r="Z232" s="58">
        <f>T232-Y232</f>
        <v>1365.5714285714348</v>
      </c>
      <c r="AA232" s="59">
        <f>Z232/Y232</f>
        <v>1.186803254366247E-2</v>
      </c>
    </row>
    <row r="233" spans="1:27" ht="14.4" hidden="1" customHeight="1">
      <c r="A233" s="56">
        <v>229</v>
      </c>
      <c r="B233" s="36"/>
      <c r="C233" s="75" t="s">
        <v>379</v>
      </c>
      <c r="D233" s="37" t="str">
        <f t="shared" si="55"/>
        <v/>
      </c>
      <c r="E233" s="38" t="s">
        <v>379</v>
      </c>
      <c r="F233" s="39">
        <f t="shared" si="56"/>
        <v>0</v>
      </c>
      <c r="G233" s="76"/>
      <c r="H233" s="77"/>
      <c r="I233" s="77"/>
      <c r="J233" s="41"/>
      <c r="K233" s="42">
        <f t="shared" si="46"/>
        <v>0</v>
      </c>
      <c r="L233" s="39"/>
      <c r="M233" s="43">
        <f t="shared" si="47"/>
        <v>0</v>
      </c>
      <c r="N233" s="43"/>
      <c r="O233" s="72">
        <f t="shared" si="48"/>
        <v>0</v>
      </c>
      <c r="P233" s="29"/>
      <c r="Q233" s="40"/>
      <c r="R233" s="44"/>
      <c r="S233" s="44">
        <f t="shared" si="49"/>
        <v>0</v>
      </c>
      <c r="T233" s="44">
        <f t="shared" si="50"/>
        <v>0</v>
      </c>
      <c r="U233" s="45">
        <f t="shared" si="51"/>
        <v>0</v>
      </c>
      <c r="V233" s="46" t="e">
        <f t="shared" si="52"/>
        <v>#DIV/0!</v>
      </c>
      <c r="W233" s="45">
        <f t="shared" si="53"/>
        <v>0</v>
      </c>
      <c r="X233" s="47" t="e">
        <f t="shared" si="54"/>
        <v>#DIV/0!</v>
      </c>
      <c r="Y233" s="57"/>
      <c r="Z233" s="58"/>
      <c r="AA233" s="59"/>
    </row>
    <row r="234" spans="1:27" ht="14.4" hidden="1" customHeight="1">
      <c r="A234" s="56">
        <v>230</v>
      </c>
      <c r="B234" s="36"/>
      <c r="C234" s="75" t="s">
        <v>379</v>
      </c>
      <c r="D234" s="37" t="str">
        <f t="shared" si="55"/>
        <v/>
      </c>
      <c r="E234" s="38" t="s">
        <v>379</v>
      </c>
      <c r="F234" s="39">
        <f t="shared" si="56"/>
        <v>0</v>
      </c>
      <c r="G234" s="76"/>
      <c r="H234" s="77"/>
      <c r="I234" s="77"/>
      <c r="J234" s="41"/>
      <c r="K234" s="42">
        <f t="shared" si="46"/>
        <v>0</v>
      </c>
      <c r="L234" s="39"/>
      <c r="M234" s="43">
        <f t="shared" si="47"/>
        <v>0</v>
      </c>
      <c r="N234" s="43"/>
      <c r="O234" s="72">
        <f t="shared" si="48"/>
        <v>0</v>
      </c>
      <c r="P234" s="29"/>
      <c r="Q234" s="40"/>
      <c r="R234" s="44"/>
      <c r="S234" s="44">
        <f t="shared" si="49"/>
        <v>0</v>
      </c>
      <c r="T234" s="44">
        <f t="shared" si="50"/>
        <v>0</v>
      </c>
      <c r="U234" s="45">
        <f t="shared" si="51"/>
        <v>0</v>
      </c>
      <c r="V234" s="46" t="e">
        <f t="shared" si="52"/>
        <v>#DIV/0!</v>
      </c>
      <c r="W234" s="45">
        <f t="shared" si="53"/>
        <v>0</v>
      </c>
      <c r="X234" s="47" t="e">
        <f t="shared" si="54"/>
        <v>#DIV/0!</v>
      </c>
      <c r="Y234" s="57"/>
      <c r="Z234" s="58"/>
      <c r="AA234" s="59"/>
    </row>
    <row r="235" spans="1:27" ht="14.4" hidden="1" customHeight="1">
      <c r="A235" s="56">
        <v>231</v>
      </c>
      <c r="B235" s="36"/>
      <c r="C235" s="75" t="s">
        <v>379</v>
      </c>
      <c r="D235" s="37" t="str">
        <f t="shared" si="55"/>
        <v/>
      </c>
      <c r="E235" s="38" t="s">
        <v>379</v>
      </c>
      <c r="F235" s="39">
        <f t="shared" si="56"/>
        <v>0</v>
      </c>
      <c r="G235" s="76"/>
      <c r="H235" s="77"/>
      <c r="I235" s="77"/>
      <c r="J235" s="41"/>
      <c r="K235" s="42">
        <f t="shared" si="46"/>
        <v>0</v>
      </c>
      <c r="L235" s="39"/>
      <c r="M235" s="43">
        <f t="shared" si="47"/>
        <v>0</v>
      </c>
      <c r="N235" s="43"/>
      <c r="O235" s="72">
        <f t="shared" si="48"/>
        <v>0</v>
      </c>
      <c r="P235" s="29"/>
      <c r="Q235" s="40"/>
      <c r="R235" s="44"/>
      <c r="S235" s="44">
        <f t="shared" si="49"/>
        <v>0</v>
      </c>
      <c r="T235" s="44">
        <f t="shared" si="50"/>
        <v>0</v>
      </c>
      <c r="U235" s="45">
        <f t="shared" si="51"/>
        <v>0</v>
      </c>
      <c r="V235" s="46" t="e">
        <f t="shared" si="52"/>
        <v>#DIV/0!</v>
      </c>
      <c r="W235" s="45">
        <f t="shared" si="53"/>
        <v>0</v>
      </c>
      <c r="X235" s="47" t="e">
        <f t="shared" si="54"/>
        <v>#DIV/0!</v>
      </c>
      <c r="Y235" s="57"/>
      <c r="Z235" s="58"/>
      <c r="AA235" s="59"/>
    </row>
    <row r="236" spans="1:27" ht="14.4" hidden="1" customHeight="1">
      <c r="A236" s="56">
        <v>232</v>
      </c>
      <c r="B236" s="36"/>
      <c r="C236" s="73" t="s">
        <v>229</v>
      </c>
      <c r="D236" s="37" t="str">
        <f t="shared" si="55"/>
        <v xml:space="preserve"> 522</v>
      </c>
      <c r="E236" s="38" t="s">
        <v>229</v>
      </c>
      <c r="F236" s="39">
        <f t="shared" si="56"/>
        <v>0</v>
      </c>
      <c r="G236" s="76" t="s">
        <v>340</v>
      </c>
      <c r="H236" s="77" t="s">
        <v>729</v>
      </c>
      <c r="I236" s="77" t="s">
        <v>49</v>
      </c>
      <c r="J236" s="43"/>
      <c r="K236" s="42">
        <f t="shared" si="46"/>
        <v>0</v>
      </c>
      <c r="L236" s="39"/>
      <c r="M236" s="43">
        <f t="shared" si="47"/>
        <v>0</v>
      </c>
      <c r="N236" s="43"/>
      <c r="O236" s="72">
        <f t="shared" si="48"/>
        <v>0</v>
      </c>
      <c r="P236" s="29"/>
      <c r="Q236" s="40"/>
      <c r="R236" s="44"/>
      <c r="S236" s="44">
        <f t="shared" si="49"/>
        <v>0</v>
      </c>
      <c r="T236" s="44">
        <f t="shared" si="50"/>
        <v>0</v>
      </c>
      <c r="U236" s="45">
        <f t="shared" si="51"/>
        <v>0</v>
      </c>
      <c r="V236" s="46" t="e">
        <f t="shared" si="52"/>
        <v>#DIV/0!</v>
      </c>
      <c r="W236" s="45">
        <f t="shared" si="53"/>
        <v>0</v>
      </c>
      <c r="X236" s="47" t="e">
        <f t="shared" si="54"/>
        <v>#DIV/0!</v>
      </c>
      <c r="Y236" s="57">
        <v>165025</v>
      </c>
      <c r="Z236" s="58">
        <f>T236-Y236</f>
        <v>-165025</v>
      </c>
      <c r="AA236" s="59">
        <f>Z236/Y236</f>
        <v>-1</v>
      </c>
    </row>
    <row r="237" spans="1:27" ht="14.4" hidden="1" customHeight="1">
      <c r="A237" s="56">
        <v>233</v>
      </c>
      <c r="B237" s="36"/>
      <c r="C237" s="75" t="s">
        <v>752</v>
      </c>
      <c r="D237" s="37" t="str">
        <f t="shared" si="55"/>
        <v xml:space="preserve"> 557</v>
      </c>
      <c r="E237" s="38" t="s">
        <v>752</v>
      </c>
      <c r="F237" s="39">
        <f t="shared" si="56"/>
        <v>0</v>
      </c>
      <c r="G237" s="76" t="s">
        <v>335</v>
      </c>
      <c r="H237" s="77" t="s">
        <v>322</v>
      </c>
      <c r="I237" s="77" t="s">
        <v>753</v>
      </c>
      <c r="J237" s="43">
        <v>83000</v>
      </c>
      <c r="K237" s="42">
        <f t="shared" si="46"/>
        <v>9550</v>
      </c>
      <c r="L237" s="39" t="s">
        <v>22</v>
      </c>
      <c r="M237" s="43">
        <f t="shared" si="47"/>
        <v>73450</v>
      </c>
      <c r="N237" s="43">
        <f>2000+5500+600+200+250+1000</f>
        <v>9550</v>
      </c>
      <c r="O237" s="72">
        <f t="shared" si="48"/>
        <v>83000</v>
      </c>
      <c r="P237" s="29"/>
      <c r="Q237" s="40" t="s">
        <v>1310</v>
      </c>
      <c r="R237" s="44"/>
      <c r="S237" s="44">
        <f t="shared" si="49"/>
        <v>83000</v>
      </c>
      <c r="T237" s="44">
        <f t="shared" si="50"/>
        <v>118571.42857142858</v>
      </c>
      <c r="U237" s="45">
        <f t="shared" si="51"/>
        <v>135510.20408163266</v>
      </c>
      <c r="V237" s="46">
        <f t="shared" si="52"/>
        <v>0.125</v>
      </c>
      <c r="W237" s="45">
        <f t="shared" si="53"/>
        <v>135600</v>
      </c>
      <c r="X237" s="47">
        <f t="shared" si="54"/>
        <v>0.30000000000000004</v>
      </c>
      <c r="Y237" s="57"/>
      <c r="Z237" s="58"/>
      <c r="AA237" s="59"/>
    </row>
    <row r="238" spans="1:27" ht="14.4" hidden="1" customHeight="1">
      <c r="A238" s="56">
        <v>234</v>
      </c>
      <c r="B238" s="36"/>
      <c r="C238" s="75" t="s">
        <v>755</v>
      </c>
      <c r="D238" s="37" t="str">
        <f t="shared" si="55"/>
        <v xml:space="preserve"> 747</v>
      </c>
      <c r="E238" s="38" t="s">
        <v>755</v>
      </c>
      <c r="F238" s="39">
        <f t="shared" si="56"/>
        <v>0</v>
      </c>
      <c r="G238" s="76" t="s">
        <v>340</v>
      </c>
      <c r="H238" s="77" t="s">
        <v>322</v>
      </c>
      <c r="I238" s="77" t="s">
        <v>756</v>
      </c>
      <c r="J238" s="43"/>
      <c r="K238" s="42">
        <f t="shared" si="46"/>
        <v>0</v>
      </c>
      <c r="L238" s="39"/>
      <c r="M238" s="43">
        <f t="shared" si="47"/>
        <v>0</v>
      </c>
      <c r="N238" s="43"/>
      <c r="O238" s="72">
        <f t="shared" si="48"/>
        <v>0</v>
      </c>
      <c r="P238" s="29"/>
      <c r="Q238" s="40"/>
      <c r="R238" s="44"/>
      <c r="S238" s="44">
        <f t="shared" si="49"/>
        <v>0</v>
      </c>
      <c r="T238" s="44">
        <f t="shared" si="50"/>
        <v>0</v>
      </c>
      <c r="U238" s="45">
        <f t="shared" si="51"/>
        <v>0</v>
      </c>
      <c r="V238" s="46" t="e">
        <f t="shared" si="52"/>
        <v>#DIV/0!</v>
      </c>
      <c r="W238" s="45">
        <f t="shared" si="53"/>
        <v>0</v>
      </c>
      <c r="X238" s="47" t="e">
        <f t="shared" si="54"/>
        <v>#DIV/0!</v>
      </c>
      <c r="Y238" s="57">
        <v>130025</v>
      </c>
      <c r="Z238" s="58"/>
      <c r="AA238" s="59"/>
    </row>
    <row r="239" spans="1:27" ht="14.4" hidden="1" customHeight="1">
      <c r="A239" s="56">
        <v>235</v>
      </c>
      <c r="B239" s="36"/>
      <c r="C239" s="73" t="s">
        <v>175</v>
      </c>
      <c r="D239" s="37" t="str">
        <f t="shared" si="55"/>
        <v xml:space="preserve"> 316</v>
      </c>
      <c r="E239" s="38" t="s">
        <v>175</v>
      </c>
      <c r="F239" s="39">
        <f t="shared" si="56"/>
        <v>0</v>
      </c>
      <c r="G239" s="76" t="s">
        <v>335</v>
      </c>
      <c r="H239" s="77" t="s">
        <v>726</v>
      </c>
      <c r="I239" s="77" t="s">
        <v>50</v>
      </c>
      <c r="J239" s="41">
        <v>88000</v>
      </c>
      <c r="K239" s="42">
        <f t="shared" si="46"/>
        <v>9350</v>
      </c>
      <c r="L239" s="39" t="s">
        <v>22</v>
      </c>
      <c r="M239" s="43">
        <f t="shared" si="47"/>
        <v>78650</v>
      </c>
      <c r="N239" s="49">
        <f>2000+5500+600+200+250+800</f>
        <v>9350</v>
      </c>
      <c r="O239" s="72">
        <f t="shared" si="48"/>
        <v>88000</v>
      </c>
      <c r="P239" s="29"/>
      <c r="Q239" s="40" t="s">
        <v>79</v>
      </c>
      <c r="R239" s="44"/>
      <c r="S239" s="44">
        <f t="shared" si="49"/>
        <v>88000</v>
      </c>
      <c r="T239" s="44">
        <f t="shared" si="50"/>
        <v>125714.28571428572</v>
      </c>
      <c r="U239" s="45">
        <f t="shared" si="51"/>
        <v>143673.46938775512</v>
      </c>
      <c r="V239" s="46">
        <f t="shared" si="52"/>
        <v>0.12500000000000003</v>
      </c>
      <c r="W239" s="45">
        <f t="shared" si="53"/>
        <v>143700</v>
      </c>
      <c r="X239" s="47">
        <f t="shared" si="54"/>
        <v>0.30000000000000004</v>
      </c>
      <c r="Y239" s="48"/>
      <c r="Z239" s="48"/>
      <c r="AA239" s="50"/>
    </row>
    <row r="240" spans="1:27" ht="14.4" hidden="1" customHeight="1">
      <c r="A240" s="56">
        <v>236</v>
      </c>
      <c r="B240" s="36"/>
      <c r="C240" s="75" t="s">
        <v>759</v>
      </c>
      <c r="D240" s="37" t="str">
        <f t="shared" si="55"/>
        <v xml:space="preserve"> 356</v>
      </c>
      <c r="E240" s="38" t="s">
        <v>759</v>
      </c>
      <c r="F240" s="39">
        <f t="shared" si="56"/>
        <v>0</v>
      </c>
      <c r="G240" s="76" t="s">
        <v>340</v>
      </c>
      <c r="H240" s="77" t="s">
        <v>760</v>
      </c>
      <c r="I240" s="77" t="s">
        <v>377</v>
      </c>
      <c r="J240" s="41">
        <v>79500</v>
      </c>
      <c r="K240" s="42">
        <f t="shared" si="46"/>
        <v>8550</v>
      </c>
      <c r="L240" s="39" t="s">
        <v>22</v>
      </c>
      <c r="M240" s="43">
        <f t="shared" si="47"/>
        <v>70950</v>
      </c>
      <c r="N240" s="49">
        <f>5500+600+200+250+2000</f>
        <v>8550</v>
      </c>
      <c r="O240" s="72">
        <f t="shared" si="48"/>
        <v>79500</v>
      </c>
      <c r="P240" s="29"/>
      <c r="Q240" s="40" t="s">
        <v>1397</v>
      </c>
      <c r="R240" s="44"/>
      <c r="S240" s="44">
        <f t="shared" si="49"/>
        <v>79500</v>
      </c>
      <c r="T240" s="44">
        <f t="shared" si="50"/>
        <v>113571.42857142858</v>
      </c>
      <c r="U240" s="45">
        <f t="shared" si="51"/>
        <v>129795.91836734695</v>
      </c>
      <c r="V240" s="46">
        <f t="shared" si="52"/>
        <v>0.12500000000000003</v>
      </c>
      <c r="W240" s="45">
        <f t="shared" si="53"/>
        <v>129800</v>
      </c>
      <c r="X240" s="47">
        <f t="shared" si="54"/>
        <v>0.30000000000000004</v>
      </c>
      <c r="Y240" s="57">
        <v>113050</v>
      </c>
      <c r="Z240" s="58">
        <f>T240-Y240</f>
        <v>521.42857142857974</v>
      </c>
      <c r="AA240" s="59">
        <f>Z240/Y240</f>
        <v>4.612371264295265E-3</v>
      </c>
    </row>
    <row r="241" spans="1:27" ht="14.4" hidden="1" customHeight="1">
      <c r="A241" s="56">
        <v>237</v>
      </c>
      <c r="B241" s="36"/>
      <c r="C241" s="73" t="s">
        <v>202</v>
      </c>
      <c r="D241" s="37" t="str">
        <f t="shared" si="55"/>
        <v xml:space="preserve"> 320</v>
      </c>
      <c r="E241" s="38" t="s">
        <v>202</v>
      </c>
      <c r="F241" s="39">
        <f t="shared" si="56"/>
        <v>0</v>
      </c>
      <c r="G241" s="76" t="s">
        <v>335</v>
      </c>
      <c r="H241" s="77" t="s">
        <v>726</v>
      </c>
      <c r="I241" s="77" t="s">
        <v>38</v>
      </c>
      <c r="J241" s="41"/>
      <c r="K241" s="42">
        <f t="shared" si="46"/>
        <v>0</v>
      </c>
      <c r="L241" s="39"/>
      <c r="M241" s="43">
        <f t="shared" si="47"/>
        <v>0</v>
      </c>
      <c r="N241" s="43"/>
      <c r="O241" s="72">
        <f t="shared" si="48"/>
        <v>0</v>
      </c>
      <c r="P241" s="29"/>
      <c r="Q241" s="40"/>
      <c r="R241" s="44"/>
      <c r="S241" s="44">
        <f t="shared" si="49"/>
        <v>0</v>
      </c>
      <c r="T241" s="44">
        <f t="shared" si="50"/>
        <v>0</v>
      </c>
      <c r="U241" s="45">
        <f t="shared" si="51"/>
        <v>0</v>
      </c>
      <c r="V241" s="46" t="e">
        <f t="shared" si="52"/>
        <v>#DIV/0!</v>
      </c>
      <c r="W241" s="45">
        <f t="shared" si="53"/>
        <v>0</v>
      </c>
      <c r="X241" s="47" t="e">
        <f t="shared" si="54"/>
        <v>#DIV/0!</v>
      </c>
      <c r="Y241" s="48"/>
      <c r="Z241" s="48"/>
      <c r="AA241" s="50"/>
    </row>
    <row r="242" spans="1:27" ht="14.4" hidden="1" customHeight="1">
      <c r="A242" s="56">
        <v>238</v>
      </c>
      <c r="B242" s="36"/>
      <c r="C242" s="73" t="s">
        <v>247</v>
      </c>
      <c r="D242" s="37" t="str">
        <f t="shared" si="55"/>
        <v xml:space="preserve"> 210</v>
      </c>
      <c r="E242" s="38" t="s">
        <v>247</v>
      </c>
      <c r="F242" s="39">
        <f t="shared" si="56"/>
        <v>0</v>
      </c>
      <c r="G242" s="76" t="s">
        <v>340</v>
      </c>
      <c r="H242" s="77" t="s">
        <v>732</v>
      </c>
      <c r="I242" s="77" t="s">
        <v>68</v>
      </c>
      <c r="J242" s="41">
        <v>90000</v>
      </c>
      <c r="K242" s="42">
        <f t="shared" si="46"/>
        <v>8550</v>
      </c>
      <c r="L242" s="39" t="s">
        <v>22</v>
      </c>
      <c r="M242" s="43">
        <f t="shared" si="47"/>
        <v>81450</v>
      </c>
      <c r="N242" s="43">
        <f>2000+5500+600+200+250</f>
        <v>8550</v>
      </c>
      <c r="O242" s="72">
        <f t="shared" si="48"/>
        <v>90000</v>
      </c>
      <c r="P242" s="29"/>
      <c r="Q242" s="40" t="s">
        <v>250</v>
      </c>
      <c r="R242" s="44"/>
      <c r="S242" s="44">
        <f t="shared" si="49"/>
        <v>90000</v>
      </c>
      <c r="T242" s="44">
        <f t="shared" si="50"/>
        <v>128571.42857142858</v>
      </c>
      <c r="U242" s="45">
        <f t="shared" si="51"/>
        <v>146938.77551020408</v>
      </c>
      <c r="V242" s="46">
        <f t="shared" si="52"/>
        <v>0.12499999999999994</v>
      </c>
      <c r="W242" s="45">
        <f t="shared" si="53"/>
        <v>147000</v>
      </c>
      <c r="X242" s="47">
        <f t="shared" si="54"/>
        <v>0.30000000000000004</v>
      </c>
      <c r="Y242" s="57">
        <v>127050</v>
      </c>
      <c r="Z242" s="58">
        <f>T242-Y242</f>
        <v>1521.4285714285797</v>
      </c>
      <c r="AA242" s="59">
        <f>Z242/Y242</f>
        <v>1.1975037949063988E-2</v>
      </c>
    </row>
    <row r="243" spans="1:27" ht="14.4" hidden="1" customHeight="1">
      <c r="A243" s="56">
        <v>239</v>
      </c>
      <c r="B243" s="36"/>
      <c r="C243" s="75" t="s">
        <v>764</v>
      </c>
      <c r="D243" s="37" t="str">
        <f t="shared" si="55"/>
        <v xml:space="preserve"> 332</v>
      </c>
      <c r="E243" s="38" t="s">
        <v>764</v>
      </c>
      <c r="F243" s="39">
        <f t="shared" si="56"/>
        <v>0</v>
      </c>
      <c r="G243" s="76" t="s">
        <v>335</v>
      </c>
      <c r="H243" s="77" t="s">
        <v>322</v>
      </c>
      <c r="I243" s="77" t="s">
        <v>753</v>
      </c>
      <c r="J243" s="41">
        <v>83500</v>
      </c>
      <c r="K243" s="42">
        <f t="shared" si="46"/>
        <v>9550</v>
      </c>
      <c r="L243" s="39"/>
      <c r="M243" s="43">
        <f t="shared" si="47"/>
        <v>73950</v>
      </c>
      <c r="N243" s="43">
        <f>2000+5500+600+200+250+1000</f>
        <v>9550</v>
      </c>
      <c r="O243" s="72">
        <f t="shared" si="48"/>
        <v>83500</v>
      </c>
      <c r="P243" s="29"/>
      <c r="Q243" s="40" t="s">
        <v>1310</v>
      </c>
      <c r="R243" s="44"/>
      <c r="S243" s="44">
        <f t="shared" si="49"/>
        <v>83500</v>
      </c>
      <c r="T243" s="44">
        <f t="shared" si="50"/>
        <v>119285.71428571429</v>
      </c>
      <c r="U243" s="45">
        <f t="shared" si="51"/>
        <v>136326.53061224491</v>
      </c>
      <c r="V243" s="46">
        <f t="shared" si="52"/>
        <v>0.12500000000000006</v>
      </c>
      <c r="W243" s="45">
        <f t="shared" si="53"/>
        <v>136400</v>
      </c>
      <c r="X243" s="47">
        <f t="shared" si="54"/>
        <v>0.30000000000000004</v>
      </c>
      <c r="Y243" s="57"/>
      <c r="Z243" s="58"/>
      <c r="AA243" s="59"/>
    </row>
    <row r="244" spans="1:27" ht="14.4" hidden="1" customHeight="1">
      <c r="A244" s="56">
        <v>240</v>
      </c>
      <c r="B244" s="36"/>
      <c r="C244" s="75" t="s">
        <v>766</v>
      </c>
      <c r="D244" s="37" t="str">
        <f t="shared" si="55"/>
        <v xml:space="preserve"> 312</v>
      </c>
      <c r="E244" s="38" t="s">
        <v>766</v>
      </c>
      <c r="F244" s="39">
        <f t="shared" si="56"/>
        <v>0</v>
      </c>
      <c r="G244" s="76" t="s">
        <v>335</v>
      </c>
      <c r="H244" s="77" t="s">
        <v>322</v>
      </c>
      <c r="I244" s="77" t="s">
        <v>767</v>
      </c>
      <c r="J244" s="41">
        <v>93000</v>
      </c>
      <c r="K244" s="42">
        <f t="shared" si="46"/>
        <v>9550</v>
      </c>
      <c r="L244" s="39" t="s">
        <v>22</v>
      </c>
      <c r="M244" s="43">
        <f t="shared" si="47"/>
        <v>83450</v>
      </c>
      <c r="N244" s="43">
        <f>2000+5500+600+200+250+1000</f>
        <v>9550</v>
      </c>
      <c r="O244" s="72">
        <f t="shared" si="48"/>
        <v>93000</v>
      </c>
      <c r="P244" s="29"/>
      <c r="Q244" s="40" t="s">
        <v>1310</v>
      </c>
      <c r="R244" s="44"/>
      <c r="S244" s="44">
        <f t="shared" si="49"/>
        <v>93000</v>
      </c>
      <c r="T244" s="44">
        <f t="shared" si="50"/>
        <v>132857.14285714287</v>
      </c>
      <c r="U244" s="45">
        <f t="shared" si="51"/>
        <v>151836.73469387757</v>
      </c>
      <c r="V244" s="46">
        <f t="shared" si="52"/>
        <v>0.12500000000000006</v>
      </c>
      <c r="W244" s="45">
        <f t="shared" si="53"/>
        <v>151900</v>
      </c>
      <c r="X244" s="47">
        <f t="shared" si="54"/>
        <v>0.30000000000000004</v>
      </c>
      <c r="Y244" s="57"/>
      <c r="Z244" s="58"/>
      <c r="AA244" s="59"/>
    </row>
    <row r="245" spans="1:27" ht="14.4" hidden="1" customHeight="1">
      <c r="A245" s="56">
        <v>241</v>
      </c>
      <c r="B245" s="36"/>
      <c r="C245" s="73" t="s">
        <v>201</v>
      </c>
      <c r="D245" s="37" t="str">
        <f t="shared" si="55"/>
        <v xml:space="preserve"> 349</v>
      </c>
      <c r="E245" s="38" t="s">
        <v>201</v>
      </c>
      <c r="F245" s="39">
        <f t="shared" si="56"/>
        <v>0</v>
      </c>
      <c r="G245" s="76" t="s">
        <v>335</v>
      </c>
      <c r="H245" s="77" t="s">
        <v>726</v>
      </c>
      <c r="I245" s="77" t="s">
        <v>38</v>
      </c>
      <c r="J245" s="41">
        <v>93000</v>
      </c>
      <c r="K245" s="42">
        <f t="shared" si="46"/>
        <v>9950</v>
      </c>
      <c r="L245" s="39" t="s">
        <v>22</v>
      </c>
      <c r="M245" s="43">
        <f t="shared" si="47"/>
        <v>83050</v>
      </c>
      <c r="N245" s="43">
        <f>2000+6200+600+200+250+700</f>
        <v>9950</v>
      </c>
      <c r="O245" s="72">
        <f t="shared" si="48"/>
        <v>93000</v>
      </c>
      <c r="P245" s="29"/>
      <c r="Q245" s="40" t="s">
        <v>76</v>
      </c>
      <c r="R245" s="44"/>
      <c r="S245" s="44">
        <f t="shared" si="49"/>
        <v>93000</v>
      </c>
      <c r="T245" s="44">
        <f t="shared" si="50"/>
        <v>132857.14285714287</v>
      </c>
      <c r="U245" s="45">
        <f t="shared" si="51"/>
        <v>151836.73469387757</v>
      </c>
      <c r="V245" s="46">
        <f t="shared" si="52"/>
        <v>0.12500000000000006</v>
      </c>
      <c r="W245" s="45">
        <f t="shared" si="53"/>
        <v>151900</v>
      </c>
      <c r="X245" s="47">
        <f t="shared" si="54"/>
        <v>0.30000000000000004</v>
      </c>
      <c r="Y245" s="48"/>
      <c r="Z245" s="48"/>
      <c r="AA245" s="50"/>
    </row>
    <row r="246" spans="1:27" ht="14.4" hidden="1" customHeight="1">
      <c r="A246" s="56">
        <v>242</v>
      </c>
      <c r="B246" s="36"/>
      <c r="C246" s="73" t="s">
        <v>248</v>
      </c>
      <c r="D246" s="37" t="str">
        <f t="shared" si="55"/>
        <v xml:space="preserve"> 690</v>
      </c>
      <c r="E246" s="38" t="s">
        <v>248</v>
      </c>
      <c r="F246" s="39">
        <f t="shared" si="56"/>
        <v>0</v>
      </c>
      <c r="G246" s="76" t="s">
        <v>340</v>
      </c>
      <c r="H246" s="77" t="s">
        <v>732</v>
      </c>
      <c r="I246" s="77" t="s">
        <v>68</v>
      </c>
      <c r="J246" s="41">
        <v>87000</v>
      </c>
      <c r="K246" s="42">
        <f t="shared" si="46"/>
        <v>9050</v>
      </c>
      <c r="L246" s="39" t="s">
        <v>22</v>
      </c>
      <c r="M246" s="43">
        <f t="shared" si="47"/>
        <v>77950</v>
      </c>
      <c r="N246" s="43">
        <f>2000+5500+600+200+250+500</f>
        <v>9050</v>
      </c>
      <c r="O246" s="72">
        <f t="shared" si="48"/>
        <v>87000</v>
      </c>
      <c r="P246" s="29"/>
      <c r="Q246" s="40" t="s">
        <v>252</v>
      </c>
      <c r="R246" s="44"/>
      <c r="S246" s="44">
        <f t="shared" si="49"/>
        <v>87000</v>
      </c>
      <c r="T246" s="44">
        <f t="shared" si="50"/>
        <v>124285.71428571429</v>
      </c>
      <c r="U246" s="45">
        <f t="shared" si="51"/>
        <v>142040.81632653062</v>
      </c>
      <c r="V246" s="46">
        <f t="shared" si="52"/>
        <v>0.12500000000000003</v>
      </c>
      <c r="W246" s="45">
        <f t="shared" si="53"/>
        <v>142100</v>
      </c>
      <c r="X246" s="47">
        <f t="shared" si="54"/>
        <v>0.30000000000000004</v>
      </c>
      <c r="Y246" s="57">
        <v>122063</v>
      </c>
      <c r="Z246" s="58">
        <f>T246-Y246</f>
        <v>2222.7142857142899</v>
      </c>
      <c r="AA246" s="59">
        <f>Z246/Y246</f>
        <v>1.8209566254428367E-2</v>
      </c>
    </row>
    <row r="247" spans="1:27" ht="14.4" hidden="1" customHeight="1">
      <c r="A247" s="56">
        <v>243</v>
      </c>
      <c r="B247" s="36"/>
      <c r="C247" s="73" t="s">
        <v>206</v>
      </c>
      <c r="D247" s="37" t="str">
        <f t="shared" si="55"/>
        <v xml:space="preserve"> 299</v>
      </c>
      <c r="E247" s="38" t="s">
        <v>206</v>
      </c>
      <c r="F247" s="39">
        <f t="shared" si="56"/>
        <v>0</v>
      </c>
      <c r="G247" s="76" t="s">
        <v>335</v>
      </c>
      <c r="H247" s="77" t="s">
        <v>322</v>
      </c>
      <c r="I247" s="77" t="s">
        <v>64</v>
      </c>
      <c r="J247" s="41">
        <v>79050</v>
      </c>
      <c r="K247" s="42">
        <f t="shared" si="46"/>
        <v>9050</v>
      </c>
      <c r="L247" s="39" t="s">
        <v>22</v>
      </c>
      <c r="M247" s="43">
        <f t="shared" si="47"/>
        <v>70000</v>
      </c>
      <c r="N247" s="49">
        <f>2000+5500+600+200+250+500</f>
        <v>9050</v>
      </c>
      <c r="O247" s="72">
        <f t="shared" si="48"/>
        <v>79050</v>
      </c>
      <c r="P247" s="29"/>
      <c r="Q247" s="40" t="s">
        <v>77</v>
      </c>
      <c r="R247" s="44"/>
      <c r="S247" s="44">
        <f t="shared" si="49"/>
        <v>79050</v>
      </c>
      <c r="T247" s="44">
        <f t="shared" si="50"/>
        <v>112928.57142857143</v>
      </c>
      <c r="U247" s="45">
        <f t="shared" si="51"/>
        <v>129061.22448979593</v>
      </c>
      <c r="V247" s="46">
        <f t="shared" si="52"/>
        <v>0.12500000000000006</v>
      </c>
      <c r="W247" s="45">
        <f t="shared" si="53"/>
        <v>129100</v>
      </c>
      <c r="X247" s="47">
        <f t="shared" si="54"/>
        <v>0.30000000000000004</v>
      </c>
      <c r="Y247" s="48"/>
      <c r="Z247" s="48"/>
      <c r="AA247" s="48"/>
    </row>
    <row r="248" spans="1:27" ht="14.4" hidden="1" customHeight="1">
      <c r="A248" s="56">
        <v>244</v>
      </c>
      <c r="B248" s="36"/>
      <c r="C248" s="75" t="s">
        <v>772</v>
      </c>
      <c r="D248" s="37" t="str">
        <f t="shared" si="55"/>
        <v xml:space="preserve"> 624</v>
      </c>
      <c r="E248" s="38" t="s">
        <v>772</v>
      </c>
      <c r="F248" s="39">
        <f t="shared" si="56"/>
        <v>0</v>
      </c>
      <c r="G248" s="76" t="s">
        <v>340</v>
      </c>
      <c r="H248" s="77" t="s">
        <v>726</v>
      </c>
      <c r="I248" s="77" t="s">
        <v>773</v>
      </c>
      <c r="J248" s="41">
        <v>153000</v>
      </c>
      <c r="K248" s="42">
        <f t="shared" si="46"/>
        <v>9750</v>
      </c>
      <c r="L248" s="39" t="s">
        <v>22</v>
      </c>
      <c r="M248" s="43">
        <f t="shared" si="47"/>
        <v>143250</v>
      </c>
      <c r="N248" s="49">
        <f>2000+6200+600+200+250+500</f>
        <v>9750</v>
      </c>
      <c r="O248" s="72">
        <f t="shared" si="48"/>
        <v>153000</v>
      </c>
      <c r="P248" s="29"/>
      <c r="Q248" s="40" t="s">
        <v>1314</v>
      </c>
      <c r="R248" s="44"/>
      <c r="S248" s="44">
        <f t="shared" si="49"/>
        <v>153000</v>
      </c>
      <c r="T248" s="44">
        <f t="shared" si="50"/>
        <v>218571.42857142858</v>
      </c>
      <c r="U248" s="45">
        <f t="shared" si="51"/>
        <v>249795.91836734695</v>
      </c>
      <c r="V248" s="46">
        <f t="shared" si="52"/>
        <v>0.12500000000000003</v>
      </c>
      <c r="W248" s="45">
        <f t="shared" si="53"/>
        <v>249800</v>
      </c>
      <c r="X248" s="47">
        <f t="shared" si="54"/>
        <v>0.30000000000000004</v>
      </c>
      <c r="Y248" s="57">
        <v>205100</v>
      </c>
      <c r="Z248" s="58">
        <f>T248-Y248</f>
        <v>13471.42857142858</v>
      </c>
      <c r="AA248" s="59">
        <f>Z248/Y248</f>
        <v>6.5682245594483574E-2</v>
      </c>
    </row>
    <row r="249" spans="1:27" ht="14.4" hidden="1" customHeight="1">
      <c r="A249" s="56">
        <v>245</v>
      </c>
      <c r="B249" s="36"/>
      <c r="C249" s="75" t="s">
        <v>775</v>
      </c>
      <c r="D249" s="37" t="str">
        <f t="shared" si="55"/>
        <v xml:space="preserve"> 708</v>
      </c>
      <c r="E249" s="38" t="s">
        <v>775</v>
      </c>
      <c r="F249" s="39">
        <f t="shared" si="56"/>
        <v>0</v>
      </c>
      <c r="G249" s="76" t="s">
        <v>335</v>
      </c>
      <c r="H249" s="77" t="s">
        <v>726</v>
      </c>
      <c r="I249" s="77" t="s">
        <v>773</v>
      </c>
      <c r="J249" s="41">
        <v>143000</v>
      </c>
      <c r="K249" s="42">
        <f t="shared" si="46"/>
        <v>10250</v>
      </c>
      <c r="L249" s="39" t="s">
        <v>22</v>
      </c>
      <c r="M249" s="43">
        <f t="shared" si="47"/>
        <v>132750</v>
      </c>
      <c r="N249" s="49">
        <f>2000+6200+600+200+250+1000</f>
        <v>10250</v>
      </c>
      <c r="O249" s="72">
        <f t="shared" si="48"/>
        <v>143000</v>
      </c>
      <c r="P249" s="29"/>
      <c r="Q249" s="40" t="s">
        <v>1312</v>
      </c>
      <c r="R249" s="44"/>
      <c r="S249" s="44">
        <f t="shared" si="49"/>
        <v>143000</v>
      </c>
      <c r="T249" s="44">
        <f t="shared" si="50"/>
        <v>204285.71428571429</v>
      </c>
      <c r="U249" s="45">
        <f t="shared" si="51"/>
        <v>233469.38775510204</v>
      </c>
      <c r="V249" s="46">
        <f t="shared" si="52"/>
        <v>0.12499999999999999</v>
      </c>
      <c r="W249" s="45">
        <f t="shared" si="53"/>
        <v>233500</v>
      </c>
      <c r="X249" s="47">
        <f t="shared" si="54"/>
        <v>0.3</v>
      </c>
      <c r="Y249" s="48"/>
      <c r="Z249" s="48"/>
      <c r="AA249" s="48"/>
    </row>
    <row r="250" spans="1:27" ht="14.4" hidden="1" customHeight="1">
      <c r="A250" s="56">
        <v>246</v>
      </c>
      <c r="B250" s="36"/>
      <c r="C250" s="75" t="s">
        <v>777</v>
      </c>
      <c r="D250" s="37" t="str">
        <f t="shared" si="55"/>
        <v xml:space="preserve"> 482</v>
      </c>
      <c r="E250" s="38" t="s">
        <v>777</v>
      </c>
      <c r="F250" s="39">
        <f t="shared" si="56"/>
        <v>0</v>
      </c>
      <c r="G250" s="76" t="s">
        <v>340</v>
      </c>
      <c r="H250" s="77" t="s">
        <v>778</v>
      </c>
      <c r="I250" s="77" t="s">
        <v>773</v>
      </c>
      <c r="J250" s="41">
        <v>153000</v>
      </c>
      <c r="K250" s="42">
        <f t="shared" si="46"/>
        <v>9750</v>
      </c>
      <c r="L250" s="39" t="s">
        <v>22</v>
      </c>
      <c r="M250" s="43">
        <f t="shared" si="47"/>
        <v>143250</v>
      </c>
      <c r="N250" s="49">
        <f>2000+6200+600+200+250+500</f>
        <v>9750</v>
      </c>
      <c r="O250" s="72">
        <f t="shared" si="48"/>
        <v>153000</v>
      </c>
      <c r="P250" s="29"/>
      <c r="Q250" s="40" t="s">
        <v>1314</v>
      </c>
      <c r="R250" s="44"/>
      <c r="S250" s="44">
        <f t="shared" si="49"/>
        <v>153000</v>
      </c>
      <c r="T250" s="44">
        <f t="shared" si="50"/>
        <v>218571.42857142858</v>
      </c>
      <c r="U250" s="45">
        <f t="shared" si="51"/>
        <v>249795.91836734695</v>
      </c>
      <c r="V250" s="46">
        <f t="shared" si="52"/>
        <v>0.12500000000000003</v>
      </c>
      <c r="W250" s="45">
        <f t="shared" si="53"/>
        <v>249800</v>
      </c>
      <c r="X250" s="47">
        <f t="shared" si="54"/>
        <v>0.30000000000000004</v>
      </c>
      <c r="Y250" s="57">
        <v>205100</v>
      </c>
      <c r="Z250" s="58">
        <f>T250-Y250</f>
        <v>13471.42857142858</v>
      </c>
      <c r="AA250" s="59">
        <f>Z250/Y250</f>
        <v>6.5682245594483574E-2</v>
      </c>
    </row>
    <row r="251" spans="1:27" ht="14.4" hidden="1" customHeight="1">
      <c r="A251" s="56">
        <v>247</v>
      </c>
      <c r="B251" s="36"/>
      <c r="C251" s="73" t="s">
        <v>170</v>
      </c>
      <c r="D251" s="37" t="str">
        <f t="shared" si="55"/>
        <v xml:space="preserve"> 414</v>
      </c>
      <c r="E251" s="38" t="s">
        <v>170</v>
      </c>
      <c r="F251" s="39">
        <f t="shared" si="56"/>
        <v>0</v>
      </c>
      <c r="G251" s="76" t="s">
        <v>335</v>
      </c>
      <c r="H251" s="77" t="s">
        <v>726</v>
      </c>
      <c r="I251" s="77" t="s">
        <v>51</v>
      </c>
      <c r="J251" s="41">
        <v>125000</v>
      </c>
      <c r="K251" s="42">
        <f t="shared" si="46"/>
        <v>9750</v>
      </c>
      <c r="L251" s="39" t="s">
        <v>22</v>
      </c>
      <c r="M251" s="43">
        <f t="shared" si="47"/>
        <v>115250</v>
      </c>
      <c r="N251" s="49">
        <f>2000+6200+600+500+200+250</f>
        <v>9750</v>
      </c>
      <c r="O251" s="72">
        <f t="shared" si="48"/>
        <v>125000</v>
      </c>
      <c r="P251" s="29"/>
      <c r="Q251" s="40" t="s">
        <v>81</v>
      </c>
      <c r="R251" s="44"/>
      <c r="S251" s="44">
        <f t="shared" si="49"/>
        <v>125000</v>
      </c>
      <c r="T251" s="44">
        <f t="shared" si="50"/>
        <v>178571.42857142858</v>
      </c>
      <c r="U251" s="45">
        <f t="shared" si="51"/>
        <v>204081.63265306124</v>
      </c>
      <c r="V251" s="46">
        <f t="shared" si="52"/>
        <v>0.12500000000000003</v>
      </c>
      <c r="W251" s="45">
        <f t="shared" si="53"/>
        <v>204100</v>
      </c>
      <c r="X251" s="47">
        <f t="shared" si="54"/>
        <v>0.30000000000000004</v>
      </c>
      <c r="Y251" s="48"/>
      <c r="Z251" s="48"/>
      <c r="AA251" s="48"/>
    </row>
    <row r="252" spans="1:27" ht="14.4" hidden="1" customHeight="1">
      <c r="A252" s="56">
        <v>248</v>
      </c>
      <c r="B252" s="36"/>
      <c r="C252" s="75" t="s">
        <v>782</v>
      </c>
      <c r="D252" s="37" t="str">
        <f t="shared" si="55"/>
        <v xml:space="preserve"> 991</v>
      </c>
      <c r="E252" s="38" t="s">
        <v>782</v>
      </c>
      <c r="F252" s="39">
        <f t="shared" si="56"/>
        <v>0</v>
      </c>
      <c r="G252" s="76" t="s">
        <v>340</v>
      </c>
      <c r="H252" s="77" t="s">
        <v>726</v>
      </c>
      <c r="I252" s="77" t="s">
        <v>783</v>
      </c>
      <c r="J252" s="41"/>
      <c r="K252" s="42">
        <f t="shared" si="46"/>
        <v>0</v>
      </c>
      <c r="L252" s="39"/>
      <c r="M252" s="43">
        <f t="shared" si="47"/>
        <v>0</v>
      </c>
      <c r="N252" s="49"/>
      <c r="O252" s="72">
        <f t="shared" si="48"/>
        <v>0</v>
      </c>
      <c r="P252" s="29"/>
      <c r="Q252" s="40"/>
      <c r="R252" s="44"/>
      <c r="S252" s="44">
        <f t="shared" si="49"/>
        <v>0</v>
      </c>
      <c r="T252" s="44">
        <f t="shared" si="50"/>
        <v>0</v>
      </c>
      <c r="U252" s="45">
        <f t="shared" si="51"/>
        <v>0</v>
      </c>
      <c r="V252" s="46" t="e">
        <f t="shared" si="52"/>
        <v>#DIV/0!</v>
      </c>
      <c r="W252" s="45">
        <f t="shared" si="53"/>
        <v>0</v>
      </c>
      <c r="X252" s="47" t="e">
        <f t="shared" si="54"/>
        <v>#DIV/0!</v>
      </c>
      <c r="Y252" s="57">
        <v>171063</v>
      </c>
      <c r="Z252" s="58">
        <f>T252-Y252</f>
        <v>-171063</v>
      </c>
      <c r="AA252" s="59">
        <f>Z252/Y252</f>
        <v>-1</v>
      </c>
    </row>
    <row r="253" spans="1:27" ht="14.4" hidden="1" customHeight="1">
      <c r="A253" s="56">
        <v>249</v>
      </c>
      <c r="B253" s="36"/>
      <c r="C253" s="73" t="s">
        <v>169</v>
      </c>
      <c r="D253" s="37" t="str">
        <f t="shared" si="55"/>
        <v xml:space="preserve"> 448</v>
      </c>
      <c r="E253" s="38" t="s">
        <v>169</v>
      </c>
      <c r="F253" s="39">
        <f t="shared" si="56"/>
        <v>0</v>
      </c>
      <c r="G253" s="76" t="s">
        <v>335</v>
      </c>
      <c r="H253" s="77" t="s">
        <v>726</v>
      </c>
      <c r="I253" s="77" t="s">
        <v>51</v>
      </c>
      <c r="J253" s="41">
        <v>125500</v>
      </c>
      <c r="K253" s="42">
        <f t="shared" ref="K253:K316" si="57">J253-M253</f>
        <v>10050</v>
      </c>
      <c r="L253" s="39" t="s">
        <v>22</v>
      </c>
      <c r="M253" s="43">
        <f t="shared" ref="M253:M316" si="58">J253-N253</f>
        <v>115450</v>
      </c>
      <c r="N253" s="49">
        <f>2000+6200+600+200+250+800</f>
        <v>10050</v>
      </c>
      <c r="O253" s="72">
        <f t="shared" ref="O253:O316" si="59">M253+N253</f>
        <v>125500</v>
      </c>
      <c r="P253" s="29"/>
      <c r="Q253" s="40" t="s">
        <v>80</v>
      </c>
      <c r="R253" s="44"/>
      <c r="S253" s="44">
        <f t="shared" ref="S253:S316" si="60">R253+O253</f>
        <v>125500</v>
      </c>
      <c r="T253" s="44">
        <f t="shared" ref="T253:T316" si="61">S253/0.7</f>
        <v>179285.71428571429</v>
      </c>
      <c r="U253" s="45">
        <f t="shared" ref="U253:U316" si="62">T253/0.875</f>
        <v>204897.95918367346</v>
      </c>
      <c r="V253" s="46">
        <f t="shared" ref="V253:V316" si="63">(U253-T253)/U253</f>
        <v>0.12499999999999994</v>
      </c>
      <c r="W253" s="45">
        <f t="shared" ref="W253:W316" si="64">(ROUNDUP((U253/100),0))*100</f>
        <v>204900</v>
      </c>
      <c r="X253" s="47">
        <f t="shared" ref="X253:X316" si="65">(T253-O253)/T253</f>
        <v>0.3</v>
      </c>
      <c r="Y253" s="48"/>
      <c r="Z253" s="48"/>
      <c r="AA253" s="50"/>
    </row>
    <row r="254" spans="1:27" ht="14.4" hidden="1" customHeight="1">
      <c r="A254" s="56">
        <v>250</v>
      </c>
      <c r="B254" s="36"/>
      <c r="C254" s="75" t="s">
        <v>787</v>
      </c>
      <c r="D254" s="37" t="str">
        <f t="shared" si="55"/>
        <v xml:space="preserve"> 532</v>
      </c>
      <c r="E254" s="38" t="s">
        <v>787</v>
      </c>
      <c r="F254" s="39">
        <f t="shared" si="56"/>
        <v>0</v>
      </c>
      <c r="G254" s="76" t="s">
        <v>340</v>
      </c>
      <c r="H254" s="77" t="s">
        <v>726</v>
      </c>
      <c r="I254" s="77" t="s">
        <v>788</v>
      </c>
      <c r="J254" s="41"/>
      <c r="K254" s="42">
        <f t="shared" si="57"/>
        <v>0</v>
      </c>
      <c r="L254" s="39"/>
      <c r="M254" s="43">
        <f t="shared" si="58"/>
        <v>0</v>
      </c>
      <c r="N254" s="49"/>
      <c r="O254" s="72">
        <f t="shared" si="59"/>
        <v>0</v>
      </c>
      <c r="P254" s="29"/>
      <c r="Q254" s="40"/>
      <c r="R254" s="44"/>
      <c r="S254" s="44">
        <f t="shared" si="60"/>
        <v>0</v>
      </c>
      <c r="T254" s="44">
        <f t="shared" si="61"/>
        <v>0</v>
      </c>
      <c r="U254" s="45">
        <f t="shared" si="62"/>
        <v>0</v>
      </c>
      <c r="V254" s="46" t="e">
        <f t="shared" si="63"/>
        <v>#DIV/0!</v>
      </c>
      <c r="W254" s="45">
        <f t="shared" si="64"/>
        <v>0</v>
      </c>
      <c r="X254" s="47" t="e">
        <f t="shared" si="65"/>
        <v>#DIV/0!</v>
      </c>
      <c r="Y254" s="57">
        <v>230038</v>
      </c>
      <c r="Z254" s="58">
        <f>T254-Y254</f>
        <v>-230038</v>
      </c>
      <c r="AA254" s="59">
        <f>Z254/Y254</f>
        <v>-1</v>
      </c>
    </row>
    <row r="255" spans="1:27" ht="14.4" hidden="1" customHeight="1">
      <c r="A255" s="56">
        <v>251</v>
      </c>
      <c r="B255" s="36"/>
      <c r="C255" s="75" t="s">
        <v>790</v>
      </c>
      <c r="D255" s="37" t="str">
        <f t="shared" si="55"/>
        <v xml:space="preserve"> 845</v>
      </c>
      <c r="E255" s="38" t="s">
        <v>790</v>
      </c>
      <c r="F255" s="39">
        <f t="shared" si="56"/>
        <v>0</v>
      </c>
      <c r="G255" s="76" t="s">
        <v>335</v>
      </c>
      <c r="H255" s="77" t="s">
        <v>726</v>
      </c>
      <c r="I255" s="77" t="s">
        <v>788</v>
      </c>
      <c r="J255" s="41"/>
      <c r="K255" s="42">
        <f t="shared" si="57"/>
        <v>0</v>
      </c>
      <c r="L255" s="39"/>
      <c r="M255" s="43">
        <f t="shared" si="58"/>
        <v>0</v>
      </c>
      <c r="N255" s="49"/>
      <c r="O255" s="72">
        <f t="shared" si="59"/>
        <v>0</v>
      </c>
      <c r="P255" s="29"/>
      <c r="Q255" s="40"/>
      <c r="R255" s="44"/>
      <c r="S255" s="44">
        <f t="shared" si="60"/>
        <v>0</v>
      </c>
      <c r="T255" s="44">
        <f t="shared" si="61"/>
        <v>0</v>
      </c>
      <c r="U255" s="45">
        <f t="shared" si="62"/>
        <v>0</v>
      </c>
      <c r="V255" s="46" t="e">
        <f t="shared" si="63"/>
        <v>#DIV/0!</v>
      </c>
      <c r="W255" s="45">
        <f t="shared" si="64"/>
        <v>0</v>
      </c>
      <c r="X255" s="47" t="e">
        <f t="shared" si="65"/>
        <v>#DIV/0!</v>
      </c>
      <c r="Y255" s="48"/>
      <c r="Z255" s="48"/>
      <c r="AA255" s="50"/>
    </row>
    <row r="256" spans="1:27" ht="14.4" hidden="1" customHeight="1">
      <c r="A256" s="56">
        <v>252</v>
      </c>
      <c r="B256" s="36"/>
      <c r="C256" s="75" t="s">
        <v>379</v>
      </c>
      <c r="D256" s="37" t="str">
        <f t="shared" si="55"/>
        <v/>
      </c>
      <c r="E256" s="38" t="s">
        <v>379</v>
      </c>
      <c r="F256" s="39">
        <f t="shared" si="56"/>
        <v>0</v>
      </c>
      <c r="G256" s="76"/>
      <c r="H256" s="77"/>
      <c r="I256" s="77"/>
      <c r="J256" s="41"/>
      <c r="K256" s="42">
        <f t="shared" si="57"/>
        <v>0</v>
      </c>
      <c r="L256" s="39"/>
      <c r="M256" s="43">
        <f t="shared" si="58"/>
        <v>0</v>
      </c>
      <c r="N256" s="49"/>
      <c r="O256" s="72">
        <f t="shared" si="59"/>
        <v>0</v>
      </c>
      <c r="P256" s="29"/>
      <c r="Q256" s="40"/>
      <c r="R256" s="44"/>
      <c r="S256" s="44">
        <f t="shared" si="60"/>
        <v>0</v>
      </c>
      <c r="T256" s="44">
        <f t="shared" si="61"/>
        <v>0</v>
      </c>
      <c r="U256" s="45">
        <f t="shared" si="62"/>
        <v>0</v>
      </c>
      <c r="V256" s="46" t="e">
        <f t="shared" si="63"/>
        <v>#DIV/0!</v>
      </c>
      <c r="W256" s="45">
        <f t="shared" si="64"/>
        <v>0</v>
      </c>
      <c r="X256" s="47" t="e">
        <f t="shared" si="65"/>
        <v>#DIV/0!</v>
      </c>
      <c r="Y256" s="48"/>
      <c r="Z256" s="48"/>
      <c r="AA256" s="50"/>
    </row>
    <row r="257" spans="1:27" ht="14.4" hidden="1" customHeight="1">
      <c r="A257" s="56">
        <v>253</v>
      </c>
      <c r="B257" s="36"/>
      <c r="C257" s="73" t="s">
        <v>168</v>
      </c>
      <c r="D257" s="37" t="str">
        <f t="shared" si="55"/>
        <v xml:space="preserve"> 387</v>
      </c>
      <c r="E257" s="38" t="s">
        <v>168</v>
      </c>
      <c r="F257" s="39">
        <f t="shared" si="56"/>
        <v>0</v>
      </c>
      <c r="G257" s="76" t="s">
        <v>340</v>
      </c>
      <c r="H257" s="77" t="s">
        <v>726</v>
      </c>
      <c r="I257" s="77" t="s">
        <v>51</v>
      </c>
      <c r="J257" s="41">
        <v>194400</v>
      </c>
      <c r="K257" s="42">
        <f t="shared" si="57"/>
        <v>3850</v>
      </c>
      <c r="L257" s="39" t="s">
        <v>22</v>
      </c>
      <c r="M257" s="43">
        <f t="shared" si="58"/>
        <v>190550</v>
      </c>
      <c r="N257" s="49">
        <f>2000+600+800+200+250</f>
        <v>3850</v>
      </c>
      <c r="O257" s="72">
        <f t="shared" si="59"/>
        <v>194400</v>
      </c>
      <c r="P257" s="29"/>
      <c r="Q257" s="40" t="s">
        <v>82</v>
      </c>
      <c r="R257" s="44"/>
      <c r="S257" s="44">
        <f t="shared" si="60"/>
        <v>194400</v>
      </c>
      <c r="T257" s="44">
        <f t="shared" si="61"/>
        <v>277714.28571428574</v>
      </c>
      <c r="U257" s="45">
        <f t="shared" si="62"/>
        <v>317387.75510204083</v>
      </c>
      <c r="V257" s="46">
        <f t="shared" si="63"/>
        <v>0.12499999999999996</v>
      </c>
      <c r="W257" s="45">
        <f t="shared" si="64"/>
        <v>317400</v>
      </c>
      <c r="X257" s="47">
        <f t="shared" si="65"/>
        <v>0.30000000000000004</v>
      </c>
      <c r="Y257" s="57">
        <v>265038</v>
      </c>
      <c r="Z257" s="58">
        <f>T257-Y257</f>
        <v>12676.285714285739</v>
      </c>
      <c r="AA257" s="59">
        <f>Z257/Y257</f>
        <v>4.7828182050444611E-2</v>
      </c>
    </row>
    <row r="258" spans="1:27" ht="14.4" hidden="1" customHeight="1">
      <c r="A258" s="56">
        <v>254</v>
      </c>
      <c r="B258" s="36"/>
      <c r="C258" s="75" t="s">
        <v>1353</v>
      </c>
      <c r="D258" s="37" t="str">
        <f t="shared" si="55"/>
        <v xml:space="preserve"> 865</v>
      </c>
      <c r="E258" s="38" t="s">
        <v>1353</v>
      </c>
      <c r="F258" s="39">
        <f t="shared" si="56"/>
        <v>0</v>
      </c>
      <c r="G258" s="76" t="s">
        <v>340</v>
      </c>
      <c r="H258" s="77" t="s">
        <v>726</v>
      </c>
      <c r="I258" s="77" t="s">
        <v>795</v>
      </c>
      <c r="J258" s="41"/>
      <c r="K258" s="42">
        <f t="shared" si="57"/>
        <v>0</v>
      </c>
      <c r="L258" s="39"/>
      <c r="M258" s="43">
        <f t="shared" si="58"/>
        <v>0</v>
      </c>
      <c r="N258" s="49"/>
      <c r="O258" s="72">
        <f t="shared" si="59"/>
        <v>0</v>
      </c>
      <c r="P258" s="29"/>
      <c r="Q258" s="40"/>
      <c r="R258" s="44"/>
      <c r="S258" s="44">
        <f t="shared" si="60"/>
        <v>0</v>
      </c>
      <c r="T258" s="44">
        <f t="shared" si="61"/>
        <v>0</v>
      </c>
      <c r="U258" s="45">
        <f t="shared" si="62"/>
        <v>0</v>
      </c>
      <c r="V258" s="46" t="e">
        <f t="shared" si="63"/>
        <v>#DIV/0!</v>
      </c>
      <c r="W258" s="45">
        <f t="shared" si="64"/>
        <v>0</v>
      </c>
      <c r="X258" s="47" t="e">
        <f t="shared" si="65"/>
        <v>#DIV/0!</v>
      </c>
      <c r="Y258" s="57">
        <v>271075</v>
      </c>
      <c r="Z258" s="58">
        <f>T258-Y258</f>
        <v>-271075</v>
      </c>
      <c r="AA258" s="59">
        <f>Z258/Y258</f>
        <v>-1</v>
      </c>
    </row>
    <row r="259" spans="1:27" ht="14.4" hidden="1" customHeight="1">
      <c r="A259" s="56">
        <v>255</v>
      </c>
      <c r="B259" s="36"/>
      <c r="C259" s="75" t="s">
        <v>797</v>
      </c>
      <c r="D259" s="37" t="str">
        <f t="shared" si="55"/>
        <v xml:space="preserve"> 712</v>
      </c>
      <c r="E259" s="38" t="s">
        <v>797</v>
      </c>
      <c r="F259" s="39">
        <f t="shared" si="56"/>
        <v>0</v>
      </c>
      <c r="G259" s="76" t="s">
        <v>340</v>
      </c>
      <c r="H259" s="77" t="s">
        <v>726</v>
      </c>
      <c r="I259" s="77" t="s">
        <v>788</v>
      </c>
      <c r="J259" s="41"/>
      <c r="K259" s="42">
        <f t="shared" si="57"/>
        <v>0</v>
      </c>
      <c r="L259" s="39"/>
      <c r="M259" s="43">
        <f t="shared" si="58"/>
        <v>0</v>
      </c>
      <c r="N259" s="49"/>
      <c r="O259" s="72">
        <f t="shared" si="59"/>
        <v>0</v>
      </c>
      <c r="P259" s="29"/>
      <c r="Q259" s="40"/>
      <c r="R259" s="44"/>
      <c r="S259" s="44">
        <f t="shared" si="60"/>
        <v>0</v>
      </c>
      <c r="T259" s="44">
        <f t="shared" si="61"/>
        <v>0</v>
      </c>
      <c r="U259" s="45">
        <f t="shared" si="62"/>
        <v>0</v>
      </c>
      <c r="V259" s="46" t="e">
        <f t="shared" si="63"/>
        <v>#DIV/0!</v>
      </c>
      <c r="W259" s="45">
        <f t="shared" si="64"/>
        <v>0</v>
      </c>
      <c r="X259" s="47" t="e">
        <f t="shared" si="65"/>
        <v>#DIV/0!</v>
      </c>
      <c r="Y259" s="57">
        <v>297500</v>
      </c>
      <c r="Z259" s="58">
        <f>T259-Y259</f>
        <v>-297500</v>
      </c>
      <c r="AA259" s="59">
        <f>Z259/Y259</f>
        <v>-1</v>
      </c>
    </row>
    <row r="260" spans="1:27" ht="14.4" hidden="1" customHeight="1">
      <c r="A260" s="56">
        <v>256</v>
      </c>
      <c r="B260" s="36"/>
      <c r="C260" s="73" t="s">
        <v>232</v>
      </c>
      <c r="D260" s="37" t="str">
        <f t="shared" si="55"/>
        <v xml:space="preserve"> 778</v>
      </c>
      <c r="E260" s="38" t="s">
        <v>232</v>
      </c>
      <c r="F260" s="39">
        <f t="shared" si="56"/>
        <v>0</v>
      </c>
      <c r="G260" s="76" t="s">
        <v>335</v>
      </c>
      <c r="H260" s="77" t="s">
        <v>322</v>
      </c>
      <c r="I260" s="77" t="s">
        <v>49</v>
      </c>
      <c r="J260" s="41">
        <v>112500</v>
      </c>
      <c r="K260" s="42">
        <f t="shared" si="57"/>
        <v>8550</v>
      </c>
      <c r="L260" s="39" t="s">
        <v>22</v>
      </c>
      <c r="M260" s="43">
        <f t="shared" si="58"/>
        <v>103950</v>
      </c>
      <c r="N260" s="43">
        <f>2000+5500+600+200+250</f>
        <v>8550</v>
      </c>
      <c r="O260" s="72">
        <f t="shared" si="59"/>
        <v>112500</v>
      </c>
      <c r="P260" s="29"/>
      <c r="Q260" s="40" t="s">
        <v>74</v>
      </c>
      <c r="R260" s="44"/>
      <c r="S260" s="44">
        <f t="shared" si="60"/>
        <v>112500</v>
      </c>
      <c r="T260" s="44">
        <f t="shared" si="61"/>
        <v>160714.28571428571</v>
      </c>
      <c r="U260" s="45">
        <f t="shared" si="62"/>
        <v>183673.46938775509</v>
      </c>
      <c r="V260" s="46">
        <f t="shared" si="63"/>
        <v>0.12499999999999996</v>
      </c>
      <c r="W260" s="45">
        <f t="shared" si="64"/>
        <v>183700</v>
      </c>
      <c r="X260" s="47">
        <f t="shared" si="65"/>
        <v>0.3</v>
      </c>
      <c r="Y260" s="48"/>
      <c r="Z260" s="48"/>
      <c r="AA260" s="48"/>
    </row>
    <row r="261" spans="1:27" ht="14.4" hidden="1" customHeight="1">
      <c r="A261" s="56">
        <v>257</v>
      </c>
      <c r="B261" s="36"/>
      <c r="C261" s="73" t="s">
        <v>262</v>
      </c>
      <c r="D261" s="37" t="str">
        <f t="shared" ref="D261:D324" si="66">REPLACE(C261,1,3, )</f>
        <v xml:space="preserve"> 306</v>
      </c>
      <c r="E261" s="38" t="s">
        <v>262</v>
      </c>
      <c r="F261" s="39">
        <f t="shared" ref="F261:F324" si="67">IF(C261=E261,0,1)</f>
        <v>0</v>
      </c>
      <c r="G261" s="76" t="s">
        <v>340</v>
      </c>
      <c r="H261" s="77" t="s">
        <v>322</v>
      </c>
      <c r="I261" s="77" t="s">
        <v>290</v>
      </c>
      <c r="J261" s="41">
        <v>85000</v>
      </c>
      <c r="K261" s="42">
        <f t="shared" si="57"/>
        <v>8550</v>
      </c>
      <c r="L261" s="39" t="s">
        <v>22</v>
      </c>
      <c r="M261" s="43">
        <f t="shared" si="58"/>
        <v>76450</v>
      </c>
      <c r="N261" s="43">
        <f>2000+5500+600+200+250</f>
        <v>8550</v>
      </c>
      <c r="O261" s="72">
        <f t="shared" si="59"/>
        <v>85000</v>
      </c>
      <c r="P261" s="29"/>
      <c r="Q261" s="40" t="s">
        <v>74</v>
      </c>
      <c r="R261" s="53"/>
      <c r="S261" s="44">
        <f t="shared" si="60"/>
        <v>85000</v>
      </c>
      <c r="T261" s="44">
        <f t="shared" si="61"/>
        <v>121428.57142857143</v>
      </c>
      <c r="U261" s="45">
        <f t="shared" si="62"/>
        <v>138775.51020408163</v>
      </c>
      <c r="V261" s="46">
        <f t="shared" si="63"/>
        <v>0.12499999999999992</v>
      </c>
      <c r="W261" s="45">
        <f t="shared" si="64"/>
        <v>138800</v>
      </c>
      <c r="X261" s="47">
        <f t="shared" si="65"/>
        <v>0.30000000000000004</v>
      </c>
      <c r="Y261" s="57">
        <v>116025</v>
      </c>
      <c r="Z261" s="58">
        <f>T261-Y261</f>
        <v>5403.5714285714348</v>
      </c>
      <c r="AA261" s="59">
        <f>Z261/Y261</f>
        <v>4.6572475143903766E-2</v>
      </c>
    </row>
    <row r="262" spans="1:27" ht="14.4" hidden="1" customHeight="1">
      <c r="A262" s="56">
        <v>258</v>
      </c>
      <c r="B262" s="36"/>
      <c r="C262" s="75" t="s">
        <v>801</v>
      </c>
      <c r="D262" s="37" t="str">
        <f t="shared" si="66"/>
        <v xml:space="preserve"> 384</v>
      </c>
      <c r="E262" s="38" t="s">
        <v>801</v>
      </c>
      <c r="F262" s="39">
        <f t="shared" si="67"/>
        <v>0</v>
      </c>
      <c r="G262" s="76" t="s">
        <v>335</v>
      </c>
      <c r="H262" s="77" t="s">
        <v>322</v>
      </c>
      <c r="I262" s="77" t="s">
        <v>802</v>
      </c>
      <c r="J262" s="41">
        <v>87500</v>
      </c>
      <c r="K262" s="42">
        <f t="shared" si="57"/>
        <v>8550</v>
      </c>
      <c r="L262" s="39"/>
      <c r="M262" s="43">
        <f t="shared" si="58"/>
        <v>78950</v>
      </c>
      <c r="N262" s="43">
        <f>2000+5500+600+200+250</f>
        <v>8550</v>
      </c>
      <c r="O262" s="72">
        <f t="shared" si="59"/>
        <v>87500</v>
      </c>
      <c r="P262" s="29"/>
      <c r="Q262" s="40" t="s">
        <v>1303</v>
      </c>
      <c r="R262" s="53"/>
      <c r="S262" s="44">
        <f t="shared" si="60"/>
        <v>87500</v>
      </c>
      <c r="T262" s="44">
        <f t="shared" si="61"/>
        <v>125000.00000000001</v>
      </c>
      <c r="U262" s="45">
        <f t="shared" si="62"/>
        <v>142857.14285714287</v>
      </c>
      <c r="V262" s="46">
        <f t="shared" si="63"/>
        <v>0.12499999999999997</v>
      </c>
      <c r="W262" s="45">
        <f t="shared" si="64"/>
        <v>142900</v>
      </c>
      <c r="X262" s="47">
        <f t="shared" si="65"/>
        <v>0.3000000000000001</v>
      </c>
      <c r="Y262" s="54"/>
      <c r="Z262" s="54"/>
      <c r="AA262" s="55"/>
    </row>
    <row r="263" spans="1:27" ht="14.4" hidden="1" customHeight="1">
      <c r="A263" s="56">
        <v>259</v>
      </c>
      <c r="B263" s="36"/>
      <c r="C263" s="73" t="s">
        <v>210</v>
      </c>
      <c r="D263" s="37" t="str">
        <f t="shared" si="66"/>
        <v xml:space="preserve"> 841</v>
      </c>
      <c r="E263" s="38" t="s">
        <v>210</v>
      </c>
      <c r="F263" s="39">
        <f t="shared" si="67"/>
        <v>0</v>
      </c>
      <c r="G263" s="76" t="s">
        <v>335</v>
      </c>
      <c r="H263" s="77" t="s">
        <v>322</v>
      </c>
      <c r="I263" s="77" t="s">
        <v>64</v>
      </c>
      <c r="J263" s="41">
        <v>78550</v>
      </c>
      <c r="K263" s="42">
        <f t="shared" si="57"/>
        <v>8550</v>
      </c>
      <c r="L263" s="39" t="s">
        <v>22</v>
      </c>
      <c r="M263" s="43">
        <f t="shared" si="58"/>
        <v>70000</v>
      </c>
      <c r="N263" s="49">
        <f>2000+5500+600+200+250</f>
        <v>8550</v>
      </c>
      <c r="O263" s="72">
        <f t="shared" si="59"/>
        <v>78550</v>
      </c>
      <c r="P263" s="29"/>
      <c r="Q263" s="40" t="s">
        <v>74</v>
      </c>
      <c r="R263" s="44"/>
      <c r="S263" s="44">
        <f t="shared" si="60"/>
        <v>78550</v>
      </c>
      <c r="T263" s="44">
        <f t="shared" si="61"/>
        <v>112214.28571428572</v>
      </c>
      <c r="U263" s="45">
        <f t="shared" si="62"/>
        <v>128244.89795918368</v>
      </c>
      <c r="V263" s="46">
        <f t="shared" si="63"/>
        <v>0.12499999999999999</v>
      </c>
      <c r="W263" s="45">
        <f t="shared" si="64"/>
        <v>128300</v>
      </c>
      <c r="X263" s="47">
        <f t="shared" si="65"/>
        <v>0.30000000000000004</v>
      </c>
      <c r="Y263" s="48"/>
      <c r="Z263" s="48"/>
      <c r="AA263" s="50"/>
    </row>
    <row r="264" spans="1:27" ht="14.4" hidden="1" customHeight="1">
      <c r="A264" s="56">
        <v>260</v>
      </c>
      <c r="B264" s="36"/>
      <c r="C264" s="75" t="s">
        <v>805</v>
      </c>
      <c r="D264" s="37" t="str">
        <f t="shared" si="66"/>
        <v xml:space="preserve"> 547</v>
      </c>
      <c r="E264" s="38" t="s">
        <v>805</v>
      </c>
      <c r="F264" s="39">
        <f t="shared" si="67"/>
        <v>0</v>
      </c>
      <c r="G264" s="76" t="s">
        <v>340</v>
      </c>
      <c r="H264" s="77" t="s">
        <v>760</v>
      </c>
      <c r="I264" s="77" t="s">
        <v>806</v>
      </c>
      <c r="J264" s="41"/>
      <c r="K264" s="42">
        <f t="shared" si="57"/>
        <v>0</v>
      </c>
      <c r="L264" s="39"/>
      <c r="M264" s="43">
        <f t="shared" si="58"/>
        <v>0</v>
      </c>
      <c r="N264" s="49"/>
      <c r="O264" s="72">
        <f t="shared" si="59"/>
        <v>0</v>
      </c>
      <c r="P264" s="29"/>
      <c r="Q264" s="40"/>
      <c r="R264" s="44"/>
      <c r="S264" s="44">
        <f t="shared" si="60"/>
        <v>0</v>
      </c>
      <c r="T264" s="44">
        <f t="shared" si="61"/>
        <v>0</v>
      </c>
      <c r="U264" s="45">
        <f t="shared" si="62"/>
        <v>0</v>
      </c>
      <c r="V264" s="46" t="e">
        <f t="shared" si="63"/>
        <v>#DIV/0!</v>
      </c>
      <c r="W264" s="45">
        <f t="shared" si="64"/>
        <v>0</v>
      </c>
      <c r="X264" s="47" t="e">
        <f t="shared" si="65"/>
        <v>#DIV/0!</v>
      </c>
      <c r="Y264" s="57">
        <v>130025</v>
      </c>
      <c r="Z264" s="58">
        <f>T264-Y264</f>
        <v>-130025</v>
      </c>
      <c r="AA264" s="59">
        <f>Z264/Y264</f>
        <v>-1</v>
      </c>
    </row>
    <row r="265" spans="1:27" ht="14.4" hidden="1" customHeight="1">
      <c r="A265" s="56">
        <v>261</v>
      </c>
      <c r="B265" s="36"/>
      <c r="C265" s="73" t="s">
        <v>269</v>
      </c>
      <c r="D265" s="37" t="str">
        <f t="shared" si="66"/>
        <v xml:space="preserve"> 848</v>
      </c>
      <c r="E265" s="38" t="s">
        <v>269</v>
      </c>
      <c r="F265" s="39">
        <f t="shared" si="67"/>
        <v>0</v>
      </c>
      <c r="G265" s="76" t="s">
        <v>335</v>
      </c>
      <c r="H265" s="77" t="s">
        <v>322</v>
      </c>
      <c r="I265" s="77" t="s">
        <v>293</v>
      </c>
      <c r="J265" s="41">
        <v>122000</v>
      </c>
      <c r="K265" s="42">
        <f t="shared" si="57"/>
        <v>8450</v>
      </c>
      <c r="L265" s="39" t="s">
        <v>22</v>
      </c>
      <c r="M265" s="43">
        <f t="shared" si="58"/>
        <v>113550</v>
      </c>
      <c r="N265" s="43">
        <f>2000+5500+200+250+500</f>
        <v>8450</v>
      </c>
      <c r="O265" s="72">
        <f t="shared" si="59"/>
        <v>122000</v>
      </c>
      <c r="P265" s="29"/>
      <c r="Q265" s="40" t="s">
        <v>303</v>
      </c>
      <c r="R265" s="53"/>
      <c r="S265" s="44">
        <f t="shared" si="60"/>
        <v>122000</v>
      </c>
      <c r="T265" s="44">
        <f t="shared" si="61"/>
        <v>174285.71428571429</v>
      </c>
      <c r="U265" s="45">
        <f t="shared" si="62"/>
        <v>199183.67346938775</v>
      </c>
      <c r="V265" s="46">
        <f t="shared" si="63"/>
        <v>0.12499999999999996</v>
      </c>
      <c r="W265" s="45">
        <f t="shared" si="64"/>
        <v>199200</v>
      </c>
      <c r="X265" s="47">
        <f t="shared" si="65"/>
        <v>0.30000000000000004</v>
      </c>
      <c r="Y265" s="54"/>
      <c r="Z265" s="54"/>
      <c r="AA265" s="55"/>
    </row>
    <row r="266" spans="1:27" ht="14.4" hidden="1" customHeight="1">
      <c r="A266" s="56">
        <v>262</v>
      </c>
      <c r="B266" s="36"/>
      <c r="C266" s="75" t="s">
        <v>809</v>
      </c>
      <c r="D266" s="37" t="str">
        <f t="shared" si="66"/>
        <v xml:space="preserve"> 965</v>
      </c>
      <c r="E266" s="38" t="s">
        <v>809</v>
      </c>
      <c r="F266" s="39">
        <f t="shared" si="67"/>
        <v>0</v>
      </c>
      <c r="G266" s="76" t="s">
        <v>340</v>
      </c>
      <c r="H266" s="77" t="s">
        <v>729</v>
      </c>
      <c r="I266" s="77" t="s">
        <v>810</v>
      </c>
      <c r="J266" s="41"/>
      <c r="K266" s="42">
        <f t="shared" si="57"/>
        <v>0</v>
      </c>
      <c r="L266" s="39"/>
      <c r="M266" s="43">
        <f t="shared" si="58"/>
        <v>0</v>
      </c>
      <c r="N266" s="43"/>
      <c r="O266" s="72">
        <f t="shared" si="59"/>
        <v>0</v>
      </c>
      <c r="P266" s="29"/>
      <c r="Q266" s="40"/>
      <c r="R266" s="53"/>
      <c r="S266" s="44">
        <f t="shared" si="60"/>
        <v>0</v>
      </c>
      <c r="T266" s="44">
        <f t="shared" si="61"/>
        <v>0</v>
      </c>
      <c r="U266" s="45">
        <f t="shared" si="62"/>
        <v>0</v>
      </c>
      <c r="V266" s="46" t="e">
        <f t="shared" si="63"/>
        <v>#DIV/0!</v>
      </c>
      <c r="W266" s="45">
        <f t="shared" si="64"/>
        <v>0</v>
      </c>
      <c r="X266" s="47" t="e">
        <f t="shared" si="65"/>
        <v>#DIV/0!</v>
      </c>
      <c r="Y266" s="57">
        <v>122063</v>
      </c>
      <c r="Z266" s="58">
        <f>T266-Y266</f>
        <v>-122063</v>
      </c>
      <c r="AA266" s="59">
        <f>Z266/Y266</f>
        <v>-1</v>
      </c>
    </row>
    <row r="267" spans="1:27" ht="14.4" hidden="1" customHeight="1">
      <c r="A267" s="56">
        <v>263</v>
      </c>
      <c r="B267" s="36"/>
      <c r="C267" s="73" t="s">
        <v>208</v>
      </c>
      <c r="D267" s="37" t="str">
        <f t="shared" si="66"/>
        <v xml:space="preserve"> 897</v>
      </c>
      <c r="E267" s="38" t="s">
        <v>208</v>
      </c>
      <c r="F267" s="39">
        <f t="shared" si="67"/>
        <v>0</v>
      </c>
      <c r="G267" s="76" t="s">
        <v>335</v>
      </c>
      <c r="H267" s="77" t="s">
        <v>322</v>
      </c>
      <c r="I267" s="77" t="s">
        <v>64</v>
      </c>
      <c r="J267" s="41">
        <v>77050</v>
      </c>
      <c r="K267" s="42">
        <f t="shared" si="57"/>
        <v>9550</v>
      </c>
      <c r="L267" s="39" t="s">
        <v>22</v>
      </c>
      <c r="M267" s="43">
        <f t="shared" si="58"/>
        <v>67500</v>
      </c>
      <c r="N267" s="49">
        <f>2000+5500+600+200+250+1000</f>
        <v>9550</v>
      </c>
      <c r="O267" s="72">
        <f t="shared" si="59"/>
        <v>77050</v>
      </c>
      <c r="P267" s="29"/>
      <c r="Q267" s="40" t="s">
        <v>85</v>
      </c>
      <c r="R267" s="44"/>
      <c r="S267" s="44">
        <f t="shared" si="60"/>
        <v>77050</v>
      </c>
      <c r="T267" s="44">
        <f t="shared" si="61"/>
        <v>110071.42857142858</v>
      </c>
      <c r="U267" s="45">
        <f t="shared" si="62"/>
        <v>125795.91836734695</v>
      </c>
      <c r="V267" s="46">
        <f t="shared" si="63"/>
        <v>0.12500000000000003</v>
      </c>
      <c r="W267" s="45">
        <f t="shared" si="64"/>
        <v>125800</v>
      </c>
      <c r="X267" s="47">
        <f t="shared" si="65"/>
        <v>0.30000000000000004</v>
      </c>
      <c r="Y267" s="48"/>
      <c r="Z267" s="48"/>
      <c r="AA267" s="50"/>
    </row>
    <row r="268" spans="1:27" ht="14.4" hidden="1" customHeight="1">
      <c r="A268" s="56">
        <v>264</v>
      </c>
      <c r="B268" s="36"/>
      <c r="C268" s="75" t="s">
        <v>813</v>
      </c>
      <c r="D268" s="37" t="str">
        <f t="shared" si="66"/>
        <v xml:space="preserve"> 631</v>
      </c>
      <c r="E268" s="38" t="s">
        <v>813</v>
      </c>
      <c r="F268" s="39">
        <f t="shared" si="67"/>
        <v>0</v>
      </c>
      <c r="G268" s="76" t="s">
        <v>335</v>
      </c>
      <c r="H268" s="77" t="s">
        <v>322</v>
      </c>
      <c r="I268" s="77" t="s">
        <v>720</v>
      </c>
      <c r="J268" s="41">
        <v>92500</v>
      </c>
      <c r="K268" s="42">
        <f t="shared" si="57"/>
        <v>8550</v>
      </c>
      <c r="L268" s="39" t="s">
        <v>22</v>
      </c>
      <c r="M268" s="43">
        <f t="shared" si="58"/>
        <v>83950</v>
      </c>
      <c r="N268" s="49">
        <f>2000+5500+600+200+250</f>
        <v>8550</v>
      </c>
      <c r="O268" s="72">
        <f t="shared" si="59"/>
        <v>92500</v>
      </c>
      <c r="P268" s="29"/>
      <c r="Q268" s="40" t="s">
        <v>1303</v>
      </c>
      <c r="R268" s="44"/>
      <c r="S268" s="44">
        <f t="shared" si="60"/>
        <v>92500</v>
      </c>
      <c r="T268" s="44">
        <f t="shared" si="61"/>
        <v>132142.85714285716</v>
      </c>
      <c r="U268" s="45">
        <f t="shared" si="62"/>
        <v>151020.40816326533</v>
      </c>
      <c r="V268" s="46">
        <f t="shared" si="63"/>
        <v>0.125</v>
      </c>
      <c r="W268" s="45">
        <f t="shared" si="64"/>
        <v>151100</v>
      </c>
      <c r="X268" s="47">
        <f t="shared" si="65"/>
        <v>0.3000000000000001</v>
      </c>
      <c r="Y268" s="48"/>
      <c r="Z268" s="48"/>
      <c r="AA268" s="50"/>
    </row>
    <row r="269" spans="1:27" ht="14.4" hidden="1" customHeight="1">
      <c r="A269" s="56">
        <v>265</v>
      </c>
      <c r="B269" s="36"/>
      <c r="C269" s="73" t="s">
        <v>273</v>
      </c>
      <c r="D269" s="37" t="str">
        <f t="shared" si="66"/>
        <v xml:space="preserve"> 364</v>
      </c>
      <c r="E269" s="38" t="s">
        <v>273</v>
      </c>
      <c r="F269" s="39">
        <f t="shared" si="67"/>
        <v>0</v>
      </c>
      <c r="G269" s="76" t="s">
        <v>335</v>
      </c>
      <c r="H269" s="77" t="s">
        <v>732</v>
      </c>
      <c r="I269" s="77" t="s">
        <v>293</v>
      </c>
      <c r="J269" s="41">
        <v>122000</v>
      </c>
      <c r="K269" s="42">
        <f t="shared" si="57"/>
        <v>8450</v>
      </c>
      <c r="L269" s="39" t="s">
        <v>22</v>
      </c>
      <c r="M269" s="43">
        <f t="shared" si="58"/>
        <v>113550</v>
      </c>
      <c r="N269" s="43">
        <f>2000+5500+200+250+500</f>
        <v>8450</v>
      </c>
      <c r="O269" s="72">
        <f t="shared" si="59"/>
        <v>122000</v>
      </c>
      <c r="P269" s="29"/>
      <c r="Q269" s="40" t="s">
        <v>303</v>
      </c>
      <c r="R269" s="53"/>
      <c r="S269" s="44">
        <f t="shared" si="60"/>
        <v>122000</v>
      </c>
      <c r="T269" s="44">
        <f t="shared" si="61"/>
        <v>174285.71428571429</v>
      </c>
      <c r="U269" s="45">
        <f t="shared" si="62"/>
        <v>199183.67346938775</v>
      </c>
      <c r="V269" s="46">
        <f t="shared" si="63"/>
        <v>0.12499999999999996</v>
      </c>
      <c r="W269" s="45">
        <f t="shared" si="64"/>
        <v>199200</v>
      </c>
      <c r="X269" s="47">
        <f t="shared" si="65"/>
        <v>0.30000000000000004</v>
      </c>
      <c r="Y269" s="54"/>
      <c r="Z269" s="54"/>
      <c r="AA269" s="55"/>
    </row>
    <row r="270" spans="1:27" ht="14.4" hidden="1" customHeight="1">
      <c r="A270" s="56">
        <v>266</v>
      </c>
      <c r="B270" s="36"/>
      <c r="C270" s="73" t="s">
        <v>199</v>
      </c>
      <c r="D270" s="37" t="str">
        <f t="shared" si="66"/>
        <v xml:space="preserve"> 360</v>
      </c>
      <c r="E270" s="38" t="s">
        <v>199</v>
      </c>
      <c r="F270" s="39">
        <f t="shared" si="67"/>
        <v>0</v>
      </c>
      <c r="G270" s="76" t="s">
        <v>340</v>
      </c>
      <c r="H270" s="77" t="s">
        <v>322</v>
      </c>
      <c r="I270" s="77" t="s">
        <v>38</v>
      </c>
      <c r="J270" s="41">
        <v>85000</v>
      </c>
      <c r="K270" s="42">
        <f t="shared" si="57"/>
        <v>9050</v>
      </c>
      <c r="L270" s="39" t="s">
        <v>22</v>
      </c>
      <c r="M270" s="43">
        <f t="shared" si="58"/>
        <v>75950</v>
      </c>
      <c r="N270" s="43">
        <f>2000+5500+600+200+250+500</f>
        <v>9050</v>
      </c>
      <c r="O270" s="72">
        <f t="shared" si="59"/>
        <v>85000</v>
      </c>
      <c r="P270" s="29"/>
      <c r="Q270" s="40" t="s">
        <v>75</v>
      </c>
      <c r="R270" s="44"/>
      <c r="S270" s="44">
        <f t="shared" si="60"/>
        <v>85000</v>
      </c>
      <c r="T270" s="44">
        <f t="shared" si="61"/>
        <v>121428.57142857143</v>
      </c>
      <c r="U270" s="45">
        <f t="shared" si="62"/>
        <v>138775.51020408163</v>
      </c>
      <c r="V270" s="46">
        <f t="shared" si="63"/>
        <v>0.12499999999999992</v>
      </c>
      <c r="W270" s="45">
        <f t="shared" si="64"/>
        <v>138800</v>
      </c>
      <c r="X270" s="47">
        <f t="shared" si="65"/>
        <v>0.30000000000000004</v>
      </c>
      <c r="Y270" s="57">
        <v>119088</v>
      </c>
      <c r="Z270" s="58">
        <f>T270-Y270</f>
        <v>2340.5714285714348</v>
      </c>
      <c r="AA270" s="59">
        <f>Z270/Y270</f>
        <v>1.9654133317978596E-2</v>
      </c>
    </row>
    <row r="271" spans="1:27" ht="14.4" hidden="1" customHeight="1">
      <c r="A271" s="56">
        <v>267</v>
      </c>
      <c r="B271" s="36"/>
      <c r="C271" s="75" t="s">
        <v>817</v>
      </c>
      <c r="D271" s="37" t="str">
        <f t="shared" si="66"/>
        <v xml:space="preserve"> 873</v>
      </c>
      <c r="E271" s="38" t="s">
        <v>817</v>
      </c>
      <c r="F271" s="39">
        <f t="shared" si="67"/>
        <v>0</v>
      </c>
      <c r="G271" s="76" t="s">
        <v>335</v>
      </c>
      <c r="H271" s="77" t="s">
        <v>322</v>
      </c>
      <c r="I271" s="77" t="s">
        <v>818</v>
      </c>
      <c r="J271" s="41">
        <v>83000</v>
      </c>
      <c r="K271" s="42">
        <f t="shared" si="57"/>
        <v>9550</v>
      </c>
      <c r="L271" s="39"/>
      <c r="M271" s="43">
        <f t="shared" si="58"/>
        <v>73450</v>
      </c>
      <c r="N271" s="43">
        <v>9550</v>
      </c>
      <c r="O271" s="72">
        <f t="shared" si="59"/>
        <v>83000</v>
      </c>
      <c r="P271" s="29"/>
      <c r="Q271" s="40" t="s">
        <v>1310</v>
      </c>
      <c r="R271" s="44"/>
      <c r="S271" s="44">
        <f t="shared" si="60"/>
        <v>83000</v>
      </c>
      <c r="T271" s="44">
        <f t="shared" si="61"/>
        <v>118571.42857142858</v>
      </c>
      <c r="U271" s="45">
        <f t="shared" si="62"/>
        <v>135510.20408163266</v>
      </c>
      <c r="V271" s="46">
        <f t="shared" si="63"/>
        <v>0.125</v>
      </c>
      <c r="W271" s="45">
        <f t="shared" si="64"/>
        <v>135600</v>
      </c>
      <c r="X271" s="47">
        <f t="shared" si="65"/>
        <v>0.30000000000000004</v>
      </c>
      <c r="Y271" s="57"/>
      <c r="Z271" s="58"/>
      <c r="AA271" s="59"/>
    </row>
    <row r="272" spans="1:27" ht="14.4" hidden="1" customHeight="1">
      <c r="A272" s="56">
        <v>268</v>
      </c>
      <c r="B272" s="39"/>
      <c r="C272" s="74" t="s">
        <v>307</v>
      </c>
      <c r="D272" s="37" t="str">
        <f t="shared" si="66"/>
        <v xml:space="preserve"> 849</v>
      </c>
      <c r="E272" s="38" t="s">
        <v>307</v>
      </c>
      <c r="F272" s="39">
        <f t="shared" si="67"/>
        <v>0</v>
      </c>
      <c r="G272" s="76" t="s">
        <v>335</v>
      </c>
      <c r="H272" s="77" t="s">
        <v>322</v>
      </c>
      <c r="I272" s="77" t="s">
        <v>316</v>
      </c>
      <c r="J272" s="52">
        <v>92000</v>
      </c>
      <c r="K272" s="42">
        <f t="shared" si="57"/>
        <v>9550</v>
      </c>
      <c r="L272" s="39" t="s">
        <v>22</v>
      </c>
      <c r="M272" s="43">
        <f t="shared" si="58"/>
        <v>82450</v>
      </c>
      <c r="N272" s="52">
        <f>2000+5500+600+200+250+1000</f>
        <v>9550</v>
      </c>
      <c r="O272" s="72">
        <f t="shared" si="59"/>
        <v>92000</v>
      </c>
      <c r="P272" s="29"/>
      <c r="Q272" s="40" t="s">
        <v>328</v>
      </c>
      <c r="R272" s="53"/>
      <c r="S272" s="44">
        <f t="shared" si="60"/>
        <v>92000</v>
      </c>
      <c r="T272" s="44">
        <f t="shared" si="61"/>
        <v>131428.57142857145</v>
      </c>
      <c r="U272" s="45">
        <f t="shared" si="62"/>
        <v>150204.08163265308</v>
      </c>
      <c r="V272" s="46">
        <f t="shared" si="63"/>
        <v>0.12499999999999996</v>
      </c>
      <c r="W272" s="45">
        <f t="shared" si="64"/>
        <v>150300</v>
      </c>
      <c r="X272" s="47">
        <f t="shared" si="65"/>
        <v>0.3000000000000001</v>
      </c>
      <c r="Y272" s="54"/>
      <c r="Z272" s="54"/>
      <c r="AA272" s="55"/>
    </row>
    <row r="273" spans="1:27" ht="14.4" hidden="1" customHeight="1">
      <c r="A273" s="56">
        <v>269</v>
      </c>
      <c r="B273" s="36"/>
      <c r="C273" s="73" t="s">
        <v>245</v>
      </c>
      <c r="D273" s="37" t="str">
        <f t="shared" si="66"/>
        <v xml:space="preserve"> 453</v>
      </c>
      <c r="E273" s="38" t="s">
        <v>245</v>
      </c>
      <c r="F273" s="39">
        <f t="shared" si="67"/>
        <v>0</v>
      </c>
      <c r="G273" s="76" t="s">
        <v>340</v>
      </c>
      <c r="H273" s="77" t="s">
        <v>322</v>
      </c>
      <c r="I273" s="77" t="s">
        <v>68</v>
      </c>
      <c r="J273" s="41">
        <v>87000</v>
      </c>
      <c r="K273" s="42">
        <f t="shared" si="57"/>
        <v>9550</v>
      </c>
      <c r="L273" s="39" t="s">
        <v>22</v>
      </c>
      <c r="M273" s="43">
        <f t="shared" si="58"/>
        <v>77450</v>
      </c>
      <c r="N273" s="43">
        <f>2000+5500+600+200+250+1000</f>
        <v>9550</v>
      </c>
      <c r="O273" s="72">
        <f t="shared" si="59"/>
        <v>87000</v>
      </c>
      <c r="P273" s="29"/>
      <c r="Q273" s="40" t="s">
        <v>249</v>
      </c>
      <c r="R273" s="44"/>
      <c r="S273" s="44">
        <f t="shared" si="60"/>
        <v>87000</v>
      </c>
      <c r="T273" s="44">
        <f t="shared" si="61"/>
        <v>124285.71428571429</v>
      </c>
      <c r="U273" s="45">
        <f t="shared" si="62"/>
        <v>142040.81632653062</v>
      </c>
      <c r="V273" s="46">
        <f t="shared" si="63"/>
        <v>0.12500000000000003</v>
      </c>
      <c r="W273" s="45">
        <f t="shared" si="64"/>
        <v>142100</v>
      </c>
      <c r="X273" s="47">
        <f t="shared" si="65"/>
        <v>0.30000000000000004</v>
      </c>
      <c r="Y273" s="57">
        <v>121538</v>
      </c>
      <c r="Z273" s="58">
        <f>T273-Y273</f>
        <v>2747.7142857142899</v>
      </c>
      <c r="AA273" s="59">
        <f>Z273/Y273</f>
        <v>2.2607861621174365E-2</v>
      </c>
    </row>
    <row r="274" spans="1:27" ht="14.4" hidden="1" customHeight="1">
      <c r="A274" s="56">
        <v>270</v>
      </c>
      <c r="B274" s="36"/>
      <c r="C274" s="73" t="s">
        <v>244</v>
      </c>
      <c r="D274" s="37" t="str">
        <f t="shared" si="66"/>
        <v xml:space="preserve"> 705</v>
      </c>
      <c r="E274" s="38" t="s">
        <v>244</v>
      </c>
      <c r="F274" s="39">
        <f t="shared" si="67"/>
        <v>0</v>
      </c>
      <c r="G274" s="76" t="s">
        <v>335</v>
      </c>
      <c r="H274" s="77" t="s">
        <v>322</v>
      </c>
      <c r="I274" s="77" t="s">
        <v>68</v>
      </c>
      <c r="J274" s="41">
        <v>84000</v>
      </c>
      <c r="K274" s="42">
        <f t="shared" si="57"/>
        <v>9050</v>
      </c>
      <c r="L274" s="39" t="s">
        <v>22</v>
      </c>
      <c r="M274" s="43">
        <f t="shared" si="58"/>
        <v>74950</v>
      </c>
      <c r="N274" s="49">
        <f>2000+5500+600+200+250+500</f>
        <v>9050</v>
      </c>
      <c r="O274" s="72">
        <f t="shared" si="59"/>
        <v>84000</v>
      </c>
      <c r="P274" s="29"/>
      <c r="Q274" s="40" t="s">
        <v>77</v>
      </c>
      <c r="R274" s="44"/>
      <c r="S274" s="44">
        <f t="shared" si="60"/>
        <v>84000</v>
      </c>
      <c r="T274" s="44">
        <f t="shared" si="61"/>
        <v>120000.00000000001</v>
      </c>
      <c r="U274" s="45">
        <f t="shared" si="62"/>
        <v>137142.85714285716</v>
      </c>
      <c r="V274" s="46">
        <f t="shared" si="63"/>
        <v>0.125</v>
      </c>
      <c r="W274" s="45">
        <f t="shared" si="64"/>
        <v>137200</v>
      </c>
      <c r="X274" s="47">
        <f t="shared" si="65"/>
        <v>0.3000000000000001</v>
      </c>
      <c r="Y274" s="48"/>
      <c r="Z274" s="48"/>
      <c r="AA274" s="50"/>
    </row>
    <row r="275" spans="1:27" ht="14.4" hidden="1" customHeight="1">
      <c r="A275" s="56">
        <v>271</v>
      </c>
      <c r="B275" s="36"/>
      <c r="C275" s="75" t="s">
        <v>823</v>
      </c>
      <c r="D275" s="37" t="str">
        <f t="shared" si="66"/>
        <v xml:space="preserve"> 584</v>
      </c>
      <c r="E275" s="38" t="s">
        <v>823</v>
      </c>
      <c r="F275" s="39">
        <f t="shared" si="67"/>
        <v>0</v>
      </c>
      <c r="G275" s="76" t="s">
        <v>340</v>
      </c>
      <c r="H275" s="77" t="s">
        <v>322</v>
      </c>
      <c r="I275" s="77" t="s">
        <v>736</v>
      </c>
      <c r="J275" s="41"/>
      <c r="K275" s="42">
        <f t="shared" si="57"/>
        <v>0</v>
      </c>
      <c r="L275" s="39"/>
      <c r="M275" s="43">
        <f t="shared" si="58"/>
        <v>0</v>
      </c>
      <c r="N275" s="49"/>
      <c r="O275" s="72">
        <f t="shared" si="59"/>
        <v>0</v>
      </c>
      <c r="P275" s="29"/>
      <c r="Q275" s="40"/>
      <c r="R275" s="44"/>
      <c r="S275" s="44">
        <f t="shared" si="60"/>
        <v>0</v>
      </c>
      <c r="T275" s="44">
        <f t="shared" si="61"/>
        <v>0</v>
      </c>
      <c r="U275" s="45">
        <f t="shared" si="62"/>
        <v>0</v>
      </c>
      <c r="V275" s="46" t="e">
        <f t="shared" si="63"/>
        <v>#DIV/0!</v>
      </c>
      <c r="W275" s="45">
        <f t="shared" si="64"/>
        <v>0</v>
      </c>
      <c r="X275" s="47" t="e">
        <f t="shared" si="65"/>
        <v>#DIV/0!</v>
      </c>
      <c r="Y275" s="57">
        <v>117075</v>
      </c>
      <c r="Z275" s="58">
        <f>T275-Y275</f>
        <v>-117075</v>
      </c>
      <c r="AA275" s="59">
        <f>Z275/Y275</f>
        <v>-1</v>
      </c>
    </row>
    <row r="276" spans="1:27" ht="14.4" hidden="1" customHeight="1">
      <c r="A276" s="56">
        <v>272</v>
      </c>
      <c r="B276" s="36"/>
      <c r="C276" s="73" t="s">
        <v>270</v>
      </c>
      <c r="D276" s="37" t="str">
        <f t="shared" si="66"/>
        <v xml:space="preserve"> 874</v>
      </c>
      <c r="E276" s="38" t="s">
        <v>270</v>
      </c>
      <c r="F276" s="39">
        <f t="shared" si="67"/>
        <v>0</v>
      </c>
      <c r="G276" s="76" t="s">
        <v>335</v>
      </c>
      <c r="H276" s="77" t="s">
        <v>732</v>
      </c>
      <c r="I276" s="77" t="s">
        <v>293</v>
      </c>
      <c r="J276" s="41">
        <v>122000</v>
      </c>
      <c r="K276" s="42">
        <f t="shared" si="57"/>
        <v>8450</v>
      </c>
      <c r="L276" s="39" t="s">
        <v>22</v>
      </c>
      <c r="M276" s="43">
        <f t="shared" si="58"/>
        <v>113550</v>
      </c>
      <c r="N276" s="43">
        <f>2000+5500+200+250+500</f>
        <v>8450</v>
      </c>
      <c r="O276" s="72">
        <f t="shared" si="59"/>
        <v>122000</v>
      </c>
      <c r="P276" s="29"/>
      <c r="Q276" s="40" t="s">
        <v>303</v>
      </c>
      <c r="R276" s="53"/>
      <c r="S276" s="44">
        <f t="shared" si="60"/>
        <v>122000</v>
      </c>
      <c r="T276" s="44">
        <f t="shared" si="61"/>
        <v>174285.71428571429</v>
      </c>
      <c r="U276" s="45">
        <f t="shared" si="62"/>
        <v>199183.67346938775</v>
      </c>
      <c r="V276" s="46">
        <f t="shared" si="63"/>
        <v>0.12499999999999996</v>
      </c>
      <c r="W276" s="45">
        <f t="shared" si="64"/>
        <v>199200</v>
      </c>
      <c r="X276" s="47">
        <f t="shared" si="65"/>
        <v>0.30000000000000004</v>
      </c>
      <c r="Y276" s="54"/>
      <c r="Z276" s="54"/>
      <c r="AA276" s="55"/>
    </row>
    <row r="277" spans="1:27" ht="14.4" hidden="1" customHeight="1">
      <c r="A277" s="56">
        <v>273</v>
      </c>
      <c r="B277" s="36"/>
      <c r="C277" s="75" t="s">
        <v>826</v>
      </c>
      <c r="D277" s="37" t="str">
        <f t="shared" si="66"/>
        <v xml:space="preserve"> 867</v>
      </c>
      <c r="E277" s="38" t="s">
        <v>826</v>
      </c>
      <c r="F277" s="39">
        <f t="shared" si="67"/>
        <v>0</v>
      </c>
      <c r="G277" s="76" t="s">
        <v>340</v>
      </c>
      <c r="H277" s="77" t="s">
        <v>605</v>
      </c>
      <c r="I277" s="77" t="s">
        <v>827</v>
      </c>
      <c r="J277" s="41"/>
      <c r="K277" s="42">
        <f t="shared" si="57"/>
        <v>0</v>
      </c>
      <c r="L277" s="39"/>
      <c r="M277" s="43">
        <f t="shared" si="58"/>
        <v>0</v>
      </c>
      <c r="N277" s="43"/>
      <c r="O277" s="72">
        <f t="shared" si="59"/>
        <v>0</v>
      </c>
      <c r="P277" s="29"/>
      <c r="Q277" s="40"/>
      <c r="R277" s="53"/>
      <c r="S277" s="44">
        <f t="shared" si="60"/>
        <v>0</v>
      </c>
      <c r="T277" s="44">
        <f t="shared" si="61"/>
        <v>0</v>
      </c>
      <c r="U277" s="45">
        <f t="shared" si="62"/>
        <v>0</v>
      </c>
      <c r="V277" s="46" t="e">
        <f t="shared" si="63"/>
        <v>#DIV/0!</v>
      </c>
      <c r="W277" s="45">
        <f t="shared" si="64"/>
        <v>0</v>
      </c>
      <c r="X277" s="47" t="e">
        <f t="shared" si="65"/>
        <v>#DIV/0!</v>
      </c>
      <c r="Y277" s="57">
        <v>120575</v>
      </c>
      <c r="Z277" s="58">
        <f>T277-Y277</f>
        <v>-120575</v>
      </c>
      <c r="AA277" s="59">
        <f>Z277/Y277</f>
        <v>-1</v>
      </c>
    </row>
    <row r="278" spans="1:27" ht="14.4" hidden="1" customHeight="1">
      <c r="A278" s="56">
        <v>274</v>
      </c>
      <c r="B278" s="36"/>
      <c r="C278" s="73" t="s">
        <v>1298</v>
      </c>
      <c r="D278" s="37" t="str">
        <f t="shared" si="66"/>
        <v xml:space="preserve"> 572</v>
      </c>
      <c r="E278" s="38" t="s">
        <v>829</v>
      </c>
      <c r="F278" s="39">
        <f t="shared" si="67"/>
        <v>1</v>
      </c>
      <c r="G278" s="76" t="s">
        <v>335</v>
      </c>
      <c r="H278" s="77" t="s">
        <v>322</v>
      </c>
      <c r="I278" s="77" t="s">
        <v>38</v>
      </c>
      <c r="J278" s="41">
        <v>92500</v>
      </c>
      <c r="K278" s="42">
        <f t="shared" si="57"/>
        <v>8550</v>
      </c>
      <c r="L278" s="39" t="s">
        <v>22</v>
      </c>
      <c r="M278" s="43">
        <f t="shared" si="58"/>
        <v>83950</v>
      </c>
      <c r="N278" s="43">
        <f>2000+5500+600+200+250</f>
        <v>8550</v>
      </c>
      <c r="O278" s="72">
        <f t="shared" si="59"/>
        <v>92500</v>
      </c>
      <c r="P278" s="29"/>
      <c r="Q278" s="40" t="s">
        <v>74</v>
      </c>
      <c r="R278" s="44"/>
      <c r="S278" s="44">
        <f t="shared" si="60"/>
        <v>92500</v>
      </c>
      <c r="T278" s="44">
        <f t="shared" si="61"/>
        <v>132142.85714285716</v>
      </c>
      <c r="U278" s="45">
        <f t="shared" si="62"/>
        <v>151020.40816326533</v>
      </c>
      <c r="V278" s="46">
        <f t="shared" si="63"/>
        <v>0.125</v>
      </c>
      <c r="W278" s="45">
        <f t="shared" si="64"/>
        <v>151100</v>
      </c>
      <c r="X278" s="47">
        <f t="shared" si="65"/>
        <v>0.3000000000000001</v>
      </c>
      <c r="Y278" s="48"/>
      <c r="Z278" s="48"/>
      <c r="AA278" s="48"/>
    </row>
    <row r="279" spans="1:27" ht="14.4" hidden="1" customHeight="1">
      <c r="A279" s="56">
        <v>275</v>
      </c>
      <c r="B279" s="36"/>
      <c r="C279" s="75" t="s">
        <v>831</v>
      </c>
      <c r="D279" s="37" t="str">
        <f t="shared" si="66"/>
        <v xml:space="preserve"> 956</v>
      </c>
      <c r="E279" s="38" t="s">
        <v>831</v>
      </c>
      <c r="F279" s="39">
        <f t="shared" si="67"/>
        <v>0</v>
      </c>
      <c r="G279" s="76" t="s">
        <v>340</v>
      </c>
      <c r="H279" s="77" t="s">
        <v>760</v>
      </c>
      <c r="I279" s="77" t="s">
        <v>832</v>
      </c>
      <c r="J279" s="41"/>
      <c r="K279" s="42">
        <f t="shared" si="57"/>
        <v>0</v>
      </c>
      <c r="L279" s="39"/>
      <c r="M279" s="43">
        <f t="shared" si="58"/>
        <v>0</v>
      </c>
      <c r="N279" s="43"/>
      <c r="O279" s="72">
        <f t="shared" si="59"/>
        <v>0</v>
      </c>
      <c r="P279" s="29"/>
      <c r="Q279" s="40"/>
      <c r="R279" s="44"/>
      <c r="S279" s="44">
        <f t="shared" si="60"/>
        <v>0</v>
      </c>
      <c r="T279" s="44">
        <f t="shared" si="61"/>
        <v>0</v>
      </c>
      <c r="U279" s="45">
        <f t="shared" si="62"/>
        <v>0</v>
      </c>
      <c r="V279" s="46" t="e">
        <f t="shared" si="63"/>
        <v>#DIV/0!</v>
      </c>
      <c r="W279" s="45">
        <f t="shared" si="64"/>
        <v>0</v>
      </c>
      <c r="X279" s="47" t="e">
        <f t="shared" si="65"/>
        <v>#DIV/0!</v>
      </c>
      <c r="Y279" s="57">
        <v>114013</v>
      </c>
      <c r="Z279" s="58">
        <f>T279-Y279</f>
        <v>-114013</v>
      </c>
      <c r="AA279" s="59">
        <f>Z279/Y279</f>
        <v>-1</v>
      </c>
    </row>
    <row r="280" spans="1:27" ht="14.4" hidden="1" customHeight="1">
      <c r="A280" s="56">
        <v>276</v>
      </c>
      <c r="B280" s="36"/>
      <c r="C280" s="73" t="s">
        <v>126</v>
      </c>
      <c r="D280" s="37" t="str">
        <f t="shared" si="66"/>
        <v xml:space="preserve"> 642</v>
      </c>
      <c r="E280" s="38" t="s">
        <v>126</v>
      </c>
      <c r="F280" s="39">
        <f t="shared" si="67"/>
        <v>0</v>
      </c>
      <c r="G280" s="76" t="s">
        <v>335</v>
      </c>
      <c r="H280" s="77" t="s">
        <v>729</v>
      </c>
      <c r="I280" s="77" t="s">
        <v>39</v>
      </c>
      <c r="J280" s="41">
        <v>92500</v>
      </c>
      <c r="K280" s="42">
        <f t="shared" si="57"/>
        <v>9050</v>
      </c>
      <c r="L280" s="39" t="s">
        <v>22</v>
      </c>
      <c r="M280" s="43">
        <f t="shared" si="58"/>
        <v>83450</v>
      </c>
      <c r="N280" s="43">
        <f>2000+5500+600+200+250+500</f>
        <v>9050</v>
      </c>
      <c r="O280" s="72">
        <f t="shared" si="59"/>
        <v>92500</v>
      </c>
      <c r="P280" s="29"/>
      <c r="Q280" s="40" t="s">
        <v>77</v>
      </c>
      <c r="R280" s="44"/>
      <c r="S280" s="44">
        <f t="shared" si="60"/>
        <v>92500</v>
      </c>
      <c r="T280" s="44">
        <f t="shared" si="61"/>
        <v>132142.85714285716</v>
      </c>
      <c r="U280" s="45">
        <f t="shared" si="62"/>
        <v>151020.40816326533</v>
      </c>
      <c r="V280" s="46">
        <f t="shared" si="63"/>
        <v>0.125</v>
      </c>
      <c r="W280" s="45">
        <f t="shared" si="64"/>
        <v>151100</v>
      </c>
      <c r="X280" s="47">
        <f t="shared" si="65"/>
        <v>0.3000000000000001</v>
      </c>
      <c r="Y280" s="57"/>
      <c r="Z280" s="58">
        <f>T280-Y280</f>
        <v>132142.85714285716</v>
      </c>
      <c r="AA280" s="59" t="e">
        <f>Z280/Y280</f>
        <v>#DIV/0!</v>
      </c>
    </row>
    <row r="281" spans="1:27" ht="14.4" hidden="1" customHeight="1">
      <c r="A281" s="56">
        <v>277</v>
      </c>
      <c r="B281" s="39"/>
      <c r="C281" s="74" t="s">
        <v>305</v>
      </c>
      <c r="D281" s="37" t="str">
        <f t="shared" si="66"/>
        <v xml:space="preserve"> 876</v>
      </c>
      <c r="E281" s="38" t="s">
        <v>305</v>
      </c>
      <c r="F281" s="39">
        <f t="shared" si="67"/>
        <v>0</v>
      </c>
      <c r="G281" s="76" t="s">
        <v>335</v>
      </c>
      <c r="H281" s="77" t="s">
        <v>322</v>
      </c>
      <c r="I281" s="77" t="s">
        <v>316</v>
      </c>
      <c r="J281" s="52">
        <v>92000</v>
      </c>
      <c r="K281" s="42">
        <f t="shared" si="57"/>
        <v>9550</v>
      </c>
      <c r="L281" s="39" t="s">
        <v>22</v>
      </c>
      <c r="M281" s="43">
        <f t="shared" si="58"/>
        <v>82450</v>
      </c>
      <c r="N281" s="52">
        <f>2000+5500+600+200+250+1000</f>
        <v>9550</v>
      </c>
      <c r="O281" s="72">
        <f t="shared" si="59"/>
        <v>92000</v>
      </c>
      <c r="P281" s="29"/>
      <c r="Q281" s="40" t="s">
        <v>328</v>
      </c>
      <c r="R281" s="53"/>
      <c r="S281" s="44">
        <f t="shared" si="60"/>
        <v>92000</v>
      </c>
      <c r="T281" s="44">
        <f t="shared" si="61"/>
        <v>131428.57142857145</v>
      </c>
      <c r="U281" s="45">
        <f t="shared" si="62"/>
        <v>150204.08163265308</v>
      </c>
      <c r="V281" s="46">
        <f t="shared" si="63"/>
        <v>0.12499999999999996</v>
      </c>
      <c r="W281" s="45">
        <f t="shared" si="64"/>
        <v>150300</v>
      </c>
      <c r="X281" s="47">
        <f t="shared" si="65"/>
        <v>0.3000000000000001</v>
      </c>
      <c r="Y281" s="54"/>
      <c r="Z281" s="54"/>
      <c r="AA281" s="55"/>
    </row>
    <row r="282" spans="1:27" ht="14.4" hidden="1" customHeight="1">
      <c r="A282" s="56">
        <v>278</v>
      </c>
      <c r="B282" s="39"/>
      <c r="C282" s="75" t="s">
        <v>836</v>
      </c>
      <c r="D282" s="37" t="str">
        <f t="shared" si="66"/>
        <v xml:space="preserve"> 197</v>
      </c>
      <c r="E282" s="38" t="s">
        <v>836</v>
      </c>
      <c r="F282" s="39">
        <f t="shared" si="67"/>
        <v>0</v>
      </c>
      <c r="G282" s="76" t="s">
        <v>340</v>
      </c>
      <c r="H282" s="77" t="s">
        <v>322</v>
      </c>
      <c r="I282" s="77" t="s">
        <v>837</v>
      </c>
      <c r="J282" s="52">
        <v>80000</v>
      </c>
      <c r="K282" s="42">
        <f t="shared" si="57"/>
        <v>9050</v>
      </c>
      <c r="L282" s="39"/>
      <c r="M282" s="43">
        <f t="shared" si="58"/>
        <v>70950</v>
      </c>
      <c r="N282" s="52">
        <f>2000+5500+600+200+250+500</f>
        <v>9050</v>
      </c>
      <c r="O282" s="72">
        <f t="shared" si="59"/>
        <v>80000</v>
      </c>
      <c r="P282" s="29"/>
      <c r="Q282" s="40" t="s">
        <v>1316</v>
      </c>
      <c r="R282" s="53"/>
      <c r="S282" s="44">
        <f t="shared" si="60"/>
        <v>80000</v>
      </c>
      <c r="T282" s="44">
        <f t="shared" si="61"/>
        <v>114285.71428571429</v>
      </c>
      <c r="U282" s="45">
        <f t="shared" si="62"/>
        <v>130612.24489795919</v>
      </c>
      <c r="V282" s="46">
        <f t="shared" si="63"/>
        <v>0.12499999999999999</v>
      </c>
      <c r="W282" s="45">
        <f t="shared" si="64"/>
        <v>130700</v>
      </c>
      <c r="X282" s="47">
        <f t="shared" si="65"/>
        <v>0.30000000000000004</v>
      </c>
      <c r="Y282" s="57">
        <v>115063</v>
      </c>
      <c r="Z282" s="58">
        <f>T282-Y282</f>
        <v>-777.28571428571013</v>
      </c>
      <c r="AA282" s="59">
        <f>Z282/Y282</f>
        <v>-6.7553054786135434E-3</v>
      </c>
    </row>
    <row r="283" spans="1:27" ht="14.4" hidden="1" customHeight="1">
      <c r="A283" s="56">
        <v>279</v>
      </c>
      <c r="B283" s="36"/>
      <c r="C283" s="73" t="s">
        <v>233</v>
      </c>
      <c r="D283" s="37" t="str">
        <f t="shared" si="66"/>
        <v xml:space="preserve"> 652</v>
      </c>
      <c r="E283" s="38" t="s">
        <v>233</v>
      </c>
      <c r="F283" s="39">
        <f t="shared" si="67"/>
        <v>0</v>
      </c>
      <c r="G283" s="76" t="s">
        <v>335</v>
      </c>
      <c r="H283" s="77" t="s">
        <v>322</v>
      </c>
      <c r="I283" s="77" t="s">
        <v>58</v>
      </c>
      <c r="J283" s="41">
        <v>90000</v>
      </c>
      <c r="K283" s="42">
        <f t="shared" si="57"/>
        <v>9550</v>
      </c>
      <c r="L283" s="39" t="s">
        <v>22</v>
      </c>
      <c r="M283" s="43">
        <f t="shared" si="58"/>
        <v>80450</v>
      </c>
      <c r="N283" s="49">
        <f>2000+5500+600+200+250+1000</f>
        <v>9550</v>
      </c>
      <c r="O283" s="72">
        <f t="shared" si="59"/>
        <v>90000</v>
      </c>
      <c r="P283" s="29"/>
      <c r="Q283" s="40" t="s">
        <v>85</v>
      </c>
      <c r="R283" s="44"/>
      <c r="S283" s="44">
        <f t="shared" si="60"/>
        <v>90000</v>
      </c>
      <c r="T283" s="44">
        <f t="shared" si="61"/>
        <v>128571.42857142858</v>
      </c>
      <c r="U283" s="45">
        <f t="shared" si="62"/>
        <v>146938.77551020408</v>
      </c>
      <c r="V283" s="46">
        <f t="shared" si="63"/>
        <v>0.12499999999999994</v>
      </c>
      <c r="W283" s="45">
        <f t="shared" si="64"/>
        <v>147000</v>
      </c>
      <c r="X283" s="47">
        <f t="shared" si="65"/>
        <v>0.30000000000000004</v>
      </c>
      <c r="Y283" s="48"/>
      <c r="Z283" s="48"/>
      <c r="AA283" s="50"/>
    </row>
    <row r="284" spans="1:27" ht="14.4" hidden="1" customHeight="1">
      <c r="A284" s="56">
        <v>280</v>
      </c>
      <c r="B284" s="36"/>
      <c r="C284" s="75" t="s">
        <v>1362</v>
      </c>
      <c r="D284" s="37" t="str">
        <f t="shared" si="66"/>
        <v xml:space="preserve"> 264</v>
      </c>
      <c r="E284" s="38" t="s">
        <v>1362</v>
      </c>
      <c r="F284" s="39">
        <f t="shared" si="67"/>
        <v>0</v>
      </c>
      <c r="G284" s="76" t="s">
        <v>335</v>
      </c>
      <c r="H284" s="77" t="s">
        <v>322</v>
      </c>
      <c r="I284" s="77" t="s">
        <v>720</v>
      </c>
      <c r="J284" s="41">
        <v>90000</v>
      </c>
      <c r="K284" s="42">
        <f t="shared" si="57"/>
        <v>8550</v>
      </c>
      <c r="L284" s="39" t="s">
        <v>22</v>
      </c>
      <c r="M284" s="43">
        <f t="shared" si="58"/>
        <v>81450</v>
      </c>
      <c r="N284" s="49">
        <f>2000+5500+600+200+250</f>
        <v>8550</v>
      </c>
      <c r="O284" s="72">
        <f t="shared" si="59"/>
        <v>90000</v>
      </c>
      <c r="P284" s="29"/>
      <c r="Q284" s="40" t="s">
        <v>1303</v>
      </c>
      <c r="R284" s="44"/>
      <c r="S284" s="44">
        <f t="shared" si="60"/>
        <v>90000</v>
      </c>
      <c r="T284" s="44">
        <f t="shared" si="61"/>
        <v>128571.42857142858</v>
      </c>
      <c r="U284" s="45">
        <f t="shared" si="62"/>
        <v>146938.77551020408</v>
      </c>
      <c r="V284" s="46">
        <f t="shared" si="63"/>
        <v>0.12499999999999994</v>
      </c>
      <c r="W284" s="45">
        <f t="shared" si="64"/>
        <v>147000</v>
      </c>
      <c r="X284" s="47">
        <f t="shared" si="65"/>
        <v>0.30000000000000004</v>
      </c>
      <c r="Y284" s="48"/>
      <c r="Z284" s="48"/>
      <c r="AA284" s="50"/>
    </row>
    <row r="285" spans="1:27" ht="14.4" hidden="1" customHeight="1">
      <c r="A285" s="56">
        <v>281</v>
      </c>
      <c r="B285" s="36"/>
      <c r="C285" s="73" t="s">
        <v>242</v>
      </c>
      <c r="D285" s="37" t="str">
        <f t="shared" si="66"/>
        <v xml:space="preserve"> 788</v>
      </c>
      <c r="E285" s="38" t="s">
        <v>242</v>
      </c>
      <c r="F285" s="39">
        <f t="shared" si="67"/>
        <v>0</v>
      </c>
      <c r="G285" s="76" t="s">
        <v>335</v>
      </c>
      <c r="H285" s="77" t="s">
        <v>327</v>
      </c>
      <c r="I285" s="77" t="s">
        <v>68</v>
      </c>
      <c r="J285" s="41">
        <v>84000</v>
      </c>
      <c r="K285" s="42">
        <f t="shared" si="57"/>
        <v>9550</v>
      </c>
      <c r="L285" s="39" t="s">
        <v>22</v>
      </c>
      <c r="M285" s="43">
        <f t="shared" si="58"/>
        <v>74450</v>
      </c>
      <c r="N285" s="49">
        <f>2000+5500+600+200+250+1000</f>
        <v>9550</v>
      </c>
      <c r="O285" s="72">
        <f t="shared" si="59"/>
        <v>84000</v>
      </c>
      <c r="P285" s="29"/>
      <c r="Q285" s="40" t="s">
        <v>85</v>
      </c>
      <c r="R285" s="44"/>
      <c r="S285" s="44">
        <f t="shared" si="60"/>
        <v>84000</v>
      </c>
      <c r="T285" s="44">
        <f t="shared" si="61"/>
        <v>120000.00000000001</v>
      </c>
      <c r="U285" s="45">
        <f t="shared" si="62"/>
        <v>137142.85714285716</v>
      </c>
      <c r="V285" s="46">
        <f t="shared" si="63"/>
        <v>0.125</v>
      </c>
      <c r="W285" s="45">
        <f t="shared" si="64"/>
        <v>137200</v>
      </c>
      <c r="X285" s="47">
        <f t="shared" si="65"/>
        <v>0.3000000000000001</v>
      </c>
      <c r="Y285" s="48"/>
      <c r="Z285" s="48"/>
      <c r="AA285" s="50"/>
    </row>
    <row r="286" spans="1:27" ht="14.4" hidden="1" customHeight="1">
      <c r="A286" s="56">
        <v>282</v>
      </c>
      <c r="B286" s="36"/>
      <c r="C286" s="75" t="s">
        <v>379</v>
      </c>
      <c r="D286" s="37" t="str">
        <f t="shared" si="66"/>
        <v/>
      </c>
      <c r="E286" s="38" t="s">
        <v>379</v>
      </c>
      <c r="F286" s="39">
        <f t="shared" si="67"/>
        <v>0</v>
      </c>
      <c r="G286" s="76"/>
      <c r="H286" s="77"/>
      <c r="I286" s="77"/>
      <c r="J286" s="41"/>
      <c r="K286" s="42">
        <f t="shared" si="57"/>
        <v>0</v>
      </c>
      <c r="L286" s="39"/>
      <c r="M286" s="43">
        <f t="shared" si="58"/>
        <v>0</v>
      </c>
      <c r="N286" s="49"/>
      <c r="O286" s="72">
        <f t="shared" si="59"/>
        <v>0</v>
      </c>
      <c r="P286" s="29"/>
      <c r="Q286" s="40"/>
      <c r="R286" s="44"/>
      <c r="S286" s="44">
        <f t="shared" si="60"/>
        <v>0</v>
      </c>
      <c r="T286" s="44">
        <f t="shared" si="61"/>
        <v>0</v>
      </c>
      <c r="U286" s="45">
        <f t="shared" si="62"/>
        <v>0</v>
      </c>
      <c r="V286" s="46" t="e">
        <f t="shared" si="63"/>
        <v>#DIV/0!</v>
      </c>
      <c r="W286" s="45">
        <f t="shared" si="64"/>
        <v>0</v>
      </c>
      <c r="X286" s="47" t="e">
        <f t="shared" si="65"/>
        <v>#DIV/0!</v>
      </c>
      <c r="Y286" s="48"/>
      <c r="Z286" s="48"/>
      <c r="AA286" s="50"/>
    </row>
    <row r="287" spans="1:27" ht="14.4" hidden="1" customHeight="1">
      <c r="A287" s="56">
        <v>283</v>
      </c>
      <c r="B287" s="36"/>
      <c r="C287" s="75" t="s">
        <v>1301</v>
      </c>
      <c r="D287" s="37" t="str">
        <f t="shared" si="66"/>
        <v xml:space="preserve"> 331</v>
      </c>
      <c r="E287" s="38" t="s">
        <v>1301</v>
      </c>
      <c r="F287" s="39">
        <f t="shared" si="67"/>
        <v>0</v>
      </c>
      <c r="G287" s="76" t="s">
        <v>335</v>
      </c>
      <c r="H287" s="77" t="s">
        <v>1364</v>
      </c>
      <c r="I287" s="77" t="s">
        <v>832</v>
      </c>
      <c r="J287" s="41"/>
      <c r="K287" s="42">
        <f t="shared" si="57"/>
        <v>0</v>
      </c>
      <c r="L287" s="39"/>
      <c r="M287" s="43">
        <f t="shared" si="58"/>
        <v>0</v>
      </c>
      <c r="N287" s="49"/>
      <c r="O287" s="72">
        <f t="shared" si="59"/>
        <v>0</v>
      </c>
      <c r="P287" s="29"/>
      <c r="Q287" s="40"/>
      <c r="R287" s="44"/>
      <c r="S287" s="44">
        <f t="shared" si="60"/>
        <v>0</v>
      </c>
      <c r="T287" s="44">
        <f t="shared" si="61"/>
        <v>0</v>
      </c>
      <c r="U287" s="45">
        <f t="shared" si="62"/>
        <v>0</v>
      </c>
      <c r="V287" s="46" t="e">
        <f t="shared" si="63"/>
        <v>#DIV/0!</v>
      </c>
      <c r="W287" s="45">
        <f t="shared" si="64"/>
        <v>0</v>
      </c>
      <c r="X287" s="47" t="e">
        <f t="shared" si="65"/>
        <v>#DIV/0!</v>
      </c>
      <c r="Y287" s="48"/>
      <c r="Z287" s="48"/>
      <c r="AA287" s="50"/>
    </row>
    <row r="288" spans="1:27" ht="14.4" hidden="1" customHeight="1">
      <c r="A288" s="56">
        <v>284</v>
      </c>
      <c r="B288" s="36"/>
      <c r="C288" s="73" t="s">
        <v>141</v>
      </c>
      <c r="D288" s="37" t="str">
        <f t="shared" si="66"/>
        <v xml:space="preserve"> 969</v>
      </c>
      <c r="E288" s="38" t="s">
        <v>141</v>
      </c>
      <c r="F288" s="39">
        <f t="shared" si="67"/>
        <v>0</v>
      </c>
      <c r="G288" s="76" t="s">
        <v>340</v>
      </c>
      <c r="H288" s="77" t="s">
        <v>322</v>
      </c>
      <c r="I288" s="77" t="s">
        <v>42</v>
      </c>
      <c r="J288" s="41">
        <v>80000</v>
      </c>
      <c r="K288" s="42">
        <f t="shared" si="57"/>
        <v>9550</v>
      </c>
      <c r="L288" s="39" t="s">
        <v>22</v>
      </c>
      <c r="M288" s="43">
        <f t="shared" si="58"/>
        <v>70450</v>
      </c>
      <c r="N288" s="43">
        <f>2000+5500+600+200+250+1000</f>
        <v>9550</v>
      </c>
      <c r="O288" s="72">
        <f t="shared" si="59"/>
        <v>80000</v>
      </c>
      <c r="P288" s="29"/>
      <c r="Q288" s="40" t="s">
        <v>78</v>
      </c>
      <c r="R288" s="44"/>
      <c r="S288" s="44">
        <f t="shared" si="60"/>
        <v>80000</v>
      </c>
      <c r="T288" s="44">
        <f t="shared" si="61"/>
        <v>114285.71428571429</v>
      </c>
      <c r="U288" s="45">
        <f t="shared" si="62"/>
        <v>130612.24489795919</v>
      </c>
      <c r="V288" s="46">
        <f t="shared" si="63"/>
        <v>0.12499999999999999</v>
      </c>
      <c r="W288" s="45">
        <f t="shared" si="64"/>
        <v>130700</v>
      </c>
      <c r="X288" s="47">
        <f t="shared" si="65"/>
        <v>0.30000000000000004</v>
      </c>
      <c r="Y288" s="57">
        <v>119000</v>
      </c>
      <c r="Z288" s="58">
        <f>T288-Y288</f>
        <v>-4714.2857142857101</v>
      </c>
      <c r="AA288" s="59">
        <f>Z288/Y288</f>
        <v>-3.9615846338535377E-2</v>
      </c>
    </row>
    <row r="289" spans="1:27" ht="14.4" hidden="1" customHeight="1">
      <c r="A289" s="56">
        <v>285</v>
      </c>
      <c r="B289" s="36"/>
      <c r="C289" s="73" t="s">
        <v>174</v>
      </c>
      <c r="D289" s="37" t="str">
        <f t="shared" si="66"/>
        <v xml:space="preserve"> 465</v>
      </c>
      <c r="E289" s="38" t="s">
        <v>174</v>
      </c>
      <c r="F289" s="39">
        <f t="shared" si="67"/>
        <v>0</v>
      </c>
      <c r="G289" s="76" t="s">
        <v>335</v>
      </c>
      <c r="H289" s="77" t="s">
        <v>322</v>
      </c>
      <c r="I289" s="77" t="s">
        <v>50</v>
      </c>
      <c r="J289" s="41">
        <v>85000</v>
      </c>
      <c r="K289" s="42">
        <f t="shared" si="57"/>
        <v>9050</v>
      </c>
      <c r="L289" s="39" t="s">
        <v>22</v>
      </c>
      <c r="M289" s="43">
        <f t="shared" si="58"/>
        <v>75950</v>
      </c>
      <c r="N289" s="49">
        <f>2000+5500+600+200+250+500</f>
        <v>9050</v>
      </c>
      <c r="O289" s="72">
        <f t="shared" si="59"/>
        <v>85000</v>
      </c>
      <c r="P289" s="29"/>
      <c r="Q289" s="40" t="s">
        <v>77</v>
      </c>
      <c r="R289" s="44"/>
      <c r="S289" s="44">
        <f t="shared" si="60"/>
        <v>85000</v>
      </c>
      <c r="T289" s="44">
        <f t="shared" si="61"/>
        <v>121428.57142857143</v>
      </c>
      <c r="U289" s="45">
        <f t="shared" si="62"/>
        <v>138775.51020408163</v>
      </c>
      <c r="V289" s="46">
        <f t="shared" si="63"/>
        <v>0.12499999999999992</v>
      </c>
      <c r="W289" s="45">
        <f t="shared" si="64"/>
        <v>138800</v>
      </c>
      <c r="X289" s="47">
        <f t="shared" si="65"/>
        <v>0.30000000000000004</v>
      </c>
      <c r="Y289" s="48"/>
      <c r="Z289" s="48"/>
      <c r="AA289" s="48"/>
    </row>
    <row r="290" spans="1:27" ht="14.4" hidden="1" customHeight="1">
      <c r="A290" s="56">
        <v>286</v>
      </c>
      <c r="B290" s="36"/>
      <c r="C290" s="73" t="s">
        <v>139</v>
      </c>
      <c r="D290" s="37" t="str">
        <f t="shared" si="66"/>
        <v xml:space="preserve"> 485</v>
      </c>
      <c r="E290" s="38" t="s">
        <v>139</v>
      </c>
      <c r="F290" s="39">
        <f t="shared" si="67"/>
        <v>0</v>
      </c>
      <c r="G290" s="76" t="s">
        <v>335</v>
      </c>
      <c r="H290" s="77" t="s">
        <v>605</v>
      </c>
      <c r="I290" s="77" t="s">
        <v>42</v>
      </c>
      <c r="J290" s="41">
        <v>80000</v>
      </c>
      <c r="K290" s="42">
        <f t="shared" si="57"/>
        <v>9550</v>
      </c>
      <c r="L290" s="39" t="s">
        <v>22</v>
      </c>
      <c r="M290" s="43">
        <f t="shared" si="58"/>
        <v>70450</v>
      </c>
      <c r="N290" s="43">
        <f>2000+5500+600+200+250+1000</f>
        <v>9550</v>
      </c>
      <c r="O290" s="72">
        <f t="shared" si="59"/>
        <v>80000</v>
      </c>
      <c r="P290" s="29"/>
      <c r="Q290" s="40" t="s">
        <v>78</v>
      </c>
      <c r="R290" s="44"/>
      <c r="S290" s="44">
        <f t="shared" si="60"/>
        <v>80000</v>
      </c>
      <c r="T290" s="44">
        <f t="shared" si="61"/>
        <v>114285.71428571429</v>
      </c>
      <c r="U290" s="45">
        <f t="shared" si="62"/>
        <v>130612.24489795919</v>
      </c>
      <c r="V290" s="46">
        <f t="shared" si="63"/>
        <v>0.12499999999999999</v>
      </c>
      <c r="W290" s="45">
        <f t="shared" si="64"/>
        <v>130700</v>
      </c>
      <c r="X290" s="47">
        <f t="shared" si="65"/>
        <v>0.30000000000000004</v>
      </c>
      <c r="Y290" s="48"/>
      <c r="Z290" s="48"/>
      <c r="AA290" s="50"/>
    </row>
    <row r="291" spans="1:27" ht="14.4" hidden="1" customHeight="1">
      <c r="A291" s="56">
        <v>287</v>
      </c>
      <c r="B291" s="36"/>
      <c r="C291" s="75" t="s">
        <v>844</v>
      </c>
      <c r="D291" s="37" t="str">
        <f t="shared" si="66"/>
        <v xml:space="preserve"> 256</v>
      </c>
      <c r="E291" s="38" t="s">
        <v>844</v>
      </c>
      <c r="F291" s="39">
        <f t="shared" si="67"/>
        <v>0</v>
      </c>
      <c r="G291" s="76" t="s">
        <v>340</v>
      </c>
      <c r="H291" s="77" t="s">
        <v>322</v>
      </c>
      <c r="I291" s="77" t="s">
        <v>720</v>
      </c>
      <c r="J291" s="41">
        <v>99000</v>
      </c>
      <c r="K291" s="42">
        <f t="shared" si="57"/>
        <v>8550</v>
      </c>
      <c r="L291" s="39" t="s">
        <v>22</v>
      </c>
      <c r="M291" s="43">
        <f t="shared" si="58"/>
        <v>90450</v>
      </c>
      <c r="N291" s="43">
        <f>2000+5500+600+200+250</f>
        <v>8550</v>
      </c>
      <c r="O291" s="72">
        <f t="shared" si="59"/>
        <v>99000</v>
      </c>
      <c r="P291" s="29"/>
      <c r="Q291" s="40" t="s">
        <v>1303</v>
      </c>
      <c r="R291" s="44"/>
      <c r="S291" s="44">
        <f t="shared" si="60"/>
        <v>99000</v>
      </c>
      <c r="T291" s="44">
        <f t="shared" si="61"/>
        <v>141428.57142857145</v>
      </c>
      <c r="U291" s="45">
        <f t="shared" si="62"/>
        <v>161632.65306122453</v>
      </c>
      <c r="V291" s="46">
        <f t="shared" si="63"/>
        <v>0.12500000000000006</v>
      </c>
      <c r="W291" s="45">
        <f t="shared" si="64"/>
        <v>161700</v>
      </c>
      <c r="X291" s="47">
        <f t="shared" si="65"/>
        <v>0.3000000000000001</v>
      </c>
      <c r="Y291" s="57">
        <v>137988</v>
      </c>
      <c r="Z291" s="58">
        <f>T291-Y291</f>
        <v>3440.5714285714494</v>
      </c>
      <c r="AA291" s="59">
        <f>Z291/Y291</f>
        <v>2.4933845179084046E-2</v>
      </c>
    </row>
    <row r="292" spans="1:27" ht="14.4" hidden="1" customHeight="1">
      <c r="A292" s="56">
        <v>288</v>
      </c>
      <c r="B292" s="36"/>
      <c r="C292" s="75" t="s">
        <v>846</v>
      </c>
      <c r="D292" s="37" t="str">
        <f t="shared" si="66"/>
        <v xml:space="preserve"> 113</v>
      </c>
      <c r="E292" s="38" t="s">
        <v>846</v>
      </c>
      <c r="F292" s="39">
        <f t="shared" si="67"/>
        <v>0</v>
      </c>
      <c r="G292" s="76" t="s">
        <v>335</v>
      </c>
      <c r="H292" s="77" t="s">
        <v>322</v>
      </c>
      <c r="I292" s="77" t="s">
        <v>584</v>
      </c>
      <c r="J292" s="41">
        <v>85000</v>
      </c>
      <c r="K292" s="42">
        <f t="shared" si="57"/>
        <v>9550</v>
      </c>
      <c r="L292" s="39" t="s">
        <v>22</v>
      </c>
      <c r="M292" s="43">
        <f t="shared" si="58"/>
        <v>75450</v>
      </c>
      <c r="N292" s="43">
        <f>2000+5500+600+200+250+1000</f>
        <v>9550</v>
      </c>
      <c r="O292" s="72">
        <f t="shared" si="59"/>
        <v>85000</v>
      </c>
      <c r="P292" s="29"/>
      <c r="Q292" s="40" t="s">
        <v>1389</v>
      </c>
      <c r="R292" s="44"/>
      <c r="S292" s="44">
        <f t="shared" si="60"/>
        <v>85000</v>
      </c>
      <c r="T292" s="44">
        <f t="shared" si="61"/>
        <v>121428.57142857143</v>
      </c>
      <c r="U292" s="45">
        <f t="shared" si="62"/>
        <v>138775.51020408163</v>
      </c>
      <c r="V292" s="46">
        <f t="shared" si="63"/>
        <v>0.12499999999999992</v>
      </c>
      <c r="W292" s="45">
        <f t="shared" si="64"/>
        <v>138800</v>
      </c>
      <c r="X292" s="47">
        <f t="shared" si="65"/>
        <v>0.30000000000000004</v>
      </c>
      <c r="Y292" s="48"/>
      <c r="Z292" s="48"/>
      <c r="AA292" s="50"/>
    </row>
    <row r="293" spans="1:27" ht="14.4" hidden="1" customHeight="1">
      <c r="A293" s="56">
        <v>289</v>
      </c>
      <c r="B293" s="36"/>
      <c r="C293" s="73" t="s">
        <v>140</v>
      </c>
      <c r="D293" s="37" t="str">
        <f t="shared" si="66"/>
        <v xml:space="preserve"> 327</v>
      </c>
      <c r="E293" s="38" t="s">
        <v>140</v>
      </c>
      <c r="F293" s="39">
        <f t="shared" si="67"/>
        <v>0</v>
      </c>
      <c r="G293" s="76" t="s">
        <v>335</v>
      </c>
      <c r="H293" s="77" t="s">
        <v>605</v>
      </c>
      <c r="I293" s="77" t="s">
        <v>42</v>
      </c>
      <c r="J293" s="41">
        <v>80000</v>
      </c>
      <c r="K293" s="42">
        <f t="shared" si="57"/>
        <v>9550</v>
      </c>
      <c r="L293" s="39" t="s">
        <v>22</v>
      </c>
      <c r="M293" s="43">
        <f t="shared" si="58"/>
        <v>70450</v>
      </c>
      <c r="N293" s="43">
        <f>2000+5500+600+200+250+1000</f>
        <v>9550</v>
      </c>
      <c r="O293" s="72">
        <f t="shared" si="59"/>
        <v>80000</v>
      </c>
      <c r="P293" s="30"/>
      <c r="Q293" s="40" t="s">
        <v>78</v>
      </c>
      <c r="R293" s="44"/>
      <c r="S293" s="44">
        <f t="shared" si="60"/>
        <v>80000</v>
      </c>
      <c r="T293" s="44">
        <f t="shared" si="61"/>
        <v>114285.71428571429</v>
      </c>
      <c r="U293" s="45">
        <f t="shared" si="62"/>
        <v>130612.24489795919</v>
      </c>
      <c r="V293" s="46">
        <f t="shared" si="63"/>
        <v>0.12499999999999999</v>
      </c>
      <c r="W293" s="45">
        <f t="shared" si="64"/>
        <v>130700</v>
      </c>
      <c r="X293" s="47">
        <f t="shared" si="65"/>
        <v>0.30000000000000004</v>
      </c>
      <c r="Y293" s="48"/>
      <c r="Z293" s="48"/>
      <c r="AA293" s="48"/>
    </row>
    <row r="294" spans="1:27" ht="14.4" hidden="1" customHeight="1">
      <c r="A294" s="56">
        <v>290</v>
      </c>
      <c r="B294" s="39"/>
      <c r="C294" s="74" t="s">
        <v>306</v>
      </c>
      <c r="D294" s="37" t="str">
        <f t="shared" si="66"/>
        <v xml:space="preserve"> 839</v>
      </c>
      <c r="E294" s="38" t="s">
        <v>306</v>
      </c>
      <c r="F294" s="39">
        <f t="shared" si="67"/>
        <v>0</v>
      </c>
      <c r="G294" s="76" t="s">
        <v>340</v>
      </c>
      <c r="H294" s="77" t="s">
        <v>322</v>
      </c>
      <c r="I294" s="77" t="s">
        <v>316</v>
      </c>
      <c r="J294" s="52">
        <v>90000</v>
      </c>
      <c r="K294" s="42">
        <f t="shared" si="57"/>
        <v>9050</v>
      </c>
      <c r="L294" s="39" t="s">
        <v>22</v>
      </c>
      <c r="M294" s="43">
        <f t="shared" si="58"/>
        <v>80950</v>
      </c>
      <c r="N294" s="52">
        <f>2000+5500+600+200+250+500</f>
        <v>9050</v>
      </c>
      <c r="O294" s="72">
        <f t="shared" si="59"/>
        <v>90000</v>
      </c>
      <c r="P294" s="29"/>
      <c r="Q294" s="40" t="s">
        <v>329</v>
      </c>
      <c r="R294" s="53"/>
      <c r="S294" s="44">
        <f t="shared" si="60"/>
        <v>90000</v>
      </c>
      <c r="T294" s="44">
        <f t="shared" si="61"/>
        <v>128571.42857142858</v>
      </c>
      <c r="U294" s="45">
        <f t="shared" si="62"/>
        <v>146938.77551020408</v>
      </c>
      <c r="V294" s="46">
        <f t="shared" si="63"/>
        <v>0.12499999999999994</v>
      </c>
      <c r="W294" s="45">
        <f t="shared" si="64"/>
        <v>147000</v>
      </c>
      <c r="X294" s="47">
        <f t="shared" si="65"/>
        <v>0.30000000000000004</v>
      </c>
      <c r="Y294" s="57">
        <v>124075</v>
      </c>
      <c r="Z294" s="58">
        <f>T294-Y294</f>
        <v>4496.4285714285797</v>
      </c>
      <c r="AA294" s="59">
        <f>Z294/Y294</f>
        <v>3.6239601623442107E-2</v>
      </c>
    </row>
    <row r="295" spans="1:27" ht="14.4" hidden="1" customHeight="1">
      <c r="A295" s="56">
        <v>291</v>
      </c>
      <c r="B295" s="36"/>
      <c r="C295" s="73" t="s">
        <v>209</v>
      </c>
      <c r="D295" s="37" t="str">
        <f t="shared" si="66"/>
        <v xml:space="preserve"> 633</v>
      </c>
      <c r="E295" s="38" t="s">
        <v>209</v>
      </c>
      <c r="F295" s="39">
        <f t="shared" si="67"/>
        <v>0</v>
      </c>
      <c r="G295" s="76" t="s">
        <v>335</v>
      </c>
      <c r="H295" s="77" t="s">
        <v>322</v>
      </c>
      <c r="I295" s="77" t="s">
        <v>64</v>
      </c>
      <c r="J295" s="41">
        <v>78550</v>
      </c>
      <c r="K295" s="42">
        <f t="shared" si="57"/>
        <v>8550</v>
      </c>
      <c r="L295" s="39" t="s">
        <v>22</v>
      </c>
      <c r="M295" s="43">
        <f t="shared" si="58"/>
        <v>70000</v>
      </c>
      <c r="N295" s="49">
        <f>2000+5500+600+200+250</f>
        <v>8550</v>
      </c>
      <c r="O295" s="72">
        <f t="shared" si="59"/>
        <v>78550</v>
      </c>
      <c r="P295" s="29"/>
      <c r="Q295" s="40" t="s">
        <v>74</v>
      </c>
      <c r="R295" s="44"/>
      <c r="S295" s="44">
        <f t="shared" si="60"/>
        <v>78550</v>
      </c>
      <c r="T295" s="44">
        <f t="shared" si="61"/>
        <v>112214.28571428572</v>
      </c>
      <c r="U295" s="45">
        <f t="shared" si="62"/>
        <v>128244.89795918368</v>
      </c>
      <c r="V295" s="46">
        <f t="shared" si="63"/>
        <v>0.12499999999999999</v>
      </c>
      <c r="W295" s="45">
        <f t="shared" si="64"/>
        <v>128300</v>
      </c>
      <c r="X295" s="47">
        <f t="shared" si="65"/>
        <v>0.30000000000000004</v>
      </c>
      <c r="Y295" s="48"/>
      <c r="Z295" s="48"/>
      <c r="AA295" s="48"/>
    </row>
    <row r="296" spans="1:27" ht="14.4" hidden="1" customHeight="1">
      <c r="A296" s="56">
        <v>292</v>
      </c>
      <c r="B296" s="36"/>
      <c r="C296" s="73" t="s">
        <v>192</v>
      </c>
      <c r="D296" s="37" t="str">
        <f t="shared" si="66"/>
        <v xml:space="preserve"> 551</v>
      </c>
      <c r="E296" s="38" t="s">
        <v>192</v>
      </c>
      <c r="F296" s="39">
        <f t="shared" si="67"/>
        <v>0</v>
      </c>
      <c r="G296" s="76" t="s">
        <v>335</v>
      </c>
      <c r="H296" s="77" t="s">
        <v>322</v>
      </c>
      <c r="I296" s="77" t="s">
        <v>38</v>
      </c>
      <c r="J296" s="41">
        <v>85000</v>
      </c>
      <c r="K296" s="42">
        <f t="shared" si="57"/>
        <v>8550</v>
      </c>
      <c r="L296" s="39" t="s">
        <v>22</v>
      </c>
      <c r="M296" s="43">
        <f t="shared" si="58"/>
        <v>76450</v>
      </c>
      <c r="N296" s="43">
        <f>2000+5500+600+200+250</f>
        <v>8550</v>
      </c>
      <c r="O296" s="72">
        <f t="shared" si="59"/>
        <v>85000</v>
      </c>
      <c r="P296" s="29"/>
      <c r="Q296" s="40" t="s">
        <v>74</v>
      </c>
      <c r="R296" s="44"/>
      <c r="S296" s="44">
        <f t="shared" si="60"/>
        <v>85000</v>
      </c>
      <c r="T296" s="44">
        <f t="shared" si="61"/>
        <v>121428.57142857143</v>
      </c>
      <c r="U296" s="45">
        <f t="shared" si="62"/>
        <v>138775.51020408163</v>
      </c>
      <c r="V296" s="46">
        <f t="shared" si="63"/>
        <v>0.12499999999999992</v>
      </c>
      <c r="W296" s="45">
        <f t="shared" si="64"/>
        <v>138800</v>
      </c>
      <c r="X296" s="47">
        <f t="shared" si="65"/>
        <v>0.30000000000000004</v>
      </c>
      <c r="Y296" s="48"/>
      <c r="Z296" s="48"/>
      <c r="AA296" s="50"/>
    </row>
    <row r="297" spans="1:27" ht="14.4" hidden="1" customHeight="1">
      <c r="A297" s="56">
        <v>293</v>
      </c>
      <c r="B297" s="36"/>
      <c r="C297" s="73" t="s">
        <v>211</v>
      </c>
      <c r="D297" s="37" t="str">
        <f t="shared" si="66"/>
        <v xml:space="preserve"> 109</v>
      </c>
      <c r="E297" s="38" t="s">
        <v>211</v>
      </c>
      <c r="F297" s="39">
        <f t="shared" si="67"/>
        <v>0</v>
      </c>
      <c r="G297" s="76" t="s">
        <v>340</v>
      </c>
      <c r="H297" s="77" t="s">
        <v>605</v>
      </c>
      <c r="I297" s="77" t="s">
        <v>64</v>
      </c>
      <c r="J297" s="41"/>
      <c r="K297" s="42">
        <f t="shared" si="57"/>
        <v>0</v>
      </c>
      <c r="L297" s="39"/>
      <c r="M297" s="43">
        <f t="shared" si="58"/>
        <v>0</v>
      </c>
      <c r="N297" s="49"/>
      <c r="O297" s="72">
        <f t="shared" si="59"/>
        <v>0</v>
      </c>
      <c r="P297" s="29"/>
      <c r="Q297" s="40"/>
      <c r="R297" s="44"/>
      <c r="S297" s="44">
        <f t="shared" si="60"/>
        <v>0</v>
      </c>
      <c r="T297" s="44">
        <f t="shared" si="61"/>
        <v>0</v>
      </c>
      <c r="U297" s="45">
        <f t="shared" si="62"/>
        <v>0</v>
      </c>
      <c r="V297" s="46" t="e">
        <f t="shared" si="63"/>
        <v>#DIV/0!</v>
      </c>
      <c r="W297" s="45">
        <f t="shared" si="64"/>
        <v>0</v>
      </c>
      <c r="X297" s="47" t="e">
        <f t="shared" si="65"/>
        <v>#DIV/0!</v>
      </c>
      <c r="Y297" s="57">
        <v>124075</v>
      </c>
      <c r="Z297" s="58">
        <f>T297-Y297</f>
        <v>-124075</v>
      </c>
      <c r="AA297" s="59">
        <f>Z297/Y297</f>
        <v>-1</v>
      </c>
    </row>
    <row r="298" spans="1:27" ht="14.4" hidden="1" customHeight="1">
      <c r="A298" s="56">
        <v>294</v>
      </c>
      <c r="B298" s="36"/>
      <c r="C298" s="75" t="s">
        <v>853</v>
      </c>
      <c r="D298" s="37" t="str">
        <f t="shared" si="66"/>
        <v xml:space="preserve"> 772</v>
      </c>
      <c r="E298" s="38" t="s">
        <v>853</v>
      </c>
      <c r="F298" s="39">
        <f t="shared" si="67"/>
        <v>0</v>
      </c>
      <c r="G298" s="76" t="s">
        <v>335</v>
      </c>
      <c r="H298" s="77" t="s">
        <v>605</v>
      </c>
      <c r="I298" s="77" t="s">
        <v>613</v>
      </c>
      <c r="J298" s="41">
        <v>87000</v>
      </c>
      <c r="K298" s="42">
        <f t="shared" si="57"/>
        <v>9550</v>
      </c>
      <c r="L298" s="39" t="s">
        <v>22</v>
      </c>
      <c r="M298" s="43">
        <f t="shared" si="58"/>
        <v>77450</v>
      </c>
      <c r="N298" s="49">
        <f>2000+5500+600+200+250+1000</f>
        <v>9550</v>
      </c>
      <c r="O298" s="72">
        <f t="shared" si="59"/>
        <v>87000</v>
      </c>
      <c r="P298" s="29"/>
      <c r="Q298" s="40" t="s">
        <v>1310</v>
      </c>
      <c r="R298" s="44"/>
      <c r="S298" s="44">
        <f t="shared" si="60"/>
        <v>87000</v>
      </c>
      <c r="T298" s="44">
        <f t="shared" si="61"/>
        <v>124285.71428571429</v>
      </c>
      <c r="U298" s="45">
        <f t="shared" si="62"/>
        <v>142040.81632653062</v>
      </c>
      <c r="V298" s="46">
        <f t="shared" si="63"/>
        <v>0.12500000000000003</v>
      </c>
      <c r="W298" s="45">
        <f t="shared" si="64"/>
        <v>142100</v>
      </c>
      <c r="X298" s="47">
        <f t="shared" si="65"/>
        <v>0.30000000000000004</v>
      </c>
      <c r="Y298" s="57"/>
      <c r="Z298" s="58"/>
      <c r="AA298" s="59"/>
    </row>
    <row r="299" spans="1:27" ht="14.4" hidden="1" customHeight="1">
      <c r="A299" s="56">
        <v>295</v>
      </c>
      <c r="B299" s="36"/>
      <c r="C299" s="73" t="s">
        <v>234</v>
      </c>
      <c r="D299" s="37" t="str">
        <f t="shared" si="66"/>
        <v xml:space="preserve"> 385</v>
      </c>
      <c r="E299" s="38" t="s">
        <v>234</v>
      </c>
      <c r="F299" s="39">
        <f t="shared" si="67"/>
        <v>0</v>
      </c>
      <c r="G299" s="76" t="s">
        <v>335</v>
      </c>
      <c r="H299" s="77" t="s">
        <v>322</v>
      </c>
      <c r="I299" s="77" t="s">
        <v>58</v>
      </c>
      <c r="J299" s="41">
        <v>85000</v>
      </c>
      <c r="K299" s="42">
        <f t="shared" si="57"/>
        <v>9050</v>
      </c>
      <c r="L299" s="39" t="s">
        <v>22</v>
      </c>
      <c r="M299" s="43">
        <f t="shared" si="58"/>
        <v>75950</v>
      </c>
      <c r="N299" s="49">
        <f>2000+5500+600+200+250+500</f>
        <v>9050</v>
      </c>
      <c r="O299" s="72">
        <f t="shared" si="59"/>
        <v>85000</v>
      </c>
      <c r="P299" s="29"/>
      <c r="Q299" s="40" t="s">
        <v>77</v>
      </c>
      <c r="R299" s="44"/>
      <c r="S299" s="44">
        <f t="shared" si="60"/>
        <v>85000</v>
      </c>
      <c r="T299" s="44">
        <f t="shared" si="61"/>
        <v>121428.57142857143</v>
      </c>
      <c r="U299" s="45">
        <f t="shared" si="62"/>
        <v>138775.51020408163</v>
      </c>
      <c r="V299" s="46">
        <f t="shared" si="63"/>
        <v>0.12499999999999992</v>
      </c>
      <c r="W299" s="45">
        <f t="shared" si="64"/>
        <v>138800</v>
      </c>
      <c r="X299" s="47">
        <f t="shared" si="65"/>
        <v>0.30000000000000004</v>
      </c>
      <c r="Y299" s="48"/>
      <c r="Z299" s="48"/>
      <c r="AA299" s="50"/>
    </row>
    <row r="300" spans="1:27" ht="14.4" hidden="1" customHeight="1">
      <c r="A300" s="56">
        <v>296</v>
      </c>
      <c r="B300" s="36"/>
      <c r="C300" s="73" t="s">
        <v>268</v>
      </c>
      <c r="D300" s="37" t="str">
        <f t="shared" si="66"/>
        <v xml:space="preserve"> 484</v>
      </c>
      <c r="E300" s="38" t="s">
        <v>268</v>
      </c>
      <c r="F300" s="39">
        <f t="shared" si="67"/>
        <v>0</v>
      </c>
      <c r="G300" s="76" t="s">
        <v>335</v>
      </c>
      <c r="H300" s="77" t="s">
        <v>605</v>
      </c>
      <c r="I300" s="77" t="s">
        <v>293</v>
      </c>
      <c r="J300" s="41">
        <v>92000</v>
      </c>
      <c r="K300" s="42">
        <f t="shared" si="57"/>
        <v>8950</v>
      </c>
      <c r="L300" s="39" t="s">
        <v>22</v>
      </c>
      <c r="M300" s="43">
        <f t="shared" si="58"/>
        <v>83050</v>
      </c>
      <c r="N300" s="43">
        <f>2000+5500+200+250+1000</f>
        <v>8950</v>
      </c>
      <c r="O300" s="72">
        <f t="shared" si="59"/>
        <v>92000</v>
      </c>
      <c r="P300" s="29"/>
      <c r="Q300" s="40" t="s">
        <v>302</v>
      </c>
      <c r="R300" s="53"/>
      <c r="S300" s="44">
        <f t="shared" si="60"/>
        <v>92000</v>
      </c>
      <c r="T300" s="44">
        <f t="shared" si="61"/>
        <v>131428.57142857145</v>
      </c>
      <c r="U300" s="45">
        <f t="shared" si="62"/>
        <v>150204.08163265308</v>
      </c>
      <c r="V300" s="46">
        <f t="shared" si="63"/>
        <v>0.12499999999999996</v>
      </c>
      <c r="W300" s="45">
        <f t="shared" si="64"/>
        <v>150300</v>
      </c>
      <c r="X300" s="47">
        <f t="shared" si="65"/>
        <v>0.3000000000000001</v>
      </c>
      <c r="Y300" s="54"/>
      <c r="Z300" s="54"/>
      <c r="AA300" s="55"/>
    </row>
    <row r="301" spans="1:27" ht="14.4" hidden="1" customHeight="1">
      <c r="A301" s="56">
        <v>297</v>
      </c>
      <c r="B301" s="36"/>
      <c r="C301" s="75" t="s">
        <v>857</v>
      </c>
      <c r="D301" s="37" t="str">
        <f t="shared" si="66"/>
        <v xml:space="preserve"> 707</v>
      </c>
      <c r="E301" s="38" t="s">
        <v>857</v>
      </c>
      <c r="F301" s="39">
        <f t="shared" si="67"/>
        <v>0</v>
      </c>
      <c r="G301" s="76" t="s">
        <v>340</v>
      </c>
      <c r="H301" s="77" t="s">
        <v>605</v>
      </c>
      <c r="I301" s="77" t="s">
        <v>858</v>
      </c>
      <c r="J301" s="41"/>
      <c r="K301" s="42">
        <f t="shared" si="57"/>
        <v>0</v>
      </c>
      <c r="L301" s="39"/>
      <c r="M301" s="43">
        <f t="shared" si="58"/>
        <v>0</v>
      </c>
      <c r="N301" s="43"/>
      <c r="O301" s="72">
        <f t="shared" si="59"/>
        <v>0</v>
      </c>
      <c r="P301" s="29"/>
      <c r="Q301" s="40"/>
      <c r="R301" s="53"/>
      <c r="S301" s="44">
        <f t="shared" si="60"/>
        <v>0</v>
      </c>
      <c r="T301" s="44">
        <f t="shared" si="61"/>
        <v>0</v>
      </c>
      <c r="U301" s="45">
        <f t="shared" si="62"/>
        <v>0</v>
      </c>
      <c r="V301" s="46" t="e">
        <f t="shared" si="63"/>
        <v>#DIV/0!</v>
      </c>
      <c r="W301" s="45">
        <f t="shared" si="64"/>
        <v>0</v>
      </c>
      <c r="X301" s="47" t="e">
        <f t="shared" si="65"/>
        <v>#DIV/0!</v>
      </c>
      <c r="Y301" s="57">
        <v>115063</v>
      </c>
      <c r="Z301" s="58">
        <f>T301-Y301</f>
        <v>-115063</v>
      </c>
      <c r="AA301" s="59">
        <f>Z301/Y301</f>
        <v>-1</v>
      </c>
    </row>
    <row r="302" spans="1:27" ht="14.4" hidden="1" customHeight="1">
      <c r="A302" s="56">
        <v>298</v>
      </c>
      <c r="B302" s="36"/>
      <c r="C302" s="75" t="s">
        <v>860</v>
      </c>
      <c r="D302" s="37" t="str">
        <f t="shared" si="66"/>
        <v xml:space="preserve"> 855</v>
      </c>
      <c r="E302" s="38" t="s">
        <v>860</v>
      </c>
      <c r="F302" s="39">
        <f t="shared" si="67"/>
        <v>0</v>
      </c>
      <c r="G302" s="76" t="s">
        <v>340</v>
      </c>
      <c r="H302" s="77" t="s">
        <v>861</v>
      </c>
      <c r="I302" s="77" t="s">
        <v>862</v>
      </c>
      <c r="J302" s="41"/>
      <c r="K302" s="42">
        <f t="shared" si="57"/>
        <v>0</v>
      </c>
      <c r="L302" s="39"/>
      <c r="M302" s="43">
        <f t="shared" si="58"/>
        <v>0</v>
      </c>
      <c r="N302" s="43"/>
      <c r="O302" s="72">
        <f t="shared" si="59"/>
        <v>0</v>
      </c>
      <c r="P302" s="29"/>
      <c r="Q302" s="40"/>
      <c r="R302" s="53"/>
      <c r="S302" s="44">
        <f t="shared" si="60"/>
        <v>0</v>
      </c>
      <c r="T302" s="44">
        <f t="shared" si="61"/>
        <v>0</v>
      </c>
      <c r="U302" s="45">
        <f t="shared" si="62"/>
        <v>0</v>
      </c>
      <c r="V302" s="46" t="e">
        <f t="shared" si="63"/>
        <v>#DIV/0!</v>
      </c>
      <c r="W302" s="45">
        <f t="shared" si="64"/>
        <v>0</v>
      </c>
      <c r="X302" s="47" t="e">
        <f t="shared" si="65"/>
        <v>#DIV/0!</v>
      </c>
      <c r="Y302" s="57">
        <v>123025</v>
      </c>
      <c r="Z302" s="58">
        <f>T302-Y302</f>
        <v>-123025</v>
      </c>
      <c r="AA302" s="59">
        <f>Z302/Y302</f>
        <v>-1</v>
      </c>
    </row>
    <row r="303" spans="1:27" ht="14.4" hidden="1" customHeight="1">
      <c r="A303" s="56">
        <v>299</v>
      </c>
      <c r="B303" s="36"/>
      <c r="C303" s="75" t="s">
        <v>379</v>
      </c>
      <c r="D303" s="37" t="str">
        <f t="shared" si="66"/>
        <v/>
      </c>
      <c r="E303" s="38" t="s">
        <v>379</v>
      </c>
      <c r="F303" s="39">
        <f t="shared" si="67"/>
        <v>0</v>
      </c>
      <c r="G303" s="76"/>
      <c r="H303" s="77"/>
      <c r="I303" s="77"/>
      <c r="J303" s="41"/>
      <c r="K303" s="42">
        <f t="shared" si="57"/>
        <v>0</v>
      </c>
      <c r="L303" s="39"/>
      <c r="M303" s="43">
        <f t="shared" si="58"/>
        <v>0</v>
      </c>
      <c r="N303" s="43"/>
      <c r="O303" s="72">
        <f t="shared" si="59"/>
        <v>0</v>
      </c>
      <c r="P303" s="29"/>
      <c r="Q303" s="40"/>
      <c r="R303" s="53"/>
      <c r="S303" s="44">
        <f t="shared" si="60"/>
        <v>0</v>
      </c>
      <c r="T303" s="44">
        <f t="shared" si="61"/>
        <v>0</v>
      </c>
      <c r="U303" s="45">
        <f t="shared" si="62"/>
        <v>0</v>
      </c>
      <c r="V303" s="46" t="e">
        <f t="shared" si="63"/>
        <v>#DIV/0!</v>
      </c>
      <c r="W303" s="45">
        <f t="shared" si="64"/>
        <v>0</v>
      </c>
      <c r="X303" s="47" t="e">
        <f t="shared" si="65"/>
        <v>#DIV/0!</v>
      </c>
      <c r="Y303" s="54"/>
      <c r="Z303" s="54"/>
      <c r="AA303" s="55"/>
    </row>
    <row r="304" spans="1:27" ht="14.4" hidden="1" customHeight="1">
      <c r="A304" s="56">
        <v>300</v>
      </c>
      <c r="B304" s="36"/>
      <c r="C304" s="75" t="s">
        <v>864</v>
      </c>
      <c r="D304" s="37" t="str">
        <f t="shared" si="66"/>
        <v xml:space="preserve"> 470</v>
      </c>
      <c r="E304" s="38" t="s">
        <v>864</v>
      </c>
      <c r="F304" s="39">
        <f t="shared" si="67"/>
        <v>0</v>
      </c>
      <c r="G304" s="76" t="s">
        <v>340</v>
      </c>
      <c r="H304" s="77" t="s">
        <v>861</v>
      </c>
      <c r="I304" s="77" t="s">
        <v>862</v>
      </c>
      <c r="J304" s="41"/>
      <c r="K304" s="42">
        <f t="shared" si="57"/>
        <v>0</v>
      </c>
      <c r="L304" s="39"/>
      <c r="M304" s="43">
        <f t="shared" si="58"/>
        <v>0</v>
      </c>
      <c r="N304" s="43"/>
      <c r="O304" s="72">
        <f t="shared" si="59"/>
        <v>0</v>
      </c>
      <c r="P304" s="29"/>
      <c r="Q304" s="40"/>
      <c r="R304" s="53"/>
      <c r="S304" s="44">
        <f t="shared" si="60"/>
        <v>0</v>
      </c>
      <c r="T304" s="44">
        <f t="shared" si="61"/>
        <v>0</v>
      </c>
      <c r="U304" s="45">
        <f t="shared" si="62"/>
        <v>0</v>
      </c>
      <c r="V304" s="46" t="e">
        <f t="shared" si="63"/>
        <v>#DIV/0!</v>
      </c>
      <c r="W304" s="45">
        <f t="shared" si="64"/>
        <v>0</v>
      </c>
      <c r="X304" s="47" t="e">
        <f t="shared" si="65"/>
        <v>#DIV/0!</v>
      </c>
      <c r="Y304" s="57">
        <v>122063</v>
      </c>
      <c r="Z304" s="58">
        <f>T304-Y304</f>
        <v>-122063</v>
      </c>
      <c r="AA304" s="59">
        <f>Z304/Y304</f>
        <v>-1</v>
      </c>
    </row>
    <row r="305" spans="1:27" ht="14.4" hidden="1" customHeight="1">
      <c r="A305" s="56">
        <v>301</v>
      </c>
      <c r="B305" s="36"/>
      <c r="C305" s="75" t="s">
        <v>379</v>
      </c>
      <c r="D305" s="37" t="str">
        <f t="shared" si="66"/>
        <v/>
      </c>
      <c r="E305" s="38" t="s">
        <v>379</v>
      </c>
      <c r="F305" s="39">
        <f t="shared" si="67"/>
        <v>0</v>
      </c>
      <c r="G305" s="76"/>
      <c r="H305" s="77"/>
      <c r="I305" s="77"/>
      <c r="J305" s="41"/>
      <c r="K305" s="42">
        <f t="shared" si="57"/>
        <v>0</v>
      </c>
      <c r="L305" s="39"/>
      <c r="M305" s="43">
        <f t="shared" si="58"/>
        <v>0</v>
      </c>
      <c r="N305" s="43"/>
      <c r="O305" s="72">
        <f t="shared" si="59"/>
        <v>0</v>
      </c>
      <c r="P305" s="29"/>
      <c r="Q305" s="40"/>
      <c r="R305" s="53"/>
      <c r="S305" s="44">
        <f t="shared" si="60"/>
        <v>0</v>
      </c>
      <c r="T305" s="44">
        <f t="shared" si="61"/>
        <v>0</v>
      </c>
      <c r="U305" s="45">
        <f t="shared" si="62"/>
        <v>0</v>
      </c>
      <c r="V305" s="46" t="e">
        <f t="shared" si="63"/>
        <v>#DIV/0!</v>
      </c>
      <c r="W305" s="45">
        <f t="shared" si="64"/>
        <v>0</v>
      </c>
      <c r="X305" s="47" t="e">
        <f t="shared" si="65"/>
        <v>#DIV/0!</v>
      </c>
      <c r="Y305" s="54"/>
      <c r="Z305" s="54"/>
      <c r="AA305" s="55"/>
    </row>
    <row r="306" spans="1:27" ht="14.4" hidden="1" customHeight="1">
      <c r="A306" s="56">
        <v>302</v>
      </c>
      <c r="B306" s="36"/>
      <c r="C306" s="75" t="s">
        <v>866</v>
      </c>
      <c r="D306" s="37" t="str">
        <f t="shared" si="66"/>
        <v xml:space="preserve"> 606</v>
      </c>
      <c r="E306" s="38" t="s">
        <v>866</v>
      </c>
      <c r="F306" s="39">
        <f t="shared" si="67"/>
        <v>0</v>
      </c>
      <c r="G306" s="76" t="s">
        <v>340</v>
      </c>
      <c r="H306" s="77" t="s">
        <v>861</v>
      </c>
      <c r="I306" s="77" t="s">
        <v>862</v>
      </c>
      <c r="J306" s="41"/>
      <c r="K306" s="42">
        <f t="shared" si="57"/>
        <v>0</v>
      </c>
      <c r="L306" s="39"/>
      <c r="M306" s="43">
        <f t="shared" si="58"/>
        <v>0</v>
      </c>
      <c r="N306" s="43"/>
      <c r="O306" s="72">
        <f t="shared" si="59"/>
        <v>0</v>
      </c>
      <c r="P306" s="29"/>
      <c r="Q306" s="40"/>
      <c r="R306" s="53"/>
      <c r="S306" s="44">
        <f t="shared" si="60"/>
        <v>0</v>
      </c>
      <c r="T306" s="44">
        <f t="shared" si="61"/>
        <v>0</v>
      </c>
      <c r="U306" s="45">
        <f t="shared" si="62"/>
        <v>0</v>
      </c>
      <c r="V306" s="46" t="e">
        <f t="shared" si="63"/>
        <v>#DIV/0!</v>
      </c>
      <c r="W306" s="45">
        <f t="shared" si="64"/>
        <v>0</v>
      </c>
      <c r="X306" s="47" t="e">
        <f t="shared" si="65"/>
        <v>#DIV/0!</v>
      </c>
      <c r="Y306" s="57">
        <v>123025</v>
      </c>
      <c r="Z306" s="58">
        <f>T306-Y306</f>
        <v>-123025</v>
      </c>
      <c r="AA306" s="59">
        <f>Z306/Y306</f>
        <v>-1</v>
      </c>
    </row>
    <row r="307" spans="1:27" ht="14.4" hidden="1" customHeight="1">
      <c r="A307" s="56">
        <v>303</v>
      </c>
      <c r="B307" s="36"/>
      <c r="C307" s="75" t="s">
        <v>379</v>
      </c>
      <c r="D307" s="37" t="str">
        <f t="shared" si="66"/>
        <v/>
      </c>
      <c r="E307" s="38" t="s">
        <v>379</v>
      </c>
      <c r="F307" s="39">
        <f t="shared" si="67"/>
        <v>0</v>
      </c>
      <c r="G307" s="76"/>
      <c r="H307" s="77"/>
      <c r="I307" s="77"/>
      <c r="J307" s="41"/>
      <c r="K307" s="42">
        <f t="shared" si="57"/>
        <v>0</v>
      </c>
      <c r="L307" s="39"/>
      <c r="M307" s="43">
        <f t="shared" si="58"/>
        <v>0</v>
      </c>
      <c r="N307" s="43"/>
      <c r="O307" s="72">
        <f t="shared" si="59"/>
        <v>0</v>
      </c>
      <c r="P307" s="29"/>
      <c r="Q307" s="40"/>
      <c r="R307" s="53"/>
      <c r="S307" s="44">
        <f t="shared" si="60"/>
        <v>0</v>
      </c>
      <c r="T307" s="44">
        <f t="shared" si="61"/>
        <v>0</v>
      </c>
      <c r="U307" s="45">
        <f t="shared" si="62"/>
        <v>0</v>
      </c>
      <c r="V307" s="46" t="e">
        <f t="shared" si="63"/>
        <v>#DIV/0!</v>
      </c>
      <c r="W307" s="45">
        <f t="shared" si="64"/>
        <v>0</v>
      </c>
      <c r="X307" s="47" t="e">
        <f t="shared" si="65"/>
        <v>#DIV/0!</v>
      </c>
      <c r="Y307" s="54"/>
      <c r="Z307" s="54"/>
      <c r="AA307" s="55"/>
    </row>
    <row r="308" spans="1:27" ht="14.4" customHeight="1">
      <c r="A308" s="56">
        <v>304</v>
      </c>
      <c r="B308" s="36"/>
      <c r="C308" s="75" t="s">
        <v>868</v>
      </c>
      <c r="D308" s="37" t="str">
        <f t="shared" si="66"/>
        <v xml:space="preserve"> 173</v>
      </c>
      <c r="E308" s="38" t="s">
        <v>868</v>
      </c>
      <c r="F308" s="39">
        <f t="shared" si="67"/>
        <v>0</v>
      </c>
      <c r="G308" s="76" t="s">
        <v>335</v>
      </c>
      <c r="H308" s="77" t="s">
        <v>327</v>
      </c>
      <c r="I308" s="77" t="s">
        <v>869</v>
      </c>
      <c r="J308" s="41">
        <v>69000</v>
      </c>
      <c r="K308" s="42">
        <f t="shared" si="57"/>
        <v>8550</v>
      </c>
      <c r="L308" s="39" t="s">
        <v>22</v>
      </c>
      <c r="M308" s="43">
        <f t="shared" si="58"/>
        <v>60450</v>
      </c>
      <c r="N308" s="43">
        <f>2000+5500+600+200+250</f>
        <v>8550</v>
      </c>
      <c r="O308" s="72">
        <f t="shared" si="59"/>
        <v>69000</v>
      </c>
      <c r="P308" s="29"/>
      <c r="Q308" s="40" t="s">
        <v>1303</v>
      </c>
      <c r="R308" s="53"/>
      <c r="S308" s="44">
        <f t="shared" si="60"/>
        <v>69000</v>
      </c>
      <c r="T308" s="44">
        <f t="shared" si="61"/>
        <v>98571.42857142858</v>
      </c>
      <c r="U308" s="45">
        <f t="shared" si="62"/>
        <v>112653.06122448981</v>
      </c>
      <c r="V308" s="46">
        <f t="shared" si="63"/>
        <v>0.12500000000000003</v>
      </c>
      <c r="W308" s="45">
        <f t="shared" si="64"/>
        <v>112700</v>
      </c>
      <c r="X308" s="47">
        <f t="shared" si="65"/>
        <v>0.30000000000000004</v>
      </c>
      <c r="Y308" s="54"/>
      <c r="Z308" s="54"/>
      <c r="AA308" s="55"/>
    </row>
    <row r="309" spans="1:27" ht="14.4" hidden="1" customHeight="1">
      <c r="A309" s="56">
        <v>305</v>
      </c>
      <c r="B309" s="36"/>
      <c r="C309" s="73" t="s">
        <v>193</v>
      </c>
      <c r="D309" s="37" t="str">
        <f t="shared" si="66"/>
        <v xml:space="preserve"> 045</v>
      </c>
      <c r="E309" s="38" t="s">
        <v>193</v>
      </c>
      <c r="F309" s="39">
        <f t="shared" si="67"/>
        <v>0</v>
      </c>
      <c r="G309" s="76" t="s">
        <v>340</v>
      </c>
      <c r="H309" s="77" t="s">
        <v>871</v>
      </c>
      <c r="I309" s="77" t="s">
        <v>38</v>
      </c>
      <c r="J309" s="41">
        <v>91500</v>
      </c>
      <c r="K309" s="42">
        <f t="shared" si="57"/>
        <v>8550</v>
      </c>
      <c r="L309" s="39" t="s">
        <v>22</v>
      </c>
      <c r="M309" s="43">
        <f t="shared" si="58"/>
        <v>82950</v>
      </c>
      <c r="N309" s="43">
        <f>2000+5500+600+200+250</f>
        <v>8550</v>
      </c>
      <c r="O309" s="72">
        <f t="shared" si="59"/>
        <v>91500</v>
      </c>
      <c r="P309" s="29"/>
      <c r="Q309" s="40" t="s">
        <v>74</v>
      </c>
      <c r="R309" s="44"/>
      <c r="S309" s="44">
        <f t="shared" si="60"/>
        <v>91500</v>
      </c>
      <c r="T309" s="44">
        <f t="shared" si="61"/>
        <v>130714.28571428572</v>
      </c>
      <c r="U309" s="45">
        <f t="shared" si="62"/>
        <v>149387.75510204083</v>
      </c>
      <c r="V309" s="46">
        <f t="shared" si="63"/>
        <v>0.125</v>
      </c>
      <c r="W309" s="45">
        <f t="shared" si="64"/>
        <v>149400</v>
      </c>
      <c r="X309" s="47">
        <f t="shared" si="65"/>
        <v>0.30000000000000004</v>
      </c>
      <c r="Y309" s="57">
        <v>126525</v>
      </c>
      <c r="Z309" s="58">
        <f>T309-Y309</f>
        <v>4189.2857142857247</v>
      </c>
      <c r="AA309" s="59">
        <f>Z309/Y309</f>
        <v>3.3110339571513332E-2</v>
      </c>
    </row>
    <row r="310" spans="1:27" ht="14.4" hidden="1" customHeight="1">
      <c r="A310" s="56">
        <v>306</v>
      </c>
      <c r="B310" s="36"/>
      <c r="C310" s="73" t="s">
        <v>226</v>
      </c>
      <c r="D310" s="37" t="str">
        <f t="shared" si="66"/>
        <v xml:space="preserve"> 149</v>
      </c>
      <c r="E310" s="38" t="s">
        <v>226</v>
      </c>
      <c r="F310" s="39">
        <f t="shared" si="67"/>
        <v>0</v>
      </c>
      <c r="G310" s="76" t="s">
        <v>335</v>
      </c>
      <c r="H310" s="77" t="s">
        <v>327</v>
      </c>
      <c r="I310" s="77" t="s">
        <v>56</v>
      </c>
      <c r="J310" s="41">
        <v>75000</v>
      </c>
      <c r="K310" s="42">
        <f t="shared" si="57"/>
        <v>8550</v>
      </c>
      <c r="L310" s="39" t="s">
        <v>22</v>
      </c>
      <c r="M310" s="43">
        <f t="shared" si="58"/>
        <v>66450</v>
      </c>
      <c r="N310" s="49">
        <f>2000+5500+600+200+250</f>
        <v>8550</v>
      </c>
      <c r="O310" s="72">
        <f t="shared" si="59"/>
        <v>75000</v>
      </c>
      <c r="P310" s="29"/>
      <c r="Q310" s="40" t="s">
        <v>74</v>
      </c>
      <c r="R310" s="44"/>
      <c r="S310" s="44">
        <f t="shared" si="60"/>
        <v>75000</v>
      </c>
      <c r="T310" s="44">
        <f t="shared" si="61"/>
        <v>107142.85714285714</v>
      </c>
      <c r="U310" s="45">
        <f t="shared" si="62"/>
        <v>122448.97959183673</v>
      </c>
      <c r="V310" s="46">
        <f t="shared" si="63"/>
        <v>0.12499999999999996</v>
      </c>
      <c r="W310" s="45">
        <f t="shared" si="64"/>
        <v>122500</v>
      </c>
      <c r="X310" s="47">
        <f t="shared" si="65"/>
        <v>0.3</v>
      </c>
      <c r="Y310" s="48"/>
      <c r="Z310" s="48"/>
      <c r="AA310" s="48"/>
    </row>
    <row r="311" spans="1:27" ht="14.4" hidden="1" customHeight="1">
      <c r="A311" s="56">
        <v>307</v>
      </c>
      <c r="B311" s="36"/>
      <c r="C311" s="75" t="s">
        <v>874</v>
      </c>
      <c r="D311" s="37" t="str">
        <f t="shared" si="66"/>
        <v xml:space="preserve"> 580</v>
      </c>
      <c r="E311" s="38" t="s">
        <v>874</v>
      </c>
      <c r="F311" s="39">
        <f t="shared" si="67"/>
        <v>0</v>
      </c>
      <c r="G311" s="76" t="s">
        <v>340</v>
      </c>
      <c r="H311" s="77" t="s">
        <v>871</v>
      </c>
      <c r="I311" s="77" t="s">
        <v>875</v>
      </c>
      <c r="J311" s="41"/>
      <c r="K311" s="42">
        <f t="shared" si="57"/>
        <v>0</v>
      </c>
      <c r="L311" s="39"/>
      <c r="M311" s="43">
        <f t="shared" si="58"/>
        <v>0</v>
      </c>
      <c r="N311" s="49"/>
      <c r="O311" s="72">
        <f t="shared" si="59"/>
        <v>0</v>
      </c>
      <c r="P311" s="29"/>
      <c r="Q311" s="40"/>
      <c r="R311" s="44"/>
      <c r="S311" s="44">
        <f t="shared" si="60"/>
        <v>0</v>
      </c>
      <c r="T311" s="44">
        <f t="shared" si="61"/>
        <v>0</v>
      </c>
      <c r="U311" s="45">
        <f t="shared" si="62"/>
        <v>0</v>
      </c>
      <c r="V311" s="46" t="e">
        <f t="shared" si="63"/>
        <v>#DIV/0!</v>
      </c>
      <c r="W311" s="45">
        <f t="shared" si="64"/>
        <v>0</v>
      </c>
      <c r="X311" s="47" t="e">
        <f t="shared" si="65"/>
        <v>#DIV/0!</v>
      </c>
      <c r="Y311" s="57">
        <v>115063</v>
      </c>
      <c r="Z311" s="58">
        <f>T311-Y311</f>
        <v>-115063</v>
      </c>
      <c r="AA311" s="59">
        <f>Z311/Y311</f>
        <v>-1</v>
      </c>
    </row>
    <row r="312" spans="1:27" ht="14.4" hidden="1" customHeight="1">
      <c r="A312" s="56">
        <v>308</v>
      </c>
      <c r="B312" s="36"/>
      <c r="C312" s="73" t="s">
        <v>154</v>
      </c>
      <c r="D312" s="37" t="str">
        <f t="shared" si="66"/>
        <v xml:space="preserve"> 446</v>
      </c>
      <c r="E312" s="38" t="s">
        <v>157</v>
      </c>
      <c r="F312" s="39">
        <f t="shared" si="67"/>
        <v>1</v>
      </c>
      <c r="G312" s="76" t="s">
        <v>335</v>
      </c>
      <c r="H312" s="77" t="s">
        <v>327</v>
      </c>
      <c r="I312" s="77" t="s">
        <v>45</v>
      </c>
      <c r="J312" s="41">
        <v>72500</v>
      </c>
      <c r="K312" s="42">
        <f t="shared" si="57"/>
        <v>8550</v>
      </c>
      <c r="L312" s="39" t="s">
        <v>22</v>
      </c>
      <c r="M312" s="43">
        <f t="shared" si="58"/>
        <v>63950</v>
      </c>
      <c r="N312" s="43">
        <f>2000+5500+600+200+250</f>
        <v>8550</v>
      </c>
      <c r="O312" s="72">
        <f t="shared" si="59"/>
        <v>72500</v>
      </c>
      <c r="P312" s="29"/>
      <c r="Q312" s="40" t="s">
        <v>74</v>
      </c>
      <c r="R312" s="44"/>
      <c r="S312" s="44">
        <f t="shared" si="60"/>
        <v>72500</v>
      </c>
      <c r="T312" s="44">
        <f t="shared" si="61"/>
        <v>103571.42857142858</v>
      </c>
      <c r="U312" s="45">
        <f t="shared" si="62"/>
        <v>118367.34693877552</v>
      </c>
      <c r="V312" s="46">
        <f t="shared" si="63"/>
        <v>0.12499999999999999</v>
      </c>
      <c r="W312" s="45">
        <f t="shared" si="64"/>
        <v>118400</v>
      </c>
      <c r="X312" s="47">
        <f t="shared" si="65"/>
        <v>0.30000000000000004</v>
      </c>
      <c r="Y312" s="48"/>
      <c r="Z312" s="48"/>
      <c r="AA312" s="48"/>
    </row>
    <row r="313" spans="1:27" ht="14.4" hidden="1" customHeight="1">
      <c r="A313" s="56">
        <v>309</v>
      </c>
      <c r="B313" s="36"/>
      <c r="C313" s="75" t="s">
        <v>878</v>
      </c>
      <c r="D313" s="37" t="str">
        <f t="shared" si="66"/>
        <v xml:space="preserve"> 679</v>
      </c>
      <c r="E313" s="38" t="s">
        <v>878</v>
      </c>
      <c r="F313" s="39">
        <f t="shared" si="67"/>
        <v>0</v>
      </c>
      <c r="G313" s="76" t="s">
        <v>340</v>
      </c>
      <c r="H313" s="77" t="s">
        <v>327</v>
      </c>
      <c r="I313" s="77" t="s">
        <v>756</v>
      </c>
      <c r="J313" s="41"/>
      <c r="K313" s="42">
        <f t="shared" si="57"/>
        <v>0</v>
      </c>
      <c r="L313" s="39"/>
      <c r="M313" s="43">
        <f t="shared" si="58"/>
        <v>0</v>
      </c>
      <c r="N313" s="43"/>
      <c r="O313" s="72">
        <f t="shared" si="59"/>
        <v>0</v>
      </c>
      <c r="P313" s="29"/>
      <c r="Q313" s="40"/>
      <c r="R313" s="44"/>
      <c r="S313" s="44">
        <f t="shared" si="60"/>
        <v>0</v>
      </c>
      <c r="T313" s="44">
        <f t="shared" si="61"/>
        <v>0</v>
      </c>
      <c r="U313" s="45">
        <f t="shared" si="62"/>
        <v>0</v>
      </c>
      <c r="V313" s="46" t="e">
        <f t="shared" si="63"/>
        <v>#DIV/0!</v>
      </c>
      <c r="W313" s="45">
        <f t="shared" si="64"/>
        <v>0</v>
      </c>
      <c r="X313" s="47" t="e">
        <f t="shared" si="65"/>
        <v>#DIV/0!</v>
      </c>
      <c r="Y313" s="57">
        <v>109025</v>
      </c>
      <c r="Z313" s="58">
        <f>T313-Y313</f>
        <v>-109025</v>
      </c>
      <c r="AA313" s="59">
        <f>Z313/Y313</f>
        <v>-1</v>
      </c>
    </row>
    <row r="314" spans="1:27" ht="14.4" hidden="1" customHeight="1">
      <c r="A314" s="56">
        <v>310</v>
      </c>
      <c r="B314" s="36"/>
      <c r="C314" s="75" t="s">
        <v>880</v>
      </c>
      <c r="D314" s="37" t="str">
        <f t="shared" si="66"/>
        <v xml:space="preserve"> 192</v>
      </c>
      <c r="E314" s="38" t="s">
        <v>880</v>
      </c>
      <c r="F314" s="39">
        <f t="shared" si="67"/>
        <v>0</v>
      </c>
      <c r="G314" s="76" t="s">
        <v>335</v>
      </c>
      <c r="H314" s="77" t="s">
        <v>327</v>
      </c>
      <c r="I314" s="77" t="s">
        <v>881</v>
      </c>
      <c r="J314" s="41">
        <v>69000</v>
      </c>
      <c r="K314" s="42">
        <f t="shared" si="57"/>
        <v>8550</v>
      </c>
      <c r="L314" s="39"/>
      <c r="M314" s="43">
        <f t="shared" si="58"/>
        <v>60450</v>
      </c>
      <c r="N314" s="43">
        <f>2000+5500+600+200+250</f>
        <v>8550</v>
      </c>
      <c r="O314" s="72">
        <f t="shared" si="59"/>
        <v>69000</v>
      </c>
      <c r="P314" s="29"/>
      <c r="Q314" s="40" t="s">
        <v>1303</v>
      </c>
      <c r="R314" s="44"/>
      <c r="S314" s="44">
        <f t="shared" si="60"/>
        <v>69000</v>
      </c>
      <c r="T314" s="44">
        <f t="shared" si="61"/>
        <v>98571.42857142858</v>
      </c>
      <c r="U314" s="45">
        <f t="shared" si="62"/>
        <v>112653.06122448981</v>
      </c>
      <c r="V314" s="46">
        <f t="shared" si="63"/>
        <v>0.12500000000000003</v>
      </c>
      <c r="W314" s="45">
        <f t="shared" si="64"/>
        <v>112700</v>
      </c>
      <c r="X314" s="47">
        <f t="shared" si="65"/>
        <v>0.30000000000000004</v>
      </c>
      <c r="Y314" s="48"/>
      <c r="Z314" s="48"/>
      <c r="AA314" s="48"/>
    </row>
    <row r="315" spans="1:27" ht="14.4" hidden="1" customHeight="1">
      <c r="A315" s="56">
        <v>311</v>
      </c>
      <c r="B315" s="36"/>
      <c r="C315" s="75" t="s">
        <v>883</v>
      </c>
      <c r="D315" s="37" t="str">
        <f t="shared" si="66"/>
        <v xml:space="preserve"> 426</v>
      </c>
      <c r="E315" s="38" t="s">
        <v>883</v>
      </c>
      <c r="F315" s="39">
        <f t="shared" si="67"/>
        <v>0</v>
      </c>
      <c r="G315" s="76" t="s">
        <v>340</v>
      </c>
      <c r="H315" s="77" t="s">
        <v>327</v>
      </c>
      <c r="I315" s="77" t="s">
        <v>756</v>
      </c>
      <c r="J315" s="41"/>
      <c r="K315" s="42">
        <f t="shared" si="57"/>
        <v>0</v>
      </c>
      <c r="L315" s="39"/>
      <c r="M315" s="43">
        <f t="shared" si="58"/>
        <v>0</v>
      </c>
      <c r="N315" s="43"/>
      <c r="O315" s="72">
        <f t="shared" si="59"/>
        <v>0</v>
      </c>
      <c r="P315" s="29"/>
      <c r="Q315" s="40"/>
      <c r="R315" s="44"/>
      <c r="S315" s="44">
        <f t="shared" si="60"/>
        <v>0</v>
      </c>
      <c r="T315" s="44">
        <f t="shared" si="61"/>
        <v>0</v>
      </c>
      <c r="U315" s="45">
        <f t="shared" si="62"/>
        <v>0</v>
      </c>
      <c r="V315" s="46" t="e">
        <f t="shared" si="63"/>
        <v>#DIV/0!</v>
      </c>
      <c r="W315" s="45">
        <f t="shared" si="64"/>
        <v>0</v>
      </c>
      <c r="X315" s="47" t="e">
        <f t="shared" si="65"/>
        <v>#DIV/0!</v>
      </c>
      <c r="Y315" s="57">
        <v>104038</v>
      </c>
      <c r="Z315" s="58">
        <f>T315-Y315</f>
        <v>-104038</v>
      </c>
      <c r="AA315" s="59">
        <f>Z315/Y315</f>
        <v>-1</v>
      </c>
    </row>
    <row r="316" spans="1:27" ht="14.4" hidden="1" customHeight="1">
      <c r="A316" s="56">
        <v>312</v>
      </c>
      <c r="B316" s="36"/>
      <c r="C316" s="73" t="s">
        <v>125</v>
      </c>
      <c r="D316" s="37" t="str">
        <f t="shared" si="66"/>
        <v xml:space="preserve"> 643</v>
      </c>
      <c r="E316" s="38" t="s">
        <v>125</v>
      </c>
      <c r="F316" s="39">
        <f t="shared" si="67"/>
        <v>0</v>
      </c>
      <c r="G316" s="76" t="s">
        <v>335</v>
      </c>
      <c r="H316" s="77" t="s">
        <v>327</v>
      </c>
      <c r="I316" s="77" t="s">
        <v>39</v>
      </c>
      <c r="J316" s="41">
        <v>77000</v>
      </c>
      <c r="K316" s="42">
        <f t="shared" si="57"/>
        <v>9050</v>
      </c>
      <c r="L316" s="39" t="s">
        <v>22</v>
      </c>
      <c r="M316" s="43">
        <f t="shared" si="58"/>
        <v>67950</v>
      </c>
      <c r="N316" s="43">
        <f>2000+5500+600+200+250+500</f>
        <v>9050</v>
      </c>
      <c r="O316" s="72">
        <f t="shared" si="59"/>
        <v>77000</v>
      </c>
      <c r="P316" s="29"/>
      <c r="Q316" s="40" t="s">
        <v>77</v>
      </c>
      <c r="R316" s="44"/>
      <c r="S316" s="44">
        <f t="shared" si="60"/>
        <v>77000</v>
      </c>
      <c r="T316" s="44">
        <f t="shared" si="61"/>
        <v>110000</v>
      </c>
      <c r="U316" s="45">
        <f t="shared" si="62"/>
        <v>125714.28571428571</v>
      </c>
      <c r="V316" s="46">
        <f t="shared" si="63"/>
        <v>0.12499999999999997</v>
      </c>
      <c r="W316" s="45">
        <f t="shared" si="64"/>
        <v>125800</v>
      </c>
      <c r="X316" s="47">
        <f t="shared" si="65"/>
        <v>0.3</v>
      </c>
      <c r="Y316" s="48"/>
      <c r="Z316" s="48"/>
      <c r="AA316" s="50"/>
    </row>
    <row r="317" spans="1:27" ht="14.4" hidden="1" customHeight="1">
      <c r="A317" s="56">
        <v>313</v>
      </c>
      <c r="B317" s="36"/>
      <c r="C317" s="73" t="s">
        <v>92</v>
      </c>
      <c r="D317" s="37" t="str">
        <f t="shared" si="66"/>
        <v xml:space="preserve"> 363</v>
      </c>
      <c r="E317" s="38" t="s">
        <v>92</v>
      </c>
      <c r="F317" s="39">
        <f t="shared" si="67"/>
        <v>0</v>
      </c>
      <c r="G317" s="76" t="s">
        <v>335</v>
      </c>
      <c r="H317" s="77" t="s">
        <v>327</v>
      </c>
      <c r="I317" s="77" t="s">
        <v>46</v>
      </c>
      <c r="J317" s="41">
        <v>71000</v>
      </c>
      <c r="K317" s="42">
        <f t="shared" ref="K317:K380" si="68">J317-M317</f>
        <v>8550</v>
      </c>
      <c r="L317" s="39" t="s">
        <v>22</v>
      </c>
      <c r="M317" s="43">
        <f t="shared" ref="M317:M380" si="69">J317-N317</f>
        <v>62450</v>
      </c>
      <c r="N317" s="43">
        <f>2000+5500+600+200+250</f>
        <v>8550</v>
      </c>
      <c r="O317" s="72">
        <f t="shared" ref="O317:O380" si="70">M317+N317</f>
        <v>71000</v>
      </c>
      <c r="P317" s="29"/>
      <c r="Q317" s="40" t="s">
        <v>74</v>
      </c>
      <c r="R317" s="44"/>
      <c r="S317" s="44">
        <f t="shared" ref="S317:S380" si="71">R317+O317</f>
        <v>71000</v>
      </c>
      <c r="T317" s="44">
        <f t="shared" ref="T317:T380" si="72">S317/0.7</f>
        <v>101428.57142857143</v>
      </c>
      <c r="U317" s="45">
        <f t="shared" ref="U317:U380" si="73">T317/0.875</f>
        <v>115918.36734693879</v>
      </c>
      <c r="V317" s="46">
        <f t="shared" ref="V317:V380" si="74">(U317-T317)/U317</f>
        <v>0.12500000000000003</v>
      </c>
      <c r="W317" s="45">
        <f t="shared" ref="W317:W380" si="75">(ROUNDUP((U317/100),0))*100</f>
        <v>116000</v>
      </c>
      <c r="X317" s="47">
        <f t="shared" ref="X317:X380" si="76">(T317-O317)/T317</f>
        <v>0.30000000000000004</v>
      </c>
      <c r="Y317" s="48"/>
      <c r="Z317" s="48"/>
      <c r="AA317" s="48"/>
    </row>
    <row r="318" spans="1:27" ht="14.4" hidden="1" customHeight="1">
      <c r="A318" s="56">
        <v>314</v>
      </c>
      <c r="B318" s="36"/>
      <c r="C318" s="73" t="s">
        <v>124</v>
      </c>
      <c r="D318" s="37" t="str">
        <f t="shared" si="66"/>
        <v xml:space="preserve"> 366</v>
      </c>
      <c r="E318" s="38" t="s">
        <v>124</v>
      </c>
      <c r="F318" s="39">
        <f t="shared" si="67"/>
        <v>0</v>
      </c>
      <c r="G318" s="76" t="s">
        <v>340</v>
      </c>
      <c r="H318" s="77" t="s">
        <v>327</v>
      </c>
      <c r="I318" s="77" t="s">
        <v>39</v>
      </c>
      <c r="J318" s="41">
        <v>77000</v>
      </c>
      <c r="K318" s="42">
        <f t="shared" si="68"/>
        <v>9050</v>
      </c>
      <c r="L318" s="39" t="s">
        <v>22</v>
      </c>
      <c r="M318" s="43">
        <f t="shared" si="69"/>
        <v>67950</v>
      </c>
      <c r="N318" s="43">
        <f>2000+5500+600+200+250+500</f>
        <v>9050</v>
      </c>
      <c r="O318" s="72">
        <f t="shared" si="70"/>
        <v>77000</v>
      </c>
      <c r="P318" s="29"/>
      <c r="Q318" s="40" t="s">
        <v>77</v>
      </c>
      <c r="R318" s="44"/>
      <c r="S318" s="44">
        <f t="shared" si="71"/>
        <v>77000</v>
      </c>
      <c r="T318" s="44">
        <f t="shared" si="72"/>
        <v>110000</v>
      </c>
      <c r="U318" s="45">
        <f t="shared" si="73"/>
        <v>125714.28571428571</v>
      </c>
      <c r="V318" s="46">
        <f t="shared" si="74"/>
        <v>0.12499999999999997</v>
      </c>
      <c r="W318" s="45">
        <f t="shared" si="75"/>
        <v>125800</v>
      </c>
      <c r="X318" s="47">
        <f t="shared" si="76"/>
        <v>0.3</v>
      </c>
      <c r="Y318" s="57">
        <v>108063</v>
      </c>
      <c r="Z318" s="58">
        <f>T318-Y318</f>
        <v>1937</v>
      </c>
      <c r="AA318" s="59">
        <f>Z318/Y318</f>
        <v>1.7924729093214145E-2</v>
      </c>
    </row>
    <row r="319" spans="1:27" ht="14.4" hidden="1" customHeight="1">
      <c r="A319" s="56">
        <v>315</v>
      </c>
      <c r="B319" s="39"/>
      <c r="C319" s="74" t="s">
        <v>314</v>
      </c>
      <c r="D319" s="37" t="str">
        <f t="shared" si="66"/>
        <v xml:space="preserve"> 430</v>
      </c>
      <c r="E319" s="38" t="s">
        <v>314</v>
      </c>
      <c r="F319" s="39">
        <f t="shared" si="67"/>
        <v>0</v>
      </c>
      <c r="G319" s="76" t="s">
        <v>335</v>
      </c>
      <c r="H319" s="77" t="s">
        <v>327</v>
      </c>
      <c r="I319" s="77" t="s">
        <v>320</v>
      </c>
      <c r="J319" s="52">
        <v>63500</v>
      </c>
      <c r="K319" s="42">
        <f t="shared" si="68"/>
        <v>8550</v>
      </c>
      <c r="L319" s="39" t="s">
        <v>22</v>
      </c>
      <c r="M319" s="43">
        <f t="shared" si="69"/>
        <v>54950</v>
      </c>
      <c r="N319" s="52">
        <f>2000+5500+600+200+250</f>
        <v>8550</v>
      </c>
      <c r="O319" s="72">
        <f t="shared" si="70"/>
        <v>63500</v>
      </c>
      <c r="P319" s="29"/>
      <c r="Q319" s="40" t="s">
        <v>74</v>
      </c>
      <c r="R319" s="53"/>
      <c r="S319" s="44">
        <f t="shared" si="71"/>
        <v>63500</v>
      </c>
      <c r="T319" s="44">
        <f t="shared" si="72"/>
        <v>90714.285714285725</v>
      </c>
      <c r="U319" s="45">
        <f t="shared" si="73"/>
        <v>103673.46938775512</v>
      </c>
      <c r="V319" s="46">
        <f t="shared" si="74"/>
        <v>0.12500000000000003</v>
      </c>
      <c r="W319" s="45">
        <f t="shared" si="75"/>
        <v>103700</v>
      </c>
      <c r="X319" s="47">
        <f t="shared" si="76"/>
        <v>0.3000000000000001</v>
      </c>
      <c r="Y319" s="54"/>
      <c r="Z319" s="54"/>
      <c r="AA319" s="55"/>
    </row>
    <row r="320" spans="1:27" ht="14.4" hidden="1" customHeight="1">
      <c r="A320" s="56">
        <v>316</v>
      </c>
      <c r="B320" s="36"/>
      <c r="C320" s="73" t="s">
        <v>156</v>
      </c>
      <c r="D320" s="37" t="str">
        <f t="shared" si="66"/>
        <v xml:space="preserve"> 284</v>
      </c>
      <c r="E320" s="38" t="s">
        <v>156</v>
      </c>
      <c r="F320" s="39">
        <f t="shared" si="67"/>
        <v>0</v>
      </c>
      <c r="G320" s="76" t="s">
        <v>340</v>
      </c>
      <c r="H320" s="77" t="s">
        <v>327</v>
      </c>
      <c r="I320" s="77" t="s">
        <v>45</v>
      </c>
      <c r="J320" s="41">
        <v>70000</v>
      </c>
      <c r="K320" s="42">
        <f t="shared" si="68"/>
        <v>8550</v>
      </c>
      <c r="L320" s="39" t="s">
        <v>22</v>
      </c>
      <c r="M320" s="43">
        <f t="shared" si="69"/>
        <v>61450</v>
      </c>
      <c r="N320" s="43">
        <f>2000+5500+600+200+250</f>
        <v>8550</v>
      </c>
      <c r="O320" s="72">
        <f t="shared" si="70"/>
        <v>70000</v>
      </c>
      <c r="P320" s="29"/>
      <c r="Q320" s="40" t="s">
        <v>74</v>
      </c>
      <c r="R320" s="44"/>
      <c r="S320" s="44">
        <f t="shared" si="71"/>
        <v>70000</v>
      </c>
      <c r="T320" s="44">
        <f t="shared" si="72"/>
        <v>100000</v>
      </c>
      <c r="U320" s="45">
        <f t="shared" si="73"/>
        <v>114285.71428571429</v>
      </c>
      <c r="V320" s="46">
        <f t="shared" si="74"/>
        <v>0.12500000000000003</v>
      </c>
      <c r="W320" s="45">
        <f t="shared" si="75"/>
        <v>114300</v>
      </c>
      <c r="X320" s="47">
        <f t="shared" si="76"/>
        <v>0.3</v>
      </c>
      <c r="Y320" s="57">
        <v>101063</v>
      </c>
      <c r="Z320" s="58">
        <f>T320-Y320</f>
        <v>-1063</v>
      </c>
      <c r="AA320" s="59">
        <f>Z320/Y320</f>
        <v>-1.0518191623047009E-2</v>
      </c>
    </row>
    <row r="321" spans="1:27" ht="14.4" hidden="1" customHeight="1">
      <c r="A321" s="56">
        <v>317</v>
      </c>
      <c r="B321" s="36"/>
      <c r="C321" s="73" t="s">
        <v>157</v>
      </c>
      <c r="D321" s="37" t="str">
        <f t="shared" si="66"/>
        <v xml:space="preserve"> 724</v>
      </c>
      <c r="E321" s="38" t="s">
        <v>154</v>
      </c>
      <c r="F321" s="39">
        <f t="shared" si="67"/>
        <v>1</v>
      </c>
      <c r="G321" s="76" t="s">
        <v>335</v>
      </c>
      <c r="H321" s="77" t="s">
        <v>327</v>
      </c>
      <c r="I321" s="77" t="s">
        <v>45</v>
      </c>
      <c r="J321" s="41">
        <v>72500</v>
      </c>
      <c r="K321" s="42">
        <f t="shared" si="68"/>
        <v>8550</v>
      </c>
      <c r="L321" s="39" t="s">
        <v>22</v>
      </c>
      <c r="M321" s="43">
        <f t="shared" si="69"/>
        <v>63950</v>
      </c>
      <c r="N321" s="43">
        <f>2000+5500+600+200+250</f>
        <v>8550</v>
      </c>
      <c r="O321" s="72">
        <f t="shared" si="70"/>
        <v>72500</v>
      </c>
      <c r="P321" s="29"/>
      <c r="Q321" s="40" t="s">
        <v>74</v>
      </c>
      <c r="R321" s="44"/>
      <c r="S321" s="44">
        <f t="shared" si="71"/>
        <v>72500</v>
      </c>
      <c r="T321" s="44">
        <f t="shared" si="72"/>
        <v>103571.42857142858</v>
      </c>
      <c r="U321" s="45">
        <f t="shared" si="73"/>
        <v>118367.34693877552</v>
      </c>
      <c r="V321" s="46">
        <f t="shared" si="74"/>
        <v>0.12499999999999999</v>
      </c>
      <c r="W321" s="45">
        <f t="shared" si="75"/>
        <v>118400</v>
      </c>
      <c r="X321" s="47">
        <f t="shared" si="76"/>
        <v>0.30000000000000004</v>
      </c>
      <c r="Y321" s="48"/>
      <c r="Z321" s="48"/>
      <c r="AA321" s="48"/>
    </row>
    <row r="322" spans="1:27" ht="14.4" hidden="1" customHeight="1">
      <c r="A322" s="56">
        <v>318</v>
      </c>
      <c r="B322" s="36"/>
      <c r="C322" s="73" t="s">
        <v>225</v>
      </c>
      <c r="D322" s="37" t="str">
        <f t="shared" si="66"/>
        <v xml:space="preserve"> 114</v>
      </c>
      <c r="E322" s="38" t="s">
        <v>225</v>
      </c>
      <c r="F322" s="39">
        <f t="shared" si="67"/>
        <v>0</v>
      </c>
      <c r="G322" s="76" t="s">
        <v>340</v>
      </c>
      <c r="H322" s="77" t="s">
        <v>327</v>
      </c>
      <c r="I322" s="77" t="s">
        <v>56</v>
      </c>
      <c r="J322" s="41">
        <v>75000</v>
      </c>
      <c r="K322" s="42">
        <f t="shared" si="68"/>
        <v>8550</v>
      </c>
      <c r="L322" s="39" t="s">
        <v>22</v>
      </c>
      <c r="M322" s="43">
        <f t="shared" si="69"/>
        <v>66450</v>
      </c>
      <c r="N322" s="49">
        <f>2000+5500+600+200+250</f>
        <v>8550</v>
      </c>
      <c r="O322" s="72">
        <f t="shared" si="70"/>
        <v>75000</v>
      </c>
      <c r="P322" s="29"/>
      <c r="Q322" s="40" t="s">
        <v>74</v>
      </c>
      <c r="R322" s="44"/>
      <c r="S322" s="44">
        <f t="shared" si="71"/>
        <v>75000</v>
      </c>
      <c r="T322" s="44">
        <f t="shared" si="72"/>
        <v>107142.85714285714</v>
      </c>
      <c r="U322" s="45">
        <f t="shared" si="73"/>
        <v>122448.97959183673</v>
      </c>
      <c r="V322" s="46">
        <f t="shared" si="74"/>
        <v>0.12499999999999996</v>
      </c>
      <c r="W322" s="45">
        <f t="shared" si="75"/>
        <v>122500</v>
      </c>
      <c r="X322" s="47">
        <f t="shared" si="76"/>
        <v>0.3</v>
      </c>
      <c r="Y322" s="57">
        <v>105525</v>
      </c>
      <c r="Z322" s="58">
        <f>T322-Y322</f>
        <v>1617.8571428571449</v>
      </c>
      <c r="AA322" s="59">
        <f>Z322/Y322</f>
        <v>1.5331505736623027E-2</v>
      </c>
    </row>
    <row r="323" spans="1:27" ht="14.4" hidden="1" customHeight="1">
      <c r="A323" s="56">
        <v>319</v>
      </c>
      <c r="B323" s="36"/>
      <c r="C323" s="73" t="s">
        <v>150</v>
      </c>
      <c r="D323" s="37" t="str">
        <f t="shared" si="66"/>
        <v xml:space="preserve"> 858</v>
      </c>
      <c r="E323" s="38" t="s">
        <v>150</v>
      </c>
      <c r="F323" s="39">
        <f t="shared" si="67"/>
        <v>0</v>
      </c>
      <c r="G323" s="76" t="s">
        <v>335</v>
      </c>
      <c r="H323" s="77" t="s">
        <v>327</v>
      </c>
      <c r="I323" s="77" t="s">
        <v>44</v>
      </c>
      <c r="J323" s="41">
        <v>78000</v>
      </c>
      <c r="K323" s="42">
        <f t="shared" si="68"/>
        <v>8550</v>
      </c>
      <c r="L323" s="39" t="s">
        <v>22</v>
      </c>
      <c r="M323" s="43">
        <f t="shared" si="69"/>
        <v>69450</v>
      </c>
      <c r="N323" s="43">
        <f>2000+5500+600+200+250</f>
        <v>8550</v>
      </c>
      <c r="O323" s="72">
        <f t="shared" si="70"/>
        <v>78000</v>
      </c>
      <c r="P323" s="29"/>
      <c r="Q323" s="40" t="s">
        <v>74</v>
      </c>
      <c r="R323" s="44"/>
      <c r="S323" s="44">
        <f t="shared" si="71"/>
        <v>78000</v>
      </c>
      <c r="T323" s="44">
        <f t="shared" si="72"/>
        <v>111428.57142857143</v>
      </c>
      <c r="U323" s="45">
        <f t="shared" si="73"/>
        <v>127346.93877551021</v>
      </c>
      <c r="V323" s="46">
        <f t="shared" si="74"/>
        <v>0.12499999999999997</v>
      </c>
      <c r="W323" s="45">
        <f t="shared" si="75"/>
        <v>127400</v>
      </c>
      <c r="X323" s="47">
        <f t="shared" si="76"/>
        <v>0.30000000000000004</v>
      </c>
      <c r="Y323" s="48"/>
      <c r="Z323" s="48"/>
      <c r="AA323" s="50"/>
    </row>
    <row r="324" spans="1:27" ht="14.4" customHeight="1">
      <c r="A324" s="56">
        <v>320</v>
      </c>
      <c r="B324" s="36"/>
      <c r="C324" s="75" t="s">
        <v>893</v>
      </c>
      <c r="D324" s="37" t="str">
        <f t="shared" si="66"/>
        <v xml:space="preserve"> 063</v>
      </c>
      <c r="E324" s="38" t="s">
        <v>893</v>
      </c>
      <c r="F324" s="39">
        <f t="shared" si="67"/>
        <v>0</v>
      </c>
      <c r="G324" s="76" t="s">
        <v>340</v>
      </c>
      <c r="H324" s="77" t="s">
        <v>327</v>
      </c>
      <c r="I324" s="77" t="s">
        <v>869</v>
      </c>
      <c r="J324" s="41">
        <v>69000</v>
      </c>
      <c r="K324" s="42">
        <f t="shared" si="68"/>
        <v>8550</v>
      </c>
      <c r="L324" s="39" t="s">
        <v>22</v>
      </c>
      <c r="M324" s="43">
        <f t="shared" si="69"/>
        <v>60450</v>
      </c>
      <c r="N324" s="43">
        <f>2000+5500+600+200+250</f>
        <v>8550</v>
      </c>
      <c r="O324" s="72">
        <f t="shared" si="70"/>
        <v>69000</v>
      </c>
      <c r="P324" s="29"/>
      <c r="Q324" s="40" t="s">
        <v>1303</v>
      </c>
      <c r="R324" s="44"/>
      <c r="S324" s="44">
        <f t="shared" si="71"/>
        <v>69000</v>
      </c>
      <c r="T324" s="44">
        <f t="shared" si="72"/>
        <v>98571.42857142858</v>
      </c>
      <c r="U324" s="45">
        <f t="shared" si="73"/>
        <v>112653.06122448981</v>
      </c>
      <c r="V324" s="46">
        <f t="shared" si="74"/>
        <v>0.12500000000000003</v>
      </c>
      <c r="W324" s="45">
        <f t="shared" si="75"/>
        <v>112700</v>
      </c>
      <c r="X324" s="47">
        <f t="shared" si="76"/>
        <v>0.30000000000000004</v>
      </c>
      <c r="Y324" s="57">
        <v>97563</v>
      </c>
      <c r="Z324" s="58">
        <f>T324-Y324</f>
        <v>1008.4285714285797</v>
      </c>
      <c r="AA324" s="59">
        <f>Z324/Y324</f>
        <v>1.0336178381441527E-2</v>
      </c>
    </row>
    <row r="325" spans="1:27" ht="14.4" hidden="1" customHeight="1">
      <c r="A325" s="56">
        <v>321</v>
      </c>
      <c r="B325" s="36"/>
      <c r="C325" s="75" t="s">
        <v>895</v>
      </c>
      <c r="D325" s="37" t="str">
        <f t="shared" ref="D325:D388" si="77">REPLACE(C325,1,3, )</f>
        <v xml:space="preserve"> 804</v>
      </c>
      <c r="E325" s="38" t="s">
        <v>895</v>
      </c>
      <c r="F325" s="39">
        <f t="shared" ref="F325:F388" si="78">IF(C325=E325,0,1)</f>
        <v>0</v>
      </c>
      <c r="G325" s="76" t="s">
        <v>335</v>
      </c>
      <c r="H325" s="77" t="s">
        <v>327</v>
      </c>
      <c r="I325" s="77" t="s">
        <v>881</v>
      </c>
      <c r="J325" s="41">
        <v>69000</v>
      </c>
      <c r="K325" s="42">
        <f t="shared" si="68"/>
        <v>8550</v>
      </c>
      <c r="L325" s="39"/>
      <c r="M325" s="43">
        <f t="shared" si="69"/>
        <v>60450</v>
      </c>
      <c r="N325" s="43">
        <f>2000+5500+600+200+250</f>
        <v>8550</v>
      </c>
      <c r="O325" s="72">
        <f t="shared" si="70"/>
        <v>69000</v>
      </c>
      <c r="P325" s="29"/>
      <c r="Q325" s="40" t="s">
        <v>1303</v>
      </c>
      <c r="R325" s="44"/>
      <c r="S325" s="44">
        <f t="shared" si="71"/>
        <v>69000</v>
      </c>
      <c r="T325" s="44">
        <f t="shared" si="72"/>
        <v>98571.42857142858</v>
      </c>
      <c r="U325" s="45">
        <f t="shared" si="73"/>
        <v>112653.06122448981</v>
      </c>
      <c r="V325" s="46">
        <f t="shared" si="74"/>
        <v>0.12500000000000003</v>
      </c>
      <c r="W325" s="45">
        <f t="shared" si="75"/>
        <v>112700</v>
      </c>
      <c r="X325" s="47">
        <f t="shared" si="76"/>
        <v>0.30000000000000004</v>
      </c>
      <c r="Y325" s="48"/>
      <c r="Z325" s="48"/>
      <c r="AA325" s="50"/>
    </row>
    <row r="326" spans="1:27" ht="14.4" hidden="1" customHeight="1">
      <c r="A326" s="56">
        <v>322</v>
      </c>
      <c r="B326" s="36"/>
      <c r="C326" s="73" t="s">
        <v>224</v>
      </c>
      <c r="D326" s="37" t="str">
        <f t="shared" si="77"/>
        <v xml:space="preserve"> 164</v>
      </c>
      <c r="E326" s="38" t="s">
        <v>224</v>
      </c>
      <c r="F326" s="39">
        <f t="shared" si="78"/>
        <v>0</v>
      </c>
      <c r="G326" s="76" t="s">
        <v>340</v>
      </c>
      <c r="H326" s="77" t="s">
        <v>327</v>
      </c>
      <c r="I326" s="77" t="s">
        <v>56</v>
      </c>
      <c r="J326" s="41">
        <v>75000</v>
      </c>
      <c r="K326" s="42">
        <f t="shared" si="68"/>
        <v>8550</v>
      </c>
      <c r="L326" s="39" t="s">
        <v>22</v>
      </c>
      <c r="M326" s="43">
        <f t="shared" si="69"/>
        <v>66450</v>
      </c>
      <c r="N326" s="49">
        <f>2000+5500+600+200+250</f>
        <v>8550</v>
      </c>
      <c r="O326" s="72">
        <f t="shared" si="70"/>
        <v>75000</v>
      </c>
      <c r="P326" s="29"/>
      <c r="Q326" s="40" t="s">
        <v>74</v>
      </c>
      <c r="R326" s="44"/>
      <c r="S326" s="44">
        <f t="shared" si="71"/>
        <v>75000</v>
      </c>
      <c r="T326" s="44">
        <f t="shared" si="72"/>
        <v>107142.85714285714</v>
      </c>
      <c r="U326" s="45">
        <f t="shared" si="73"/>
        <v>122448.97959183673</v>
      </c>
      <c r="V326" s="46">
        <f t="shared" si="74"/>
        <v>0.12499999999999996</v>
      </c>
      <c r="W326" s="45">
        <f t="shared" si="75"/>
        <v>122500</v>
      </c>
      <c r="X326" s="47">
        <f t="shared" si="76"/>
        <v>0.3</v>
      </c>
      <c r="Y326" s="57">
        <v>102025</v>
      </c>
      <c r="Z326" s="58">
        <f>T326-Y326</f>
        <v>5117.8571428571449</v>
      </c>
      <c r="AA326" s="59">
        <f>Z326/Y326</f>
        <v>5.0162775230160696E-2</v>
      </c>
    </row>
    <row r="327" spans="1:27" ht="14.4" hidden="1" customHeight="1">
      <c r="A327" s="35">
        <v>323</v>
      </c>
      <c r="B327" s="36"/>
      <c r="C327" s="73" t="s">
        <v>93</v>
      </c>
      <c r="D327" s="37" t="str">
        <f t="shared" si="77"/>
        <v xml:space="preserve"> 127</v>
      </c>
      <c r="E327" s="38" t="s">
        <v>93</v>
      </c>
      <c r="F327" s="39">
        <f t="shared" si="78"/>
        <v>0</v>
      </c>
      <c r="G327" s="76" t="s">
        <v>335</v>
      </c>
      <c r="H327" s="77" t="s">
        <v>327</v>
      </c>
      <c r="I327" s="77" t="s">
        <v>46</v>
      </c>
      <c r="J327" s="41">
        <v>71000</v>
      </c>
      <c r="K327" s="42">
        <f t="shared" si="68"/>
        <v>8550</v>
      </c>
      <c r="L327" s="39" t="s">
        <v>22</v>
      </c>
      <c r="M327" s="43">
        <f t="shared" si="69"/>
        <v>62450</v>
      </c>
      <c r="N327" s="43">
        <f>2000+5500+600+200+250</f>
        <v>8550</v>
      </c>
      <c r="O327" s="72">
        <f t="shared" si="70"/>
        <v>71000</v>
      </c>
      <c r="P327" s="29"/>
      <c r="Q327" s="40" t="s">
        <v>74</v>
      </c>
      <c r="R327" s="44"/>
      <c r="S327" s="44">
        <f t="shared" si="71"/>
        <v>71000</v>
      </c>
      <c r="T327" s="44">
        <f t="shared" si="72"/>
        <v>101428.57142857143</v>
      </c>
      <c r="U327" s="45">
        <f t="shared" si="73"/>
        <v>115918.36734693879</v>
      </c>
      <c r="V327" s="46">
        <f t="shared" si="74"/>
        <v>0.12500000000000003</v>
      </c>
      <c r="W327" s="45">
        <f t="shared" si="75"/>
        <v>116000</v>
      </c>
      <c r="X327" s="47">
        <f t="shared" si="76"/>
        <v>0.30000000000000004</v>
      </c>
      <c r="Y327" s="48"/>
      <c r="Z327" s="48"/>
      <c r="AA327" s="48"/>
    </row>
    <row r="328" spans="1:27" ht="14.4" hidden="1" customHeight="1">
      <c r="A328" s="56">
        <v>324</v>
      </c>
      <c r="B328" s="36"/>
      <c r="C328" s="75" t="s">
        <v>899</v>
      </c>
      <c r="D328" s="37" t="str">
        <f t="shared" si="77"/>
        <v xml:space="preserve"> 789</v>
      </c>
      <c r="E328" s="38" t="s">
        <v>899</v>
      </c>
      <c r="F328" s="39">
        <f t="shared" si="78"/>
        <v>0</v>
      </c>
      <c r="G328" s="76" t="s">
        <v>340</v>
      </c>
      <c r="H328" s="77" t="s">
        <v>327</v>
      </c>
      <c r="I328" s="77" t="s">
        <v>900</v>
      </c>
      <c r="J328" s="41"/>
      <c r="K328" s="42">
        <f t="shared" si="68"/>
        <v>0</v>
      </c>
      <c r="L328" s="39"/>
      <c r="M328" s="43">
        <f t="shared" si="69"/>
        <v>0</v>
      </c>
      <c r="N328" s="49"/>
      <c r="O328" s="72">
        <f t="shared" si="70"/>
        <v>0</v>
      </c>
      <c r="P328" s="29"/>
      <c r="Q328" s="40"/>
      <c r="R328" s="44"/>
      <c r="S328" s="44">
        <f t="shared" si="71"/>
        <v>0</v>
      </c>
      <c r="T328" s="44">
        <f t="shared" si="72"/>
        <v>0</v>
      </c>
      <c r="U328" s="45">
        <f t="shared" si="73"/>
        <v>0</v>
      </c>
      <c r="V328" s="46" t="e">
        <f t="shared" si="74"/>
        <v>#DIV/0!</v>
      </c>
      <c r="W328" s="45">
        <f t="shared" si="75"/>
        <v>0</v>
      </c>
      <c r="X328" s="47" t="e">
        <f t="shared" si="76"/>
        <v>#DIV/0!</v>
      </c>
      <c r="Y328" s="57">
        <v>102550</v>
      </c>
      <c r="Z328" s="58"/>
      <c r="AA328" s="59"/>
    </row>
    <row r="329" spans="1:27" ht="14.4" hidden="1" customHeight="1">
      <c r="A329" s="56">
        <v>325</v>
      </c>
      <c r="B329" s="36"/>
      <c r="C329" s="73" t="s">
        <v>149</v>
      </c>
      <c r="D329" s="37" t="str">
        <f t="shared" si="77"/>
        <v xml:space="preserve"> 879</v>
      </c>
      <c r="E329" s="38" t="s">
        <v>149</v>
      </c>
      <c r="F329" s="39">
        <f t="shared" si="78"/>
        <v>0</v>
      </c>
      <c r="G329" s="76" t="s">
        <v>335</v>
      </c>
      <c r="H329" s="77" t="s">
        <v>327</v>
      </c>
      <c r="I329" s="77" t="s">
        <v>44</v>
      </c>
      <c r="J329" s="41">
        <v>70000</v>
      </c>
      <c r="K329" s="42">
        <f t="shared" si="68"/>
        <v>8550</v>
      </c>
      <c r="L329" s="39" t="s">
        <v>22</v>
      </c>
      <c r="M329" s="43">
        <f t="shared" si="69"/>
        <v>61450</v>
      </c>
      <c r="N329" s="43">
        <f>2000+5500+600+200+250</f>
        <v>8550</v>
      </c>
      <c r="O329" s="72">
        <f t="shared" si="70"/>
        <v>70000</v>
      </c>
      <c r="P329" s="30"/>
      <c r="Q329" s="40" t="s">
        <v>74</v>
      </c>
      <c r="R329" s="44"/>
      <c r="S329" s="44">
        <f t="shared" si="71"/>
        <v>70000</v>
      </c>
      <c r="T329" s="44">
        <f t="shared" si="72"/>
        <v>100000</v>
      </c>
      <c r="U329" s="45">
        <f t="shared" si="73"/>
        <v>114285.71428571429</v>
      </c>
      <c r="V329" s="46">
        <f t="shared" si="74"/>
        <v>0.12500000000000003</v>
      </c>
      <c r="W329" s="45">
        <f t="shared" si="75"/>
        <v>114300</v>
      </c>
      <c r="X329" s="47">
        <f t="shared" si="76"/>
        <v>0.3</v>
      </c>
      <c r="Y329" s="48"/>
      <c r="Z329" s="48"/>
      <c r="AA329" s="48"/>
    </row>
    <row r="330" spans="1:27" ht="14.4" hidden="1" customHeight="1">
      <c r="A330" s="56">
        <v>326</v>
      </c>
      <c r="B330" s="36"/>
      <c r="C330" s="75" t="s">
        <v>903</v>
      </c>
      <c r="D330" s="37" t="str">
        <f t="shared" si="77"/>
        <v xml:space="preserve"> 203</v>
      </c>
      <c r="E330" s="38" t="s">
        <v>903</v>
      </c>
      <c r="F330" s="39">
        <f t="shared" si="78"/>
        <v>0</v>
      </c>
      <c r="G330" s="76" t="s">
        <v>340</v>
      </c>
      <c r="H330" s="77" t="s">
        <v>327</v>
      </c>
      <c r="I330" s="77" t="s">
        <v>900</v>
      </c>
      <c r="J330" s="41"/>
      <c r="K330" s="42">
        <f t="shared" si="68"/>
        <v>0</v>
      </c>
      <c r="L330" s="39"/>
      <c r="M330" s="43">
        <f t="shared" si="69"/>
        <v>0</v>
      </c>
      <c r="N330" s="43"/>
      <c r="O330" s="72">
        <f t="shared" si="70"/>
        <v>0</v>
      </c>
      <c r="P330" s="30"/>
      <c r="Q330" s="40"/>
      <c r="R330" s="44"/>
      <c r="S330" s="44">
        <f t="shared" si="71"/>
        <v>0</v>
      </c>
      <c r="T330" s="44">
        <f t="shared" si="72"/>
        <v>0</v>
      </c>
      <c r="U330" s="45">
        <f t="shared" si="73"/>
        <v>0</v>
      </c>
      <c r="V330" s="46" t="e">
        <f t="shared" si="74"/>
        <v>#DIV/0!</v>
      </c>
      <c r="W330" s="45">
        <f t="shared" si="75"/>
        <v>0</v>
      </c>
      <c r="X330" s="47" t="e">
        <f t="shared" si="76"/>
        <v>#DIV/0!</v>
      </c>
      <c r="Y330" s="57">
        <v>100100</v>
      </c>
      <c r="Z330" s="58">
        <f>T330-Y330</f>
        <v>-100100</v>
      </c>
      <c r="AA330" s="59">
        <f>Z330/Y330</f>
        <v>-1</v>
      </c>
    </row>
    <row r="331" spans="1:27" ht="14.4" hidden="1" customHeight="1">
      <c r="A331" s="56">
        <v>327</v>
      </c>
      <c r="B331" s="36"/>
      <c r="C331" s="73" t="s">
        <v>147</v>
      </c>
      <c r="D331" s="37" t="str">
        <f t="shared" si="77"/>
        <v xml:space="preserve"> 908</v>
      </c>
      <c r="E331" s="38" t="s">
        <v>147</v>
      </c>
      <c r="F331" s="39">
        <f t="shared" si="78"/>
        <v>0</v>
      </c>
      <c r="G331" s="76" t="s">
        <v>335</v>
      </c>
      <c r="H331" s="77" t="s">
        <v>327</v>
      </c>
      <c r="I331" s="77" t="s">
        <v>44</v>
      </c>
      <c r="J331" s="41">
        <v>65000</v>
      </c>
      <c r="K331" s="42">
        <f t="shared" si="68"/>
        <v>8550</v>
      </c>
      <c r="L331" s="39" t="s">
        <v>22</v>
      </c>
      <c r="M331" s="43">
        <f t="shared" si="69"/>
        <v>56450</v>
      </c>
      <c r="N331" s="43">
        <f>2000+5500+600+200+250</f>
        <v>8550</v>
      </c>
      <c r="O331" s="72">
        <f t="shared" si="70"/>
        <v>65000</v>
      </c>
      <c r="P331" s="29"/>
      <c r="Q331" s="40" t="s">
        <v>74</v>
      </c>
      <c r="R331" s="44"/>
      <c r="S331" s="44">
        <f t="shared" si="71"/>
        <v>65000</v>
      </c>
      <c r="T331" s="44">
        <f t="shared" si="72"/>
        <v>92857.14285714287</v>
      </c>
      <c r="U331" s="45">
        <f t="shared" si="73"/>
        <v>106122.44897959185</v>
      </c>
      <c r="V331" s="46">
        <f t="shared" si="74"/>
        <v>0.12499999999999999</v>
      </c>
      <c r="W331" s="45">
        <f t="shared" si="75"/>
        <v>106200</v>
      </c>
      <c r="X331" s="47">
        <f t="shared" si="76"/>
        <v>0.3000000000000001</v>
      </c>
      <c r="Y331" s="48"/>
      <c r="Z331" s="48"/>
      <c r="AA331" s="48"/>
    </row>
    <row r="332" spans="1:27" ht="14.4" hidden="1" customHeight="1">
      <c r="A332" s="56">
        <v>328</v>
      </c>
      <c r="B332" s="36"/>
      <c r="C332" s="73" t="s">
        <v>194</v>
      </c>
      <c r="D332" s="37" t="str">
        <f t="shared" si="77"/>
        <v xml:space="preserve"> 682</v>
      </c>
      <c r="E332" s="38" t="s">
        <v>194</v>
      </c>
      <c r="F332" s="39">
        <f t="shared" si="78"/>
        <v>0</v>
      </c>
      <c r="G332" s="76" t="s">
        <v>335</v>
      </c>
      <c r="H332" s="77" t="s">
        <v>906</v>
      </c>
      <c r="I332" s="77" t="s">
        <v>38</v>
      </c>
      <c r="J332" s="41">
        <v>72000</v>
      </c>
      <c r="K332" s="42">
        <f t="shared" si="68"/>
        <v>8550</v>
      </c>
      <c r="L332" s="39" t="s">
        <v>22</v>
      </c>
      <c r="M332" s="43">
        <f t="shared" si="69"/>
        <v>63450</v>
      </c>
      <c r="N332" s="43">
        <f>2000+5500+600+200+250</f>
        <v>8550</v>
      </c>
      <c r="O332" s="72">
        <f t="shared" si="70"/>
        <v>72000</v>
      </c>
      <c r="P332" s="29"/>
      <c r="Q332" s="40" t="s">
        <v>74</v>
      </c>
      <c r="R332" s="44"/>
      <c r="S332" s="44">
        <f t="shared" si="71"/>
        <v>72000</v>
      </c>
      <c r="T332" s="44">
        <f t="shared" si="72"/>
        <v>102857.14285714287</v>
      </c>
      <c r="U332" s="45">
        <f t="shared" si="73"/>
        <v>117551.02040816328</v>
      </c>
      <c r="V332" s="46">
        <f t="shared" si="74"/>
        <v>0.12500000000000003</v>
      </c>
      <c r="W332" s="45">
        <f t="shared" si="75"/>
        <v>117600</v>
      </c>
      <c r="X332" s="47">
        <f t="shared" si="76"/>
        <v>0.3000000000000001</v>
      </c>
      <c r="Y332" s="48"/>
      <c r="Z332" s="48"/>
      <c r="AA332" s="50"/>
    </row>
    <row r="333" spans="1:27" ht="14.4" hidden="1" customHeight="1">
      <c r="A333" s="56">
        <v>329</v>
      </c>
      <c r="B333" s="36"/>
      <c r="C333" s="75" t="s">
        <v>908</v>
      </c>
      <c r="D333" s="37" t="str">
        <f t="shared" si="77"/>
        <v xml:space="preserve"> 625</v>
      </c>
      <c r="E333" s="38" t="s">
        <v>908</v>
      </c>
      <c r="F333" s="39">
        <f t="shared" si="78"/>
        <v>0</v>
      </c>
      <c r="G333" s="76" t="s">
        <v>340</v>
      </c>
      <c r="H333" s="77" t="s">
        <v>327</v>
      </c>
      <c r="I333" s="77" t="s">
        <v>909</v>
      </c>
      <c r="J333" s="41"/>
      <c r="K333" s="42">
        <f t="shared" si="68"/>
        <v>0</v>
      </c>
      <c r="L333" s="39"/>
      <c r="M333" s="43">
        <f t="shared" si="69"/>
        <v>0</v>
      </c>
      <c r="N333" s="43"/>
      <c r="O333" s="72">
        <f t="shared" si="70"/>
        <v>0</v>
      </c>
      <c r="P333" s="29"/>
      <c r="Q333" s="40"/>
      <c r="R333" s="44"/>
      <c r="S333" s="44">
        <f t="shared" si="71"/>
        <v>0</v>
      </c>
      <c r="T333" s="44">
        <f t="shared" si="72"/>
        <v>0</v>
      </c>
      <c r="U333" s="45">
        <f t="shared" si="73"/>
        <v>0</v>
      </c>
      <c r="V333" s="46" t="e">
        <f t="shared" si="74"/>
        <v>#DIV/0!</v>
      </c>
      <c r="W333" s="45">
        <f t="shared" si="75"/>
        <v>0</v>
      </c>
      <c r="X333" s="47" t="e">
        <f t="shared" si="76"/>
        <v>#DIV/0!</v>
      </c>
      <c r="Y333" s="57">
        <v>84088</v>
      </c>
      <c r="Z333" s="58">
        <f>T333-Y333</f>
        <v>-84088</v>
      </c>
      <c r="AA333" s="59">
        <f>Z333/Y333</f>
        <v>-1</v>
      </c>
    </row>
    <row r="334" spans="1:27" ht="14.4" hidden="1" customHeight="1">
      <c r="A334" s="56">
        <v>330</v>
      </c>
      <c r="B334" s="36"/>
      <c r="C334" s="75" t="s">
        <v>911</v>
      </c>
      <c r="D334" s="37" t="str">
        <f t="shared" si="77"/>
        <v xml:space="preserve"> 700</v>
      </c>
      <c r="E334" s="38" t="s">
        <v>911</v>
      </c>
      <c r="F334" s="39">
        <f t="shared" si="78"/>
        <v>0</v>
      </c>
      <c r="G334" s="76" t="s">
        <v>335</v>
      </c>
      <c r="H334" s="77" t="s">
        <v>327</v>
      </c>
      <c r="I334" s="77" t="s">
        <v>598</v>
      </c>
      <c r="J334" s="41">
        <v>52500</v>
      </c>
      <c r="K334" s="42">
        <f t="shared" si="68"/>
        <v>8550</v>
      </c>
      <c r="L334" s="39"/>
      <c r="M334" s="43">
        <f t="shared" si="69"/>
        <v>43950</v>
      </c>
      <c r="N334" s="43">
        <f t="shared" ref="N334:N339" si="79">2000+5500+600+200+250</f>
        <v>8550</v>
      </c>
      <c r="O334" s="72">
        <f t="shared" si="70"/>
        <v>52500</v>
      </c>
      <c r="P334" s="29"/>
      <c r="Q334" s="40" t="s">
        <v>1303</v>
      </c>
      <c r="R334" s="44"/>
      <c r="S334" s="44">
        <f t="shared" si="71"/>
        <v>52500</v>
      </c>
      <c r="T334" s="44">
        <f t="shared" si="72"/>
        <v>75000</v>
      </c>
      <c r="U334" s="45">
        <f t="shared" si="73"/>
        <v>85714.28571428571</v>
      </c>
      <c r="V334" s="46">
        <f t="shared" si="74"/>
        <v>0.12499999999999996</v>
      </c>
      <c r="W334" s="45">
        <f t="shared" si="75"/>
        <v>85800</v>
      </c>
      <c r="X334" s="47">
        <f t="shared" si="76"/>
        <v>0.3</v>
      </c>
      <c r="Y334" s="48"/>
      <c r="Z334" s="48"/>
      <c r="AA334" s="50"/>
    </row>
    <row r="335" spans="1:27" ht="14.4" hidden="1" customHeight="1">
      <c r="A335" s="56">
        <v>331</v>
      </c>
      <c r="B335" s="36"/>
      <c r="C335" s="73" t="s">
        <v>151</v>
      </c>
      <c r="D335" s="37" t="str">
        <f t="shared" si="77"/>
        <v xml:space="preserve"> 587</v>
      </c>
      <c r="E335" s="38" t="s">
        <v>151</v>
      </c>
      <c r="F335" s="39">
        <f t="shared" si="78"/>
        <v>0</v>
      </c>
      <c r="G335" s="76" t="s">
        <v>340</v>
      </c>
      <c r="H335" s="77" t="s">
        <v>327</v>
      </c>
      <c r="I335" s="77" t="s">
        <v>44</v>
      </c>
      <c r="J335" s="41">
        <v>62000</v>
      </c>
      <c r="K335" s="42">
        <f t="shared" si="68"/>
        <v>8550</v>
      </c>
      <c r="L335" s="39" t="s">
        <v>22</v>
      </c>
      <c r="M335" s="43">
        <f t="shared" si="69"/>
        <v>53450</v>
      </c>
      <c r="N335" s="43">
        <f t="shared" si="79"/>
        <v>8550</v>
      </c>
      <c r="O335" s="72">
        <f t="shared" si="70"/>
        <v>62000</v>
      </c>
      <c r="P335" s="29"/>
      <c r="Q335" s="40" t="s">
        <v>74</v>
      </c>
      <c r="R335" s="44"/>
      <c r="S335" s="44">
        <f t="shared" si="71"/>
        <v>62000</v>
      </c>
      <c r="T335" s="44">
        <f t="shared" si="72"/>
        <v>88571.42857142858</v>
      </c>
      <c r="U335" s="45">
        <f t="shared" si="73"/>
        <v>101224.48979591837</v>
      </c>
      <c r="V335" s="46">
        <f t="shared" si="74"/>
        <v>0.12499999999999996</v>
      </c>
      <c r="W335" s="45">
        <f t="shared" si="75"/>
        <v>101300</v>
      </c>
      <c r="X335" s="47">
        <f t="shared" si="76"/>
        <v>0.30000000000000004</v>
      </c>
      <c r="Y335" s="57">
        <v>86013</v>
      </c>
      <c r="Z335" s="58">
        <f>T335-Y335</f>
        <v>2558.4285714285797</v>
      </c>
      <c r="AA335" s="59">
        <f>Z335/Y335</f>
        <v>2.9744673147414691E-2</v>
      </c>
    </row>
    <row r="336" spans="1:27" ht="14.4" hidden="1" customHeight="1">
      <c r="A336" s="56">
        <v>332</v>
      </c>
      <c r="B336" s="36"/>
      <c r="C336" s="73" t="s">
        <v>191</v>
      </c>
      <c r="D336" s="37" t="str">
        <f t="shared" si="77"/>
        <v xml:space="preserve"> 444</v>
      </c>
      <c r="E336" s="38" t="s">
        <v>191</v>
      </c>
      <c r="F336" s="39">
        <f t="shared" si="78"/>
        <v>0</v>
      </c>
      <c r="G336" s="76" t="s">
        <v>335</v>
      </c>
      <c r="H336" s="77" t="s">
        <v>327</v>
      </c>
      <c r="I336" s="77" t="s">
        <v>38</v>
      </c>
      <c r="J336" s="41">
        <v>67000</v>
      </c>
      <c r="K336" s="42">
        <f t="shared" si="68"/>
        <v>8550</v>
      </c>
      <c r="L336" s="39" t="s">
        <v>22</v>
      </c>
      <c r="M336" s="43">
        <f t="shared" si="69"/>
        <v>58450</v>
      </c>
      <c r="N336" s="43">
        <f t="shared" si="79"/>
        <v>8550</v>
      </c>
      <c r="O336" s="72">
        <f t="shared" si="70"/>
        <v>67000</v>
      </c>
      <c r="P336" s="30"/>
      <c r="Q336" s="40" t="s">
        <v>74</v>
      </c>
      <c r="R336" s="44"/>
      <c r="S336" s="44">
        <f t="shared" si="71"/>
        <v>67000</v>
      </c>
      <c r="T336" s="44">
        <f t="shared" si="72"/>
        <v>95714.285714285725</v>
      </c>
      <c r="U336" s="45">
        <f t="shared" si="73"/>
        <v>109387.75510204083</v>
      </c>
      <c r="V336" s="46">
        <f t="shared" si="74"/>
        <v>0.125</v>
      </c>
      <c r="W336" s="45">
        <f t="shared" si="75"/>
        <v>109400</v>
      </c>
      <c r="X336" s="47">
        <f t="shared" si="76"/>
        <v>0.3000000000000001</v>
      </c>
      <c r="Y336" s="48"/>
      <c r="Z336" s="48"/>
      <c r="AA336" s="50"/>
    </row>
    <row r="337" spans="1:27" ht="14.4" hidden="1" customHeight="1">
      <c r="A337" s="56">
        <v>333</v>
      </c>
      <c r="B337" s="36"/>
      <c r="C337" s="73" t="s">
        <v>190</v>
      </c>
      <c r="D337" s="37" t="str">
        <f t="shared" si="77"/>
        <v xml:space="preserve"> 699</v>
      </c>
      <c r="E337" s="38" t="s">
        <v>190</v>
      </c>
      <c r="F337" s="39">
        <f t="shared" si="78"/>
        <v>0</v>
      </c>
      <c r="G337" s="76" t="s">
        <v>340</v>
      </c>
      <c r="H337" s="77" t="s">
        <v>327</v>
      </c>
      <c r="I337" s="77" t="s">
        <v>38</v>
      </c>
      <c r="J337" s="41">
        <v>52000</v>
      </c>
      <c r="K337" s="42">
        <f t="shared" si="68"/>
        <v>8550</v>
      </c>
      <c r="L337" s="39" t="s">
        <v>22</v>
      </c>
      <c r="M337" s="43">
        <f t="shared" si="69"/>
        <v>43450</v>
      </c>
      <c r="N337" s="43">
        <f t="shared" si="79"/>
        <v>8550</v>
      </c>
      <c r="O337" s="72">
        <f t="shared" si="70"/>
        <v>52000</v>
      </c>
      <c r="P337" s="29"/>
      <c r="Q337" s="40" t="s">
        <v>74</v>
      </c>
      <c r="R337" s="44"/>
      <c r="S337" s="44">
        <f t="shared" si="71"/>
        <v>52000</v>
      </c>
      <c r="T337" s="44">
        <f t="shared" si="72"/>
        <v>74285.71428571429</v>
      </c>
      <c r="U337" s="45">
        <f t="shared" si="73"/>
        <v>84897.959183673476</v>
      </c>
      <c r="V337" s="46">
        <f t="shared" si="74"/>
        <v>0.12500000000000003</v>
      </c>
      <c r="W337" s="45">
        <f t="shared" si="75"/>
        <v>84900</v>
      </c>
      <c r="X337" s="47">
        <f t="shared" si="76"/>
        <v>0.30000000000000004</v>
      </c>
      <c r="Y337" s="57">
        <v>77613</v>
      </c>
      <c r="Z337" s="58">
        <f>T337-Y337</f>
        <v>-3327.2857142857101</v>
      </c>
      <c r="AA337" s="59">
        <f>Z337/Y337</f>
        <v>-4.287021136002616E-2</v>
      </c>
    </row>
    <row r="338" spans="1:27" ht="14.4" hidden="1" customHeight="1">
      <c r="A338" s="56">
        <v>334</v>
      </c>
      <c r="B338" s="36"/>
      <c r="C338" s="73" t="s">
        <v>148</v>
      </c>
      <c r="D338" s="37" t="str">
        <f t="shared" si="77"/>
        <v xml:space="preserve"> 904</v>
      </c>
      <c r="E338" s="38" t="s">
        <v>148</v>
      </c>
      <c r="F338" s="39">
        <f t="shared" si="78"/>
        <v>0</v>
      </c>
      <c r="G338" s="76" t="s">
        <v>335</v>
      </c>
      <c r="H338" s="77" t="s">
        <v>327</v>
      </c>
      <c r="I338" s="77" t="s">
        <v>44</v>
      </c>
      <c r="J338" s="41">
        <v>65000</v>
      </c>
      <c r="K338" s="42">
        <f t="shared" si="68"/>
        <v>8550</v>
      </c>
      <c r="L338" s="39" t="s">
        <v>22</v>
      </c>
      <c r="M338" s="43">
        <f t="shared" si="69"/>
        <v>56450</v>
      </c>
      <c r="N338" s="43">
        <f t="shared" si="79"/>
        <v>8550</v>
      </c>
      <c r="O338" s="72">
        <f t="shared" si="70"/>
        <v>65000</v>
      </c>
      <c r="P338" s="29"/>
      <c r="Q338" s="40" t="s">
        <v>74</v>
      </c>
      <c r="R338" s="44"/>
      <c r="S338" s="44">
        <f t="shared" si="71"/>
        <v>65000</v>
      </c>
      <c r="T338" s="44">
        <f t="shared" si="72"/>
        <v>92857.14285714287</v>
      </c>
      <c r="U338" s="45">
        <f t="shared" si="73"/>
        <v>106122.44897959185</v>
      </c>
      <c r="V338" s="46">
        <f t="shared" si="74"/>
        <v>0.12499999999999999</v>
      </c>
      <c r="W338" s="45">
        <f t="shared" si="75"/>
        <v>106200</v>
      </c>
      <c r="X338" s="47">
        <f t="shared" si="76"/>
        <v>0.3000000000000001</v>
      </c>
      <c r="Y338" s="48"/>
      <c r="Z338" s="48"/>
      <c r="AA338" s="50"/>
    </row>
    <row r="339" spans="1:27" ht="14.4" hidden="1" customHeight="1">
      <c r="A339" s="56">
        <v>335</v>
      </c>
      <c r="B339" s="36"/>
      <c r="C339" s="73" t="s">
        <v>195</v>
      </c>
      <c r="D339" s="37" t="str">
        <f t="shared" si="77"/>
        <v xml:space="preserve"> 677</v>
      </c>
      <c r="E339" s="38" t="s">
        <v>195</v>
      </c>
      <c r="F339" s="39">
        <f t="shared" si="78"/>
        <v>0</v>
      </c>
      <c r="G339" s="76" t="s">
        <v>340</v>
      </c>
      <c r="H339" s="77" t="s">
        <v>327</v>
      </c>
      <c r="I339" s="77" t="s">
        <v>38</v>
      </c>
      <c r="J339" s="41">
        <v>68000</v>
      </c>
      <c r="K339" s="42">
        <f t="shared" si="68"/>
        <v>8550</v>
      </c>
      <c r="L339" s="39" t="s">
        <v>22</v>
      </c>
      <c r="M339" s="43">
        <f t="shared" si="69"/>
        <v>59450</v>
      </c>
      <c r="N339" s="43">
        <f t="shared" si="79"/>
        <v>8550</v>
      </c>
      <c r="O339" s="72">
        <f t="shared" si="70"/>
        <v>68000</v>
      </c>
      <c r="P339" s="29"/>
      <c r="Q339" s="40" t="s">
        <v>74</v>
      </c>
      <c r="R339" s="44"/>
      <c r="S339" s="44">
        <f t="shared" si="71"/>
        <v>68000</v>
      </c>
      <c r="T339" s="44">
        <f t="shared" si="72"/>
        <v>97142.857142857145</v>
      </c>
      <c r="U339" s="45">
        <f t="shared" si="73"/>
        <v>111020.40816326531</v>
      </c>
      <c r="V339" s="46">
        <f t="shared" si="74"/>
        <v>0.12500000000000003</v>
      </c>
      <c r="W339" s="45">
        <f t="shared" si="75"/>
        <v>111100</v>
      </c>
      <c r="X339" s="47">
        <f t="shared" si="76"/>
        <v>0.3</v>
      </c>
      <c r="Y339" s="57">
        <v>92050</v>
      </c>
      <c r="Z339" s="58">
        <f>T339-Y339</f>
        <v>5092.8571428571449</v>
      </c>
      <c r="AA339" s="59">
        <f>Z339/Y339</f>
        <v>5.532707379529761E-2</v>
      </c>
    </row>
    <row r="340" spans="1:27" ht="14.4" hidden="1" customHeight="1">
      <c r="A340" s="56">
        <v>336</v>
      </c>
      <c r="B340" s="36"/>
      <c r="C340" s="73" t="s">
        <v>197</v>
      </c>
      <c r="D340" s="37" t="str">
        <f t="shared" si="77"/>
        <v xml:space="preserve"> 859</v>
      </c>
      <c r="E340" s="38" t="s">
        <v>197</v>
      </c>
      <c r="F340" s="39">
        <f t="shared" si="78"/>
        <v>0</v>
      </c>
      <c r="G340" s="76" t="s">
        <v>335</v>
      </c>
      <c r="H340" s="77" t="s">
        <v>327</v>
      </c>
      <c r="I340" s="77" t="s">
        <v>38</v>
      </c>
      <c r="J340" s="41">
        <v>52000</v>
      </c>
      <c r="K340" s="42">
        <f t="shared" si="68"/>
        <v>9050</v>
      </c>
      <c r="L340" s="39" t="s">
        <v>22</v>
      </c>
      <c r="M340" s="43">
        <f t="shared" si="69"/>
        <v>42950</v>
      </c>
      <c r="N340" s="43">
        <f>2000+5500+600+200+250+500</f>
        <v>9050</v>
      </c>
      <c r="O340" s="72">
        <f t="shared" si="70"/>
        <v>52000</v>
      </c>
      <c r="P340" s="29"/>
      <c r="Q340" s="40" t="s">
        <v>75</v>
      </c>
      <c r="R340" s="44"/>
      <c r="S340" s="44">
        <f t="shared" si="71"/>
        <v>52000</v>
      </c>
      <c r="T340" s="44">
        <f t="shared" si="72"/>
        <v>74285.71428571429</v>
      </c>
      <c r="U340" s="45">
        <f t="shared" si="73"/>
        <v>84897.959183673476</v>
      </c>
      <c r="V340" s="46">
        <f t="shared" si="74"/>
        <v>0.12500000000000003</v>
      </c>
      <c r="W340" s="45">
        <f t="shared" si="75"/>
        <v>84900</v>
      </c>
      <c r="X340" s="47">
        <f t="shared" si="76"/>
        <v>0.30000000000000004</v>
      </c>
      <c r="Y340" s="48"/>
      <c r="Z340" s="48"/>
      <c r="AA340" s="50"/>
    </row>
    <row r="341" spans="1:27" ht="14.4" hidden="1" customHeight="1">
      <c r="A341" s="56">
        <v>337</v>
      </c>
      <c r="B341" s="36"/>
      <c r="C341" s="73" t="s">
        <v>214</v>
      </c>
      <c r="D341" s="37" t="str">
        <f t="shared" si="77"/>
        <v xml:space="preserve"> 706</v>
      </c>
      <c r="E341" s="38" t="s">
        <v>214</v>
      </c>
      <c r="F341" s="39">
        <f t="shared" si="78"/>
        <v>0</v>
      </c>
      <c r="G341" s="76" t="s">
        <v>340</v>
      </c>
      <c r="H341" s="77" t="s">
        <v>919</v>
      </c>
      <c r="I341" s="77" t="s">
        <v>67</v>
      </c>
      <c r="J341" s="41">
        <v>57500</v>
      </c>
      <c r="K341" s="42">
        <f t="shared" si="68"/>
        <v>8550</v>
      </c>
      <c r="L341" s="39" t="s">
        <v>22</v>
      </c>
      <c r="M341" s="43">
        <f t="shared" si="69"/>
        <v>48950</v>
      </c>
      <c r="N341" s="49">
        <f>2000+5500+600+200+250</f>
        <v>8550</v>
      </c>
      <c r="O341" s="72">
        <f t="shared" si="70"/>
        <v>57500</v>
      </c>
      <c r="P341" s="29"/>
      <c r="Q341" s="40" t="s">
        <v>74</v>
      </c>
      <c r="R341" s="44"/>
      <c r="S341" s="44">
        <f t="shared" si="71"/>
        <v>57500</v>
      </c>
      <c r="T341" s="44">
        <f t="shared" si="72"/>
        <v>82142.857142857145</v>
      </c>
      <c r="U341" s="45">
        <f t="shared" si="73"/>
        <v>93877.551020408166</v>
      </c>
      <c r="V341" s="46">
        <f t="shared" si="74"/>
        <v>0.125</v>
      </c>
      <c r="W341" s="45">
        <f t="shared" si="75"/>
        <v>93900</v>
      </c>
      <c r="X341" s="47">
        <f t="shared" si="76"/>
        <v>0.30000000000000004</v>
      </c>
      <c r="Y341" s="57">
        <v>83038</v>
      </c>
      <c r="Z341" s="58">
        <f>T341-Y341</f>
        <v>-895.14285714285506</v>
      </c>
      <c r="AA341" s="59">
        <f>Z341/Y341</f>
        <v>-1.0779918316226969E-2</v>
      </c>
    </row>
    <row r="342" spans="1:27" ht="14.4" hidden="1" customHeight="1">
      <c r="A342" s="56">
        <v>338</v>
      </c>
      <c r="B342" s="36"/>
      <c r="C342" s="73" t="s">
        <v>212</v>
      </c>
      <c r="D342" s="37" t="str">
        <f t="shared" si="77"/>
        <v xml:space="preserve"> 481</v>
      </c>
      <c r="E342" s="38" t="s">
        <v>212</v>
      </c>
      <c r="F342" s="39">
        <f t="shared" si="78"/>
        <v>0</v>
      </c>
      <c r="G342" s="76" t="s">
        <v>335</v>
      </c>
      <c r="H342" s="77" t="s">
        <v>919</v>
      </c>
      <c r="I342" s="77" t="s">
        <v>67</v>
      </c>
      <c r="J342" s="41">
        <v>57500</v>
      </c>
      <c r="K342" s="42">
        <f t="shared" si="68"/>
        <v>8550</v>
      </c>
      <c r="L342" s="39" t="s">
        <v>22</v>
      </c>
      <c r="M342" s="43">
        <f t="shared" si="69"/>
        <v>48950</v>
      </c>
      <c r="N342" s="49">
        <f>2000+5500+600+200+250</f>
        <v>8550</v>
      </c>
      <c r="O342" s="72">
        <f t="shared" si="70"/>
        <v>57500</v>
      </c>
      <c r="P342" s="29"/>
      <c r="Q342" s="40" t="s">
        <v>74</v>
      </c>
      <c r="R342" s="44"/>
      <c r="S342" s="44">
        <f t="shared" si="71"/>
        <v>57500</v>
      </c>
      <c r="T342" s="44">
        <f t="shared" si="72"/>
        <v>82142.857142857145</v>
      </c>
      <c r="U342" s="45">
        <f t="shared" si="73"/>
        <v>93877.551020408166</v>
      </c>
      <c r="V342" s="46">
        <f t="shared" si="74"/>
        <v>0.125</v>
      </c>
      <c r="W342" s="45">
        <f t="shared" si="75"/>
        <v>93900</v>
      </c>
      <c r="X342" s="47">
        <f t="shared" si="76"/>
        <v>0.30000000000000004</v>
      </c>
      <c r="Y342" s="48"/>
      <c r="Z342" s="48"/>
      <c r="AA342" s="50"/>
    </row>
    <row r="343" spans="1:27" ht="14.4" hidden="1" customHeight="1">
      <c r="A343" s="56">
        <v>339</v>
      </c>
      <c r="B343" s="36"/>
      <c r="C343" s="73" t="s">
        <v>128</v>
      </c>
      <c r="D343" s="37" t="str">
        <f t="shared" si="77"/>
        <v xml:space="preserve"> 219</v>
      </c>
      <c r="E343" s="38" t="s">
        <v>128</v>
      </c>
      <c r="F343" s="39">
        <f t="shared" si="78"/>
        <v>0</v>
      </c>
      <c r="G343" s="76" t="s">
        <v>340</v>
      </c>
      <c r="H343" s="77" t="s">
        <v>919</v>
      </c>
      <c r="I343" s="77" t="s">
        <v>40</v>
      </c>
      <c r="J343" s="41">
        <v>55000</v>
      </c>
      <c r="K343" s="42">
        <f t="shared" si="68"/>
        <v>9050</v>
      </c>
      <c r="L343" s="39" t="s">
        <v>22</v>
      </c>
      <c r="M343" s="43">
        <f t="shared" si="69"/>
        <v>45950</v>
      </c>
      <c r="N343" s="43">
        <f>2000+5500+600+200+250+500</f>
        <v>9050</v>
      </c>
      <c r="O343" s="72">
        <f t="shared" si="70"/>
        <v>55000</v>
      </c>
      <c r="P343" s="29"/>
      <c r="Q343" s="40" t="s">
        <v>77</v>
      </c>
      <c r="R343" s="44"/>
      <c r="S343" s="44">
        <f t="shared" si="71"/>
        <v>55000</v>
      </c>
      <c r="T343" s="44">
        <f t="shared" si="72"/>
        <v>78571.42857142858</v>
      </c>
      <c r="U343" s="45">
        <f t="shared" si="73"/>
        <v>89795.918367346952</v>
      </c>
      <c r="V343" s="46">
        <f t="shared" si="74"/>
        <v>0.12500000000000003</v>
      </c>
      <c r="W343" s="45">
        <f t="shared" si="75"/>
        <v>89800</v>
      </c>
      <c r="X343" s="47">
        <f t="shared" si="76"/>
        <v>0.3000000000000001</v>
      </c>
      <c r="Y343" s="57">
        <v>88038</v>
      </c>
      <c r="Z343" s="58">
        <f>T343-Y343</f>
        <v>-9466.5714285714203</v>
      </c>
      <c r="AA343" s="59">
        <f>Z343/Y343</f>
        <v>-0.10752824267442945</v>
      </c>
    </row>
    <row r="344" spans="1:27" ht="14.4" hidden="1" customHeight="1">
      <c r="A344" s="56">
        <v>340</v>
      </c>
      <c r="B344" s="36"/>
      <c r="C344" s="75" t="s">
        <v>923</v>
      </c>
      <c r="D344" s="37" t="str">
        <f t="shared" si="77"/>
        <v xml:space="preserve"> 131</v>
      </c>
      <c r="E344" s="38" t="s">
        <v>923</v>
      </c>
      <c r="F344" s="39">
        <f t="shared" si="78"/>
        <v>0</v>
      </c>
      <c r="G344" s="76" t="s">
        <v>340</v>
      </c>
      <c r="H344" s="77" t="s">
        <v>919</v>
      </c>
      <c r="I344" s="77" t="s">
        <v>598</v>
      </c>
      <c r="J344" s="41">
        <v>66000</v>
      </c>
      <c r="K344" s="42">
        <f t="shared" si="68"/>
        <v>8550</v>
      </c>
      <c r="L344" s="39" t="s">
        <v>22</v>
      </c>
      <c r="M344" s="43">
        <f t="shared" si="69"/>
        <v>57450</v>
      </c>
      <c r="N344" s="43">
        <f>2000+5500+600+200+250</f>
        <v>8550</v>
      </c>
      <c r="O344" s="72">
        <f t="shared" si="70"/>
        <v>66000</v>
      </c>
      <c r="P344" s="29"/>
      <c r="Q344" s="40" t="s">
        <v>1303</v>
      </c>
      <c r="R344" s="44"/>
      <c r="S344" s="44">
        <f t="shared" si="71"/>
        <v>66000</v>
      </c>
      <c r="T344" s="44">
        <f t="shared" si="72"/>
        <v>94285.71428571429</v>
      </c>
      <c r="U344" s="45">
        <f t="shared" si="73"/>
        <v>107755.10204081633</v>
      </c>
      <c r="V344" s="46">
        <f t="shared" si="74"/>
        <v>0.125</v>
      </c>
      <c r="W344" s="45">
        <f t="shared" si="75"/>
        <v>107800</v>
      </c>
      <c r="X344" s="47">
        <f t="shared" si="76"/>
        <v>0.30000000000000004</v>
      </c>
      <c r="Y344" s="57">
        <v>92050</v>
      </c>
      <c r="Z344" s="58">
        <f>T344-Y344</f>
        <v>2235.7142857142899</v>
      </c>
      <c r="AA344" s="59">
        <f>Z344/Y344</f>
        <v>2.4288042213082998E-2</v>
      </c>
    </row>
    <row r="345" spans="1:27" ht="14.4" hidden="1" customHeight="1">
      <c r="A345" s="56">
        <v>341</v>
      </c>
      <c r="B345" s="36"/>
      <c r="C345" s="73" t="s">
        <v>217</v>
      </c>
      <c r="D345" s="37" t="str">
        <f t="shared" si="77"/>
        <v xml:space="preserve"> 847</v>
      </c>
      <c r="E345" s="38" t="s">
        <v>217</v>
      </c>
      <c r="F345" s="39">
        <f t="shared" si="78"/>
        <v>0</v>
      </c>
      <c r="G345" s="76" t="s">
        <v>335</v>
      </c>
      <c r="H345" s="77" t="s">
        <v>919</v>
      </c>
      <c r="I345" s="77" t="s">
        <v>67</v>
      </c>
      <c r="J345" s="41">
        <v>57500</v>
      </c>
      <c r="K345" s="42">
        <f t="shared" si="68"/>
        <v>8550</v>
      </c>
      <c r="L345" s="39" t="s">
        <v>22</v>
      </c>
      <c r="M345" s="43">
        <f t="shared" si="69"/>
        <v>48950</v>
      </c>
      <c r="N345" s="49">
        <f>2000+5500+600+200+250</f>
        <v>8550</v>
      </c>
      <c r="O345" s="72">
        <f t="shared" si="70"/>
        <v>57500</v>
      </c>
      <c r="P345" s="29"/>
      <c r="Q345" s="40" t="s">
        <v>74</v>
      </c>
      <c r="R345" s="44"/>
      <c r="S345" s="44">
        <f t="shared" si="71"/>
        <v>57500</v>
      </c>
      <c r="T345" s="44">
        <f t="shared" si="72"/>
        <v>82142.857142857145</v>
      </c>
      <c r="U345" s="45">
        <f t="shared" si="73"/>
        <v>93877.551020408166</v>
      </c>
      <c r="V345" s="46">
        <f t="shared" si="74"/>
        <v>0.125</v>
      </c>
      <c r="W345" s="45">
        <f t="shared" si="75"/>
        <v>93900</v>
      </c>
      <c r="X345" s="47">
        <f t="shared" si="76"/>
        <v>0.30000000000000004</v>
      </c>
      <c r="Y345" s="48"/>
      <c r="Z345" s="48"/>
      <c r="AA345" s="50"/>
    </row>
    <row r="346" spans="1:27" ht="14.4" hidden="1" customHeight="1">
      <c r="A346" s="56">
        <v>342</v>
      </c>
      <c r="B346" s="36"/>
      <c r="C346" s="73" t="s">
        <v>130</v>
      </c>
      <c r="D346" s="37" t="str">
        <f t="shared" si="77"/>
        <v xml:space="preserve"> 973</v>
      </c>
      <c r="E346" s="38" t="s">
        <v>130</v>
      </c>
      <c r="F346" s="39">
        <f t="shared" si="78"/>
        <v>0</v>
      </c>
      <c r="G346" s="76" t="s">
        <v>340</v>
      </c>
      <c r="H346" s="77" t="s">
        <v>919</v>
      </c>
      <c r="I346" s="77" t="s">
        <v>40</v>
      </c>
      <c r="J346" s="41">
        <v>54500</v>
      </c>
      <c r="K346" s="42">
        <f t="shared" si="68"/>
        <v>9050</v>
      </c>
      <c r="L346" s="39" t="s">
        <v>22</v>
      </c>
      <c r="M346" s="43">
        <f t="shared" si="69"/>
        <v>45450</v>
      </c>
      <c r="N346" s="43">
        <f>2000+5500+600+200+250+500</f>
        <v>9050</v>
      </c>
      <c r="O346" s="72">
        <f t="shared" si="70"/>
        <v>54500</v>
      </c>
      <c r="P346" s="29"/>
      <c r="Q346" s="40" t="s">
        <v>77</v>
      </c>
      <c r="R346" s="44"/>
      <c r="S346" s="44">
        <f t="shared" si="71"/>
        <v>54500</v>
      </c>
      <c r="T346" s="44">
        <f t="shared" si="72"/>
        <v>77857.142857142855</v>
      </c>
      <c r="U346" s="45">
        <f t="shared" si="73"/>
        <v>88979.591836734689</v>
      </c>
      <c r="V346" s="46">
        <f t="shared" si="74"/>
        <v>0.12499999999999999</v>
      </c>
      <c r="W346" s="45">
        <f t="shared" si="75"/>
        <v>89000</v>
      </c>
      <c r="X346" s="47">
        <f t="shared" si="76"/>
        <v>0.3</v>
      </c>
      <c r="Y346" s="57">
        <v>95500</v>
      </c>
      <c r="Z346" s="58">
        <f>T346-Y346</f>
        <v>-17642.857142857145</v>
      </c>
      <c r="AA346" s="59">
        <f>Z346/Y346</f>
        <v>-0.18474195961106957</v>
      </c>
    </row>
    <row r="347" spans="1:27" ht="14.4" hidden="1" customHeight="1">
      <c r="A347" s="56">
        <v>343</v>
      </c>
      <c r="B347" s="36"/>
      <c r="C347" s="73" t="s">
        <v>213</v>
      </c>
      <c r="D347" s="37" t="str">
        <f t="shared" si="77"/>
        <v xml:space="preserve"> 249</v>
      </c>
      <c r="E347" s="38" t="s">
        <v>213</v>
      </c>
      <c r="F347" s="39">
        <f t="shared" si="78"/>
        <v>0</v>
      </c>
      <c r="G347" s="76" t="s">
        <v>335</v>
      </c>
      <c r="H347" s="77" t="s">
        <v>906</v>
      </c>
      <c r="I347" s="77" t="s">
        <v>67</v>
      </c>
      <c r="J347" s="41">
        <v>57500</v>
      </c>
      <c r="K347" s="42">
        <f t="shared" si="68"/>
        <v>8550</v>
      </c>
      <c r="L347" s="39" t="s">
        <v>22</v>
      </c>
      <c r="M347" s="43">
        <f t="shared" si="69"/>
        <v>48950</v>
      </c>
      <c r="N347" s="49">
        <f>2000+5500+600+200+250</f>
        <v>8550</v>
      </c>
      <c r="O347" s="72">
        <f t="shared" si="70"/>
        <v>57500</v>
      </c>
      <c r="P347" s="29"/>
      <c r="Q347" s="40" t="s">
        <v>74</v>
      </c>
      <c r="R347" s="44"/>
      <c r="S347" s="44">
        <f t="shared" si="71"/>
        <v>57500</v>
      </c>
      <c r="T347" s="44">
        <f t="shared" si="72"/>
        <v>82142.857142857145</v>
      </c>
      <c r="U347" s="45">
        <f t="shared" si="73"/>
        <v>93877.551020408166</v>
      </c>
      <c r="V347" s="46">
        <f t="shared" si="74"/>
        <v>0.125</v>
      </c>
      <c r="W347" s="45">
        <f t="shared" si="75"/>
        <v>93900</v>
      </c>
      <c r="X347" s="47">
        <f t="shared" si="76"/>
        <v>0.30000000000000004</v>
      </c>
      <c r="Y347" s="48"/>
      <c r="Z347" s="48"/>
      <c r="AA347" s="48"/>
    </row>
    <row r="348" spans="1:27" ht="14.4" hidden="1" customHeight="1">
      <c r="A348" s="56">
        <v>344</v>
      </c>
      <c r="B348" s="36"/>
      <c r="C348" s="73" t="s">
        <v>129</v>
      </c>
      <c r="D348" s="37" t="str">
        <f t="shared" si="77"/>
        <v xml:space="preserve"> 514</v>
      </c>
      <c r="E348" s="38" t="s">
        <v>129</v>
      </c>
      <c r="F348" s="39">
        <f t="shared" si="78"/>
        <v>0</v>
      </c>
      <c r="G348" s="76" t="s">
        <v>340</v>
      </c>
      <c r="H348" s="77" t="s">
        <v>906</v>
      </c>
      <c r="I348" s="77" t="s">
        <v>40</v>
      </c>
      <c r="J348" s="41">
        <v>53500</v>
      </c>
      <c r="K348" s="42">
        <f t="shared" si="68"/>
        <v>9050</v>
      </c>
      <c r="L348" s="39" t="s">
        <v>22</v>
      </c>
      <c r="M348" s="43">
        <f t="shared" si="69"/>
        <v>44450</v>
      </c>
      <c r="N348" s="43">
        <f>2000+5500+600+200+250+500</f>
        <v>9050</v>
      </c>
      <c r="O348" s="72">
        <f t="shared" si="70"/>
        <v>53500</v>
      </c>
      <c r="P348" s="29"/>
      <c r="Q348" s="40" t="s">
        <v>77</v>
      </c>
      <c r="R348" s="44"/>
      <c r="S348" s="44">
        <f t="shared" si="71"/>
        <v>53500</v>
      </c>
      <c r="T348" s="44">
        <f t="shared" si="72"/>
        <v>76428.571428571435</v>
      </c>
      <c r="U348" s="45">
        <f t="shared" si="73"/>
        <v>87346.938775510207</v>
      </c>
      <c r="V348" s="46">
        <f t="shared" si="74"/>
        <v>0.12499999999999996</v>
      </c>
      <c r="W348" s="45">
        <f t="shared" si="75"/>
        <v>87400</v>
      </c>
      <c r="X348" s="47">
        <f t="shared" si="76"/>
        <v>0.30000000000000004</v>
      </c>
      <c r="Y348" s="57">
        <v>79013</v>
      </c>
      <c r="Z348" s="58">
        <f>T348-Y348</f>
        <v>-2584.4285714285652</v>
      </c>
      <c r="AA348" s="59">
        <f>Z348/Y348</f>
        <v>-3.2708903236537849E-2</v>
      </c>
    </row>
    <row r="349" spans="1:27" ht="14.4" hidden="1" customHeight="1">
      <c r="A349" s="56">
        <v>345</v>
      </c>
      <c r="B349" s="36"/>
      <c r="C349" s="75" t="s">
        <v>379</v>
      </c>
      <c r="D349" s="37" t="str">
        <f t="shared" si="77"/>
        <v/>
      </c>
      <c r="E349" s="38" t="s">
        <v>379</v>
      </c>
      <c r="F349" s="39">
        <f t="shared" si="78"/>
        <v>0</v>
      </c>
      <c r="G349" s="76"/>
      <c r="H349" s="77"/>
      <c r="I349" s="77"/>
      <c r="J349" s="41"/>
      <c r="K349" s="42">
        <f t="shared" si="68"/>
        <v>0</v>
      </c>
      <c r="L349" s="39"/>
      <c r="M349" s="43">
        <f t="shared" si="69"/>
        <v>0</v>
      </c>
      <c r="N349" s="43"/>
      <c r="O349" s="72">
        <f t="shared" si="70"/>
        <v>0</v>
      </c>
      <c r="P349" s="29"/>
      <c r="Q349" s="40"/>
      <c r="R349" s="44"/>
      <c r="S349" s="44">
        <f t="shared" si="71"/>
        <v>0</v>
      </c>
      <c r="T349" s="44">
        <f t="shared" si="72"/>
        <v>0</v>
      </c>
      <c r="U349" s="45">
        <f t="shared" si="73"/>
        <v>0</v>
      </c>
      <c r="V349" s="46" t="e">
        <f t="shared" si="74"/>
        <v>#DIV/0!</v>
      </c>
      <c r="W349" s="45">
        <f t="shared" si="75"/>
        <v>0</v>
      </c>
      <c r="X349" s="47" t="e">
        <f t="shared" si="76"/>
        <v>#DIV/0!</v>
      </c>
      <c r="Y349" s="57"/>
      <c r="Z349" s="58"/>
      <c r="AA349" s="59"/>
    </row>
    <row r="350" spans="1:27" ht="14.4" hidden="1" customHeight="1">
      <c r="A350" s="56">
        <v>346</v>
      </c>
      <c r="B350" s="36"/>
      <c r="C350" s="73" t="s">
        <v>243</v>
      </c>
      <c r="D350" s="37" t="str">
        <f t="shared" si="77"/>
        <v xml:space="preserve"> 279</v>
      </c>
      <c r="E350" s="38" t="s">
        <v>243</v>
      </c>
      <c r="F350" s="39">
        <f t="shared" si="78"/>
        <v>0</v>
      </c>
      <c r="G350" s="76" t="s">
        <v>335</v>
      </c>
      <c r="H350" s="77" t="s">
        <v>929</v>
      </c>
      <c r="I350" s="77" t="s">
        <v>68</v>
      </c>
      <c r="J350" s="41">
        <v>72000</v>
      </c>
      <c r="K350" s="42">
        <f t="shared" si="68"/>
        <v>8650</v>
      </c>
      <c r="L350" s="39" t="s">
        <v>22</v>
      </c>
      <c r="M350" s="43">
        <f t="shared" si="69"/>
        <v>63350</v>
      </c>
      <c r="N350" s="49">
        <f>2000+5100+600+200+250+500</f>
        <v>8650</v>
      </c>
      <c r="O350" s="72">
        <f t="shared" si="70"/>
        <v>72000</v>
      </c>
      <c r="P350" s="29"/>
      <c r="Q350" s="40" t="s">
        <v>88</v>
      </c>
      <c r="R350" s="44"/>
      <c r="S350" s="44">
        <f t="shared" si="71"/>
        <v>72000</v>
      </c>
      <c r="T350" s="44">
        <f t="shared" si="72"/>
        <v>102857.14285714287</v>
      </c>
      <c r="U350" s="45">
        <f t="shared" si="73"/>
        <v>117551.02040816328</v>
      </c>
      <c r="V350" s="46">
        <f t="shared" si="74"/>
        <v>0.12500000000000003</v>
      </c>
      <c r="W350" s="45">
        <f t="shared" si="75"/>
        <v>117600</v>
      </c>
      <c r="X350" s="47">
        <f t="shared" si="76"/>
        <v>0.3000000000000001</v>
      </c>
      <c r="Y350" s="48"/>
      <c r="Z350" s="48"/>
      <c r="AA350" s="48"/>
    </row>
    <row r="351" spans="1:27" ht="14.4" hidden="1" customHeight="1">
      <c r="A351" s="56">
        <v>347</v>
      </c>
      <c r="B351" s="36"/>
      <c r="C351" s="73" t="s">
        <v>187</v>
      </c>
      <c r="D351" s="37" t="str">
        <f t="shared" si="77"/>
        <v xml:space="preserve"> 288</v>
      </c>
      <c r="E351" s="38" t="s">
        <v>187</v>
      </c>
      <c r="F351" s="39">
        <f t="shared" si="78"/>
        <v>0</v>
      </c>
      <c r="G351" s="76" t="s">
        <v>340</v>
      </c>
      <c r="H351" s="77" t="s">
        <v>929</v>
      </c>
      <c r="I351" s="77" t="s">
        <v>61</v>
      </c>
      <c r="J351" s="41">
        <v>65000</v>
      </c>
      <c r="K351" s="42">
        <f t="shared" si="68"/>
        <v>8400</v>
      </c>
      <c r="L351" s="39" t="s">
        <v>22</v>
      </c>
      <c r="M351" s="43">
        <f t="shared" si="69"/>
        <v>56600</v>
      </c>
      <c r="N351" s="49">
        <f>2000+4850+600+200+250+500</f>
        <v>8400</v>
      </c>
      <c r="O351" s="72">
        <f t="shared" si="70"/>
        <v>65000</v>
      </c>
      <c r="P351" s="29"/>
      <c r="Q351" s="40" t="s">
        <v>86</v>
      </c>
      <c r="R351" s="44"/>
      <c r="S351" s="44">
        <f t="shared" si="71"/>
        <v>65000</v>
      </c>
      <c r="T351" s="44">
        <f t="shared" si="72"/>
        <v>92857.14285714287</v>
      </c>
      <c r="U351" s="45">
        <f t="shared" si="73"/>
        <v>106122.44897959185</v>
      </c>
      <c r="V351" s="46">
        <f t="shared" si="74"/>
        <v>0.12499999999999999</v>
      </c>
      <c r="W351" s="45">
        <f t="shared" si="75"/>
        <v>106200</v>
      </c>
      <c r="X351" s="47">
        <f t="shared" si="76"/>
        <v>0.3000000000000001</v>
      </c>
      <c r="Y351" s="57">
        <v>94063</v>
      </c>
      <c r="Z351" s="58">
        <f>T351-Y351</f>
        <v>-1205.8571428571304</v>
      </c>
      <c r="AA351" s="59">
        <f>Z351/Y351</f>
        <v>-1.281967556698309E-2</v>
      </c>
    </row>
    <row r="352" spans="1:27" ht="14.4" hidden="1" customHeight="1">
      <c r="A352" s="56">
        <v>348</v>
      </c>
      <c r="B352" s="36"/>
      <c r="C352" s="75" t="s">
        <v>932</v>
      </c>
      <c r="D352" s="37" t="str">
        <f t="shared" si="77"/>
        <v xml:space="preserve"> 903</v>
      </c>
      <c r="E352" s="38" t="s">
        <v>932</v>
      </c>
      <c r="F352" s="39">
        <f t="shared" si="78"/>
        <v>0</v>
      </c>
      <c r="G352" s="76" t="s">
        <v>335</v>
      </c>
      <c r="H352" s="77" t="s">
        <v>929</v>
      </c>
      <c r="I352" s="77" t="s">
        <v>933</v>
      </c>
      <c r="J352" s="41">
        <v>71500</v>
      </c>
      <c r="K352" s="42">
        <f t="shared" si="68"/>
        <v>8750</v>
      </c>
      <c r="L352" s="39" t="s">
        <v>22</v>
      </c>
      <c r="M352" s="43">
        <f t="shared" si="69"/>
        <v>62750</v>
      </c>
      <c r="N352" s="49">
        <f>2000+5200+600+200+250+500</f>
        <v>8750</v>
      </c>
      <c r="O352" s="72">
        <f t="shared" si="70"/>
        <v>71500</v>
      </c>
      <c r="P352" s="29"/>
      <c r="Q352" s="40" t="s">
        <v>1305</v>
      </c>
      <c r="R352" s="44"/>
      <c r="S352" s="44">
        <f t="shared" si="71"/>
        <v>71500</v>
      </c>
      <c r="T352" s="44">
        <f t="shared" si="72"/>
        <v>102142.85714285714</v>
      </c>
      <c r="U352" s="45">
        <f t="shared" si="73"/>
        <v>116734.69387755102</v>
      </c>
      <c r="V352" s="46">
        <f t="shared" si="74"/>
        <v>0.12499999999999999</v>
      </c>
      <c r="W352" s="45">
        <f t="shared" si="75"/>
        <v>116800</v>
      </c>
      <c r="X352" s="47">
        <f t="shared" si="76"/>
        <v>0.3</v>
      </c>
      <c r="Y352" s="57"/>
      <c r="Z352" s="58"/>
      <c r="AA352" s="59"/>
    </row>
    <row r="353" spans="1:27" ht="14.4" hidden="1" customHeight="1">
      <c r="A353" s="56">
        <v>349</v>
      </c>
      <c r="B353" s="36"/>
      <c r="C353" s="75" t="s">
        <v>935</v>
      </c>
      <c r="D353" s="37" t="str">
        <f t="shared" si="77"/>
        <v xml:space="preserve"> 161</v>
      </c>
      <c r="E353" s="38" t="s">
        <v>935</v>
      </c>
      <c r="F353" s="39">
        <f t="shared" si="78"/>
        <v>0</v>
      </c>
      <c r="G353" s="76" t="s">
        <v>340</v>
      </c>
      <c r="H353" s="77" t="s">
        <v>929</v>
      </c>
      <c r="I353" s="77" t="s">
        <v>936</v>
      </c>
      <c r="J353" s="41"/>
      <c r="K353" s="42">
        <f t="shared" si="68"/>
        <v>0</v>
      </c>
      <c r="L353" s="39" t="s">
        <v>22</v>
      </c>
      <c r="M353" s="43">
        <f t="shared" si="69"/>
        <v>0</v>
      </c>
      <c r="N353" s="49"/>
      <c r="O353" s="72">
        <f t="shared" si="70"/>
        <v>0</v>
      </c>
      <c r="P353" s="29"/>
      <c r="Q353" s="40"/>
      <c r="R353" s="44"/>
      <c r="S353" s="44">
        <f t="shared" si="71"/>
        <v>0</v>
      </c>
      <c r="T353" s="44">
        <f t="shared" si="72"/>
        <v>0</v>
      </c>
      <c r="U353" s="45">
        <f t="shared" si="73"/>
        <v>0</v>
      </c>
      <c r="V353" s="46" t="e">
        <f t="shared" si="74"/>
        <v>#DIV/0!</v>
      </c>
      <c r="W353" s="45">
        <f t="shared" si="75"/>
        <v>0</v>
      </c>
      <c r="X353" s="47" t="e">
        <f t="shared" si="76"/>
        <v>#DIV/0!</v>
      </c>
      <c r="Y353" s="57">
        <v>94063</v>
      </c>
      <c r="Z353" s="58"/>
      <c r="AA353" s="59"/>
    </row>
    <row r="354" spans="1:27" ht="14.4" hidden="1" customHeight="1">
      <c r="A354" s="56">
        <v>350</v>
      </c>
      <c r="B354" s="36"/>
      <c r="C354" s="75" t="s">
        <v>938</v>
      </c>
      <c r="D354" s="37" t="str">
        <f t="shared" si="77"/>
        <v xml:space="preserve"> 986</v>
      </c>
      <c r="E354" s="38" t="s">
        <v>938</v>
      </c>
      <c r="F354" s="39">
        <f t="shared" si="78"/>
        <v>0</v>
      </c>
      <c r="G354" s="76" t="s">
        <v>335</v>
      </c>
      <c r="H354" s="77" t="s">
        <v>726</v>
      </c>
      <c r="I354" s="77" t="s">
        <v>939</v>
      </c>
      <c r="J354" s="41">
        <v>71500</v>
      </c>
      <c r="K354" s="42">
        <f t="shared" si="68"/>
        <v>9250</v>
      </c>
      <c r="L354" s="39" t="s">
        <v>22</v>
      </c>
      <c r="M354" s="43">
        <f t="shared" si="69"/>
        <v>62250</v>
      </c>
      <c r="N354" s="49">
        <f>2000+5200+600+200+250+1000</f>
        <v>9250</v>
      </c>
      <c r="O354" s="72">
        <f t="shared" si="70"/>
        <v>71500</v>
      </c>
      <c r="P354" s="29"/>
      <c r="Q354" s="40" t="s">
        <v>1313</v>
      </c>
      <c r="R354" s="44"/>
      <c r="S354" s="44">
        <f t="shared" si="71"/>
        <v>71500</v>
      </c>
      <c r="T354" s="44">
        <f t="shared" si="72"/>
        <v>102142.85714285714</v>
      </c>
      <c r="U354" s="45">
        <f t="shared" si="73"/>
        <v>116734.69387755102</v>
      </c>
      <c r="V354" s="46">
        <f t="shared" si="74"/>
        <v>0.12499999999999999</v>
      </c>
      <c r="W354" s="45">
        <f t="shared" si="75"/>
        <v>116800</v>
      </c>
      <c r="X354" s="47">
        <f t="shared" si="76"/>
        <v>0.3</v>
      </c>
      <c r="Y354" s="57"/>
      <c r="Z354" s="58"/>
      <c r="AA354" s="59"/>
    </row>
    <row r="355" spans="1:27" ht="14.4" hidden="1" customHeight="1">
      <c r="A355" s="56">
        <v>351</v>
      </c>
      <c r="B355" s="36"/>
      <c r="C355" s="73" t="s">
        <v>186</v>
      </c>
      <c r="D355" s="37" t="str">
        <f t="shared" si="77"/>
        <v xml:space="preserve"> 122</v>
      </c>
      <c r="E355" s="38" t="s">
        <v>186</v>
      </c>
      <c r="F355" s="39">
        <f t="shared" si="78"/>
        <v>0</v>
      </c>
      <c r="G355" s="76" t="s">
        <v>340</v>
      </c>
      <c r="H355" s="77" t="s">
        <v>929</v>
      </c>
      <c r="I355" s="77" t="s">
        <v>61</v>
      </c>
      <c r="J355" s="41">
        <v>70000</v>
      </c>
      <c r="K355" s="42">
        <f t="shared" si="68"/>
        <v>8400</v>
      </c>
      <c r="L355" s="39" t="s">
        <v>22</v>
      </c>
      <c r="M355" s="43">
        <f t="shared" si="69"/>
        <v>61600</v>
      </c>
      <c r="N355" s="49">
        <f>2000+4850+600+200+250+500</f>
        <v>8400</v>
      </c>
      <c r="O355" s="72">
        <f t="shared" si="70"/>
        <v>70000</v>
      </c>
      <c r="P355" s="29"/>
      <c r="Q355" s="40" t="s">
        <v>86</v>
      </c>
      <c r="R355" s="44"/>
      <c r="S355" s="44">
        <f t="shared" si="71"/>
        <v>70000</v>
      </c>
      <c r="T355" s="44">
        <f t="shared" si="72"/>
        <v>100000</v>
      </c>
      <c r="U355" s="45">
        <f t="shared" si="73"/>
        <v>114285.71428571429</v>
      </c>
      <c r="V355" s="46">
        <f t="shared" si="74"/>
        <v>0.12500000000000003</v>
      </c>
      <c r="W355" s="45">
        <f t="shared" si="75"/>
        <v>114300</v>
      </c>
      <c r="X355" s="47">
        <f t="shared" si="76"/>
        <v>0.3</v>
      </c>
      <c r="Y355" s="57">
        <v>99050</v>
      </c>
      <c r="Z355" s="58">
        <f>T355-Y355</f>
        <v>950</v>
      </c>
      <c r="AA355" s="59">
        <f>Z355/Y355</f>
        <v>9.5911155981827367E-3</v>
      </c>
    </row>
    <row r="356" spans="1:27" ht="14.4" hidden="1" customHeight="1">
      <c r="A356" s="56">
        <v>352</v>
      </c>
      <c r="B356" s="36"/>
      <c r="C356" s="75" t="s">
        <v>942</v>
      </c>
      <c r="D356" s="37" t="str">
        <f t="shared" si="77"/>
        <v xml:space="preserve"> 454</v>
      </c>
      <c r="E356" s="38" t="s">
        <v>942</v>
      </c>
      <c r="F356" s="39">
        <f t="shared" si="78"/>
        <v>0</v>
      </c>
      <c r="G356" s="76" t="s">
        <v>335</v>
      </c>
      <c r="H356" s="77" t="s">
        <v>1391</v>
      </c>
      <c r="I356" s="77" t="s">
        <v>773</v>
      </c>
      <c r="J356" s="41">
        <v>75000</v>
      </c>
      <c r="K356" s="42">
        <f t="shared" si="68"/>
        <v>9250</v>
      </c>
      <c r="L356" s="39" t="s">
        <v>22</v>
      </c>
      <c r="M356" s="43">
        <f t="shared" si="69"/>
        <v>65750</v>
      </c>
      <c r="N356" s="49">
        <f>2000+5200+600+200+250+1000</f>
        <v>9250</v>
      </c>
      <c r="O356" s="72">
        <f t="shared" si="70"/>
        <v>75000</v>
      </c>
      <c r="P356" s="29"/>
      <c r="Q356" s="40" t="s">
        <v>1313</v>
      </c>
      <c r="R356" s="44"/>
      <c r="S356" s="44">
        <f t="shared" si="71"/>
        <v>75000</v>
      </c>
      <c r="T356" s="44">
        <f t="shared" si="72"/>
        <v>107142.85714285714</v>
      </c>
      <c r="U356" s="45">
        <f t="shared" si="73"/>
        <v>122448.97959183673</v>
      </c>
      <c r="V356" s="46">
        <f t="shared" si="74"/>
        <v>0.12499999999999996</v>
      </c>
      <c r="W356" s="45">
        <f t="shared" si="75"/>
        <v>122500</v>
      </c>
      <c r="X356" s="47">
        <f t="shared" si="76"/>
        <v>0.3</v>
      </c>
      <c r="Y356" s="57"/>
      <c r="Z356" s="58"/>
      <c r="AA356" s="59"/>
    </row>
    <row r="357" spans="1:27" ht="14.4" hidden="1" customHeight="1">
      <c r="A357" s="56">
        <v>353</v>
      </c>
      <c r="B357" s="36"/>
      <c r="C357" s="73" t="s">
        <v>207</v>
      </c>
      <c r="D357" s="37" t="str">
        <f t="shared" si="77"/>
        <v xml:space="preserve"> 201</v>
      </c>
      <c r="E357" s="38" t="s">
        <v>207</v>
      </c>
      <c r="F357" s="39">
        <f t="shared" si="78"/>
        <v>0</v>
      </c>
      <c r="G357" s="76" t="s">
        <v>340</v>
      </c>
      <c r="H357" s="77" t="s">
        <v>929</v>
      </c>
      <c r="I357" s="77" t="s">
        <v>64</v>
      </c>
      <c r="J357" s="41">
        <v>66500</v>
      </c>
      <c r="K357" s="42">
        <f t="shared" si="68"/>
        <v>9750</v>
      </c>
      <c r="L357" s="39" t="s">
        <v>22</v>
      </c>
      <c r="M357" s="43">
        <f t="shared" si="69"/>
        <v>56750</v>
      </c>
      <c r="N357" s="49">
        <f>2000+5200+600+200+250+500+1000</f>
        <v>9750</v>
      </c>
      <c r="O357" s="72">
        <f t="shared" si="70"/>
        <v>66500</v>
      </c>
      <c r="P357" s="29"/>
      <c r="Q357" s="40" t="s">
        <v>89</v>
      </c>
      <c r="R357" s="44"/>
      <c r="S357" s="44">
        <f t="shared" si="71"/>
        <v>66500</v>
      </c>
      <c r="T357" s="44">
        <f t="shared" si="72"/>
        <v>95000</v>
      </c>
      <c r="U357" s="45">
        <f t="shared" si="73"/>
        <v>108571.42857142857</v>
      </c>
      <c r="V357" s="46">
        <f t="shared" si="74"/>
        <v>0.12499999999999994</v>
      </c>
      <c r="W357" s="45">
        <f t="shared" si="75"/>
        <v>108600</v>
      </c>
      <c r="X357" s="47">
        <f t="shared" si="76"/>
        <v>0.3</v>
      </c>
      <c r="Y357" s="57">
        <v>93013</v>
      </c>
      <c r="Z357" s="58">
        <f>T357-Y357</f>
        <v>1987</v>
      </c>
      <c r="AA357" s="59">
        <f>Z357/Y357</f>
        <v>2.13626052272263E-2</v>
      </c>
    </row>
    <row r="358" spans="1:27" ht="14.4" hidden="1" customHeight="1">
      <c r="A358" s="56">
        <v>354</v>
      </c>
      <c r="B358" s="36"/>
      <c r="C358" s="73" t="s">
        <v>260</v>
      </c>
      <c r="D358" s="37" t="str">
        <f t="shared" si="77"/>
        <v xml:space="preserve"> 725</v>
      </c>
      <c r="E358" s="38" t="s">
        <v>260</v>
      </c>
      <c r="F358" s="39">
        <f t="shared" si="78"/>
        <v>0</v>
      </c>
      <c r="G358" s="76" t="s">
        <v>335</v>
      </c>
      <c r="H358" s="77" t="s">
        <v>929</v>
      </c>
      <c r="I358" s="77" t="s">
        <v>946</v>
      </c>
      <c r="J358" s="41">
        <v>67000</v>
      </c>
      <c r="K358" s="42">
        <f t="shared" si="68"/>
        <v>9250</v>
      </c>
      <c r="L358" s="39" t="s">
        <v>22</v>
      </c>
      <c r="M358" s="43">
        <f t="shared" si="69"/>
        <v>57750</v>
      </c>
      <c r="N358" s="43">
        <f>2000+5200+600+200+250+1000</f>
        <v>9250</v>
      </c>
      <c r="O358" s="72">
        <f t="shared" si="70"/>
        <v>67000</v>
      </c>
      <c r="P358" s="29"/>
      <c r="Q358" s="40" t="s">
        <v>84</v>
      </c>
      <c r="R358" s="53"/>
      <c r="S358" s="44">
        <f t="shared" si="71"/>
        <v>67000</v>
      </c>
      <c r="T358" s="44">
        <f t="shared" si="72"/>
        <v>95714.285714285725</v>
      </c>
      <c r="U358" s="45">
        <f t="shared" si="73"/>
        <v>109387.75510204083</v>
      </c>
      <c r="V358" s="46">
        <f t="shared" si="74"/>
        <v>0.125</v>
      </c>
      <c r="W358" s="45">
        <f t="shared" si="75"/>
        <v>109400</v>
      </c>
      <c r="X358" s="47">
        <f t="shared" si="76"/>
        <v>0.3000000000000001</v>
      </c>
      <c r="Y358" s="54"/>
      <c r="Z358" s="54"/>
      <c r="AA358" s="55"/>
    </row>
    <row r="359" spans="1:27" ht="14.4" hidden="1" customHeight="1">
      <c r="A359" s="56">
        <v>355</v>
      </c>
      <c r="B359" s="36"/>
      <c r="C359" s="75" t="s">
        <v>948</v>
      </c>
      <c r="D359" s="37" t="str">
        <f t="shared" si="77"/>
        <v xml:space="preserve"> 275</v>
      </c>
      <c r="E359" s="38" t="s">
        <v>948</v>
      </c>
      <c r="F359" s="39">
        <f t="shared" si="78"/>
        <v>0</v>
      </c>
      <c r="G359" s="76" t="s">
        <v>340</v>
      </c>
      <c r="H359" s="77" t="s">
        <v>929</v>
      </c>
      <c r="I359" s="77" t="s">
        <v>949</v>
      </c>
      <c r="J359" s="41"/>
      <c r="K359" s="42">
        <f t="shared" si="68"/>
        <v>0</v>
      </c>
      <c r="L359" s="39"/>
      <c r="M359" s="43">
        <f t="shared" si="69"/>
        <v>0</v>
      </c>
      <c r="N359" s="43"/>
      <c r="O359" s="72">
        <f t="shared" si="70"/>
        <v>0</v>
      </c>
      <c r="P359" s="29"/>
      <c r="Q359" s="40"/>
      <c r="R359" s="53"/>
      <c r="S359" s="44">
        <f t="shared" si="71"/>
        <v>0</v>
      </c>
      <c r="T359" s="44">
        <f t="shared" si="72"/>
        <v>0</v>
      </c>
      <c r="U359" s="45">
        <f t="shared" si="73"/>
        <v>0</v>
      </c>
      <c r="V359" s="46" t="e">
        <f t="shared" si="74"/>
        <v>#DIV/0!</v>
      </c>
      <c r="W359" s="45">
        <f t="shared" si="75"/>
        <v>0</v>
      </c>
      <c r="X359" s="47" t="e">
        <f t="shared" si="76"/>
        <v>#DIV/0!</v>
      </c>
      <c r="Y359" s="57">
        <v>93013</v>
      </c>
      <c r="Z359" s="58">
        <f>T359-Y359</f>
        <v>-93013</v>
      </c>
      <c r="AA359" s="59">
        <f>Z359/Y359</f>
        <v>-1</v>
      </c>
    </row>
    <row r="360" spans="1:27" ht="14.4" hidden="1" customHeight="1">
      <c r="A360" s="56">
        <v>356</v>
      </c>
      <c r="B360" s="36"/>
      <c r="C360" s="73" t="s">
        <v>261</v>
      </c>
      <c r="D360" s="37" t="str">
        <f t="shared" si="77"/>
        <v xml:space="preserve"> 187</v>
      </c>
      <c r="E360" s="38" t="s">
        <v>261</v>
      </c>
      <c r="F360" s="39">
        <f t="shared" si="78"/>
        <v>0</v>
      </c>
      <c r="G360" s="76" t="s">
        <v>335</v>
      </c>
      <c r="H360" s="77" t="s">
        <v>951</v>
      </c>
      <c r="I360" s="77" t="s">
        <v>290</v>
      </c>
      <c r="J360" s="41">
        <v>72500</v>
      </c>
      <c r="K360" s="42">
        <f t="shared" si="68"/>
        <v>10050</v>
      </c>
      <c r="L360" s="39" t="s">
        <v>22</v>
      </c>
      <c r="M360" s="43">
        <f t="shared" si="69"/>
        <v>62450</v>
      </c>
      <c r="N360" s="43">
        <f>2000+5100+600+200+250+1000+900</f>
        <v>10050</v>
      </c>
      <c r="O360" s="72">
        <f t="shared" si="70"/>
        <v>72500</v>
      </c>
      <c r="P360" s="29"/>
      <c r="Q360" s="40" t="s">
        <v>299</v>
      </c>
      <c r="R360" s="53"/>
      <c r="S360" s="44">
        <f t="shared" si="71"/>
        <v>72500</v>
      </c>
      <c r="T360" s="44">
        <f t="shared" si="72"/>
        <v>103571.42857142858</v>
      </c>
      <c r="U360" s="45">
        <f t="shared" si="73"/>
        <v>118367.34693877552</v>
      </c>
      <c r="V360" s="46">
        <f t="shared" si="74"/>
        <v>0.12499999999999999</v>
      </c>
      <c r="W360" s="45">
        <f t="shared" si="75"/>
        <v>118400</v>
      </c>
      <c r="X360" s="47">
        <f t="shared" si="76"/>
        <v>0.30000000000000004</v>
      </c>
      <c r="Y360" s="54"/>
      <c r="Z360" s="54"/>
      <c r="AA360" s="55"/>
    </row>
    <row r="361" spans="1:27" ht="14.4" hidden="1" customHeight="1">
      <c r="A361" s="56">
        <v>357</v>
      </c>
      <c r="B361" s="36"/>
      <c r="C361" s="75" t="s">
        <v>953</v>
      </c>
      <c r="D361" s="37" t="str">
        <f t="shared" si="77"/>
        <v xml:space="preserve"> 129</v>
      </c>
      <c r="E361" s="38" t="s">
        <v>953</v>
      </c>
      <c r="F361" s="39">
        <f t="shared" si="78"/>
        <v>0</v>
      </c>
      <c r="G361" s="76" t="s">
        <v>340</v>
      </c>
      <c r="H361" s="77" t="s">
        <v>929</v>
      </c>
      <c r="I361" s="77" t="s">
        <v>939</v>
      </c>
      <c r="J361" s="41">
        <v>69500</v>
      </c>
      <c r="K361" s="42">
        <f t="shared" si="68"/>
        <v>8750</v>
      </c>
      <c r="L361" s="39" t="s">
        <v>22</v>
      </c>
      <c r="M361" s="43">
        <f t="shared" si="69"/>
        <v>60750</v>
      </c>
      <c r="N361" s="43">
        <f>2000+5200+600+200+250+500</f>
        <v>8750</v>
      </c>
      <c r="O361" s="72">
        <f t="shared" si="70"/>
        <v>69500</v>
      </c>
      <c r="P361" s="29"/>
      <c r="Q361" s="40" t="s">
        <v>1318</v>
      </c>
      <c r="R361" s="53"/>
      <c r="S361" s="44">
        <f t="shared" si="71"/>
        <v>69500</v>
      </c>
      <c r="T361" s="44">
        <f t="shared" si="72"/>
        <v>99285.71428571429</v>
      </c>
      <c r="U361" s="45">
        <f t="shared" si="73"/>
        <v>113469.38775510204</v>
      </c>
      <c r="V361" s="46">
        <f t="shared" si="74"/>
        <v>0.12499999999999997</v>
      </c>
      <c r="W361" s="45">
        <f t="shared" si="75"/>
        <v>113500</v>
      </c>
      <c r="X361" s="47">
        <f t="shared" si="76"/>
        <v>0.30000000000000004</v>
      </c>
      <c r="Y361" s="57">
        <v>96075</v>
      </c>
      <c r="Z361" s="58">
        <f>T361-Y361</f>
        <v>3210.7142857142899</v>
      </c>
      <c r="AA361" s="59">
        <f>Z361/Y361</f>
        <v>3.3418832013679831E-2</v>
      </c>
    </row>
    <row r="362" spans="1:27" ht="14.4" hidden="1" customHeight="1">
      <c r="A362" s="56">
        <v>358</v>
      </c>
      <c r="B362" s="36"/>
      <c r="C362" s="75" t="s">
        <v>955</v>
      </c>
      <c r="D362" s="37" t="str">
        <f t="shared" si="77"/>
        <v xml:space="preserve"> 846</v>
      </c>
      <c r="E362" s="38" t="s">
        <v>955</v>
      </c>
      <c r="F362" s="39">
        <f t="shared" si="78"/>
        <v>0</v>
      </c>
      <c r="G362" s="76" t="s">
        <v>335</v>
      </c>
      <c r="H362" s="77" t="s">
        <v>929</v>
      </c>
      <c r="I362" s="77" t="s">
        <v>956</v>
      </c>
      <c r="J362" s="41">
        <v>70000</v>
      </c>
      <c r="K362" s="42">
        <f t="shared" si="68"/>
        <v>7900</v>
      </c>
      <c r="L362" s="39" t="s">
        <v>22</v>
      </c>
      <c r="M362" s="43">
        <f t="shared" si="69"/>
        <v>62100</v>
      </c>
      <c r="N362" s="43">
        <f>2000+4850+600+200+250</f>
        <v>7900</v>
      </c>
      <c r="O362" s="72">
        <f t="shared" si="70"/>
        <v>70000</v>
      </c>
      <c r="P362" s="29"/>
      <c r="Q362" s="40" t="s">
        <v>1306</v>
      </c>
      <c r="R362" s="53"/>
      <c r="S362" s="44">
        <f t="shared" si="71"/>
        <v>70000</v>
      </c>
      <c r="T362" s="44">
        <f t="shared" si="72"/>
        <v>100000</v>
      </c>
      <c r="U362" s="45">
        <f t="shared" si="73"/>
        <v>114285.71428571429</v>
      </c>
      <c r="V362" s="46">
        <f t="shared" si="74"/>
        <v>0.12500000000000003</v>
      </c>
      <c r="W362" s="45">
        <f t="shared" si="75"/>
        <v>114300</v>
      </c>
      <c r="X362" s="47">
        <f t="shared" si="76"/>
        <v>0.3</v>
      </c>
      <c r="Y362" s="54"/>
      <c r="Z362" s="54"/>
      <c r="AA362" s="55"/>
    </row>
    <row r="363" spans="1:27" ht="14.4" hidden="1" customHeight="1">
      <c r="A363" s="56">
        <v>359</v>
      </c>
      <c r="B363" s="36"/>
      <c r="C363" s="75" t="s">
        <v>958</v>
      </c>
      <c r="D363" s="37" t="str">
        <f t="shared" si="77"/>
        <v xml:space="preserve"> 260</v>
      </c>
      <c r="E363" s="38" t="s">
        <v>958</v>
      </c>
      <c r="F363" s="39">
        <f t="shared" si="78"/>
        <v>0</v>
      </c>
      <c r="G363" s="76" t="s">
        <v>335</v>
      </c>
      <c r="H363" s="77" t="s">
        <v>929</v>
      </c>
      <c r="I363" s="77" t="s">
        <v>959</v>
      </c>
      <c r="J363" s="41">
        <v>70000</v>
      </c>
      <c r="K363" s="42">
        <f t="shared" si="68"/>
        <v>8900</v>
      </c>
      <c r="L363" s="39" t="s">
        <v>22</v>
      </c>
      <c r="M363" s="43">
        <f t="shared" si="69"/>
        <v>61100</v>
      </c>
      <c r="N363" s="43">
        <f>2000+4850+600+200+250+1000</f>
        <v>8900</v>
      </c>
      <c r="O363" s="72">
        <f t="shared" si="70"/>
        <v>70000</v>
      </c>
      <c r="P363" s="29"/>
      <c r="Q363" s="40" t="s">
        <v>1337</v>
      </c>
      <c r="R363" s="53"/>
      <c r="S363" s="44">
        <f t="shared" si="71"/>
        <v>70000</v>
      </c>
      <c r="T363" s="44">
        <f t="shared" si="72"/>
        <v>100000</v>
      </c>
      <c r="U363" s="45">
        <f t="shared" si="73"/>
        <v>114285.71428571429</v>
      </c>
      <c r="V363" s="46">
        <f t="shared" si="74"/>
        <v>0.12500000000000003</v>
      </c>
      <c r="W363" s="45">
        <f t="shared" si="75"/>
        <v>114300</v>
      </c>
      <c r="X363" s="47">
        <f t="shared" si="76"/>
        <v>0.3</v>
      </c>
      <c r="Y363" s="54"/>
      <c r="Z363" s="54"/>
      <c r="AA363" s="55"/>
    </row>
    <row r="364" spans="1:27" ht="14.4" hidden="1" customHeight="1">
      <c r="A364" s="56">
        <v>360</v>
      </c>
      <c r="B364" s="36"/>
      <c r="C364" s="73" t="s">
        <v>114</v>
      </c>
      <c r="D364" s="37" t="str">
        <f t="shared" si="77"/>
        <v xml:space="preserve"> 828</v>
      </c>
      <c r="E364" s="38" t="s">
        <v>114</v>
      </c>
      <c r="F364" s="39">
        <f t="shared" si="78"/>
        <v>0</v>
      </c>
      <c r="G364" s="76" t="s">
        <v>335</v>
      </c>
      <c r="H364" s="77" t="s">
        <v>943</v>
      </c>
      <c r="I364" s="77" t="s">
        <v>415</v>
      </c>
      <c r="J364" s="41">
        <v>69000</v>
      </c>
      <c r="K364" s="42">
        <f t="shared" si="68"/>
        <v>8900</v>
      </c>
      <c r="L364" s="39" t="s">
        <v>22</v>
      </c>
      <c r="M364" s="43">
        <f t="shared" si="69"/>
        <v>60100</v>
      </c>
      <c r="N364" s="43">
        <f>2000+4850+600+200+250+1000</f>
        <v>8900</v>
      </c>
      <c r="O364" s="72">
        <f t="shared" si="70"/>
        <v>69000</v>
      </c>
      <c r="P364" s="30"/>
      <c r="Q364" s="40" t="s">
        <v>73</v>
      </c>
      <c r="R364" s="44"/>
      <c r="S364" s="44">
        <f t="shared" si="71"/>
        <v>69000</v>
      </c>
      <c r="T364" s="44">
        <f t="shared" si="72"/>
        <v>98571.42857142858</v>
      </c>
      <c r="U364" s="45">
        <f t="shared" si="73"/>
        <v>112653.06122448981</v>
      </c>
      <c r="V364" s="46">
        <f t="shared" si="74"/>
        <v>0.12500000000000003</v>
      </c>
      <c r="W364" s="45">
        <f t="shared" si="75"/>
        <v>112700</v>
      </c>
      <c r="X364" s="47">
        <f t="shared" si="76"/>
        <v>0.30000000000000004</v>
      </c>
      <c r="Y364" s="48"/>
      <c r="Z364" s="48"/>
      <c r="AA364" s="50"/>
    </row>
    <row r="365" spans="1:27" ht="14.4" hidden="1" customHeight="1">
      <c r="A365" s="56">
        <v>361</v>
      </c>
      <c r="B365" s="36"/>
      <c r="C365" s="75" t="s">
        <v>962</v>
      </c>
      <c r="D365" s="37" t="str">
        <f t="shared" si="77"/>
        <v xml:space="preserve"> 483</v>
      </c>
      <c r="E365" s="38" t="s">
        <v>962</v>
      </c>
      <c r="F365" s="39">
        <f t="shared" si="78"/>
        <v>0</v>
      </c>
      <c r="G365" s="76" t="s">
        <v>335</v>
      </c>
      <c r="H365" s="77" t="s">
        <v>951</v>
      </c>
      <c r="I365" s="77" t="s">
        <v>963</v>
      </c>
      <c r="J365" s="41">
        <v>56000</v>
      </c>
      <c r="K365" s="42">
        <f t="shared" si="68"/>
        <v>8400</v>
      </c>
      <c r="L365" s="39" t="s">
        <v>22</v>
      </c>
      <c r="M365" s="43">
        <f t="shared" si="69"/>
        <v>47600</v>
      </c>
      <c r="N365" s="43">
        <f>2000+4850+600+200+250+500</f>
        <v>8400</v>
      </c>
      <c r="O365" s="72">
        <f t="shared" si="70"/>
        <v>56000</v>
      </c>
      <c r="P365" s="30"/>
      <c r="Q365" s="40" t="s">
        <v>1336</v>
      </c>
      <c r="R365" s="44"/>
      <c r="S365" s="44">
        <f t="shared" si="71"/>
        <v>56000</v>
      </c>
      <c r="T365" s="44">
        <f t="shared" si="72"/>
        <v>80000</v>
      </c>
      <c r="U365" s="45">
        <f t="shared" si="73"/>
        <v>91428.571428571435</v>
      </c>
      <c r="V365" s="46">
        <f t="shared" si="74"/>
        <v>0.12500000000000006</v>
      </c>
      <c r="W365" s="45">
        <f t="shared" si="75"/>
        <v>91500</v>
      </c>
      <c r="X365" s="47">
        <f t="shared" si="76"/>
        <v>0.3</v>
      </c>
      <c r="Y365" s="48"/>
      <c r="Z365" s="48"/>
      <c r="AA365" s="50"/>
    </row>
    <row r="366" spans="1:27" ht="14.4" hidden="1" customHeight="1">
      <c r="A366" s="56">
        <v>362</v>
      </c>
      <c r="B366" s="36"/>
      <c r="C366" s="73" t="s">
        <v>137</v>
      </c>
      <c r="D366" s="37" t="str">
        <f t="shared" si="77"/>
        <v xml:space="preserve"> 916</v>
      </c>
      <c r="E366" s="38" t="s">
        <v>137</v>
      </c>
      <c r="F366" s="39">
        <f t="shared" si="78"/>
        <v>0</v>
      </c>
      <c r="G366" s="76" t="s">
        <v>340</v>
      </c>
      <c r="H366" s="77" t="s">
        <v>965</v>
      </c>
      <c r="I366" s="77" t="s">
        <v>41</v>
      </c>
      <c r="J366" s="41">
        <v>57500</v>
      </c>
      <c r="K366" s="42">
        <f t="shared" si="68"/>
        <v>7900</v>
      </c>
      <c r="L366" s="39" t="s">
        <v>22</v>
      </c>
      <c r="M366" s="43">
        <f t="shared" si="69"/>
        <v>49600</v>
      </c>
      <c r="N366" s="43">
        <f>2000+4850+600+200+250</f>
        <v>7900</v>
      </c>
      <c r="O366" s="72">
        <f t="shared" si="70"/>
        <v>57500</v>
      </c>
      <c r="P366" s="29"/>
      <c r="Q366" s="40" t="s">
        <v>72</v>
      </c>
      <c r="R366" s="44"/>
      <c r="S366" s="44">
        <f t="shared" si="71"/>
        <v>57500</v>
      </c>
      <c r="T366" s="44">
        <f t="shared" si="72"/>
        <v>82142.857142857145</v>
      </c>
      <c r="U366" s="45">
        <f t="shared" si="73"/>
        <v>93877.551020408166</v>
      </c>
      <c r="V366" s="46">
        <f t="shared" si="74"/>
        <v>0.125</v>
      </c>
      <c r="W366" s="45">
        <f t="shared" si="75"/>
        <v>93900</v>
      </c>
      <c r="X366" s="47">
        <f t="shared" si="76"/>
        <v>0.30000000000000004</v>
      </c>
      <c r="Y366" s="57">
        <v>81025</v>
      </c>
      <c r="Z366" s="58">
        <f>T366-Y366</f>
        <v>1117.8571428571449</v>
      </c>
      <c r="AA366" s="59">
        <f>Z366/Y366</f>
        <v>1.3796447304623819E-2</v>
      </c>
    </row>
    <row r="367" spans="1:27" ht="14.4" hidden="1" customHeight="1">
      <c r="A367" s="56">
        <v>363</v>
      </c>
      <c r="B367" s="36"/>
      <c r="C367" s="75" t="s">
        <v>967</v>
      </c>
      <c r="D367" s="37" t="str">
        <f t="shared" si="77"/>
        <v xml:space="preserve"> 451</v>
      </c>
      <c r="E367" s="38" t="s">
        <v>967</v>
      </c>
      <c r="F367" s="39">
        <f t="shared" si="78"/>
        <v>0</v>
      </c>
      <c r="G367" s="76" t="s">
        <v>335</v>
      </c>
      <c r="H367" s="77" t="s">
        <v>951</v>
      </c>
      <c r="I367" s="77" t="s">
        <v>959</v>
      </c>
      <c r="J367" s="41">
        <v>65000</v>
      </c>
      <c r="K367" s="42">
        <f t="shared" si="68"/>
        <v>8400</v>
      </c>
      <c r="L367" s="39" t="s">
        <v>22</v>
      </c>
      <c r="M367" s="43">
        <f t="shared" si="69"/>
        <v>56600</v>
      </c>
      <c r="N367" s="43">
        <f>2000+4850+600+200+250+500</f>
        <v>8400</v>
      </c>
      <c r="O367" s="72">
        <f t="shared" si="70"/>
        <v>65000</v>
      </c>
      <c r="P367" s="29"/>
      <c r="Q367" s="40" t="s">
        <v>1336</v>
      </c>
      <c r="R367" s="44"/>
      <c r="S367" s="44">
        <f t="shared" si="71"/>
        <v>65000</v>
      </c>
      <c r="T367" s="44">
        <f t="shared" si="72"/>
        <v>92857.14285714287</v>
      </c>
      <c r="U367" s="45">
        <f t="shared" si="73"/>
        <v>106122.44897959185</v>
      </c>
      <c r="V367" s="46">
        <f t="shared" si="74"/>
        <v>0.12499999999999999</v>
      </c>
      <c r="W367" s="45">
        <f t="shared" si="75"/>
        <v>106200</v>
      </c>
      <c r="X367" s="47">
        <f t="shared" si="76"/>
        <v>0.3000000000000001</v>
      </c>
      <c r="Y367" s="57"/>
      <c r="Z367" s="58"/>
      <c r="AA367" s="59"/>
    </row>
    <row r="368" spans="1:27" ht="14.4" hidden="1" customHeight="1">
      <c r="A368" s="56">
        <v>364</v>
      </c>
      <c r="B368" s="36"/>
      <c r="C368" s="75" t="s">
        <v>969</v>
      </c>
      <c r="D368" s="37" t="str">
        <f t="shared" si="77"/>
        <v xml:space="preserve"> 328</v>
      </c>
      <c r="E368" s="38" t="s">
        <v>969</v>
      </c>
      <c r="F368" s="39">
        <f t="shared" si="78"/>
        <v>0</v>
      </c>
      <c r="G368" s="76" t="s">
        <v>340</v>
      </c>
      <c r="H368" s="77" t="s">
        <v>970</v>
      </c>
      <c r="I368" s="77" t="s">
        <v>971</v>
      </c>
      <c r="J368" s="41"/>
      <c r="K368" s="42">
        <f t="shared" si="68"/>
        <v>0</v>
      </c>
      <c r="L368" s="39"/>
      <c r="M368" s="43">
        <f t="shared" si="69"/>
        <v>0</v>
      </c>
      <c r="N368" s="43"/>
      <c r="O368" s="72">
        <f t="shared" si="70"/>
        <v>0</v>
      </c>
      <c r="P368" s="29"/>
      <c r="Q368" s="40"/>
      <c r="R368" s="44"/>
      <c r="S368" s="44">
        <f t="shared" si="71"/>
        <v>0</v>
      </c>
      <c r="T368" s="44">
        <f t="shared" si="72"/>
        <v>0</v>
      </c>
      <c r="U368" s="45">
        <f t="shared" si="73"/>
        <v>0</v>
      </c>
      <c r="V368" s="46" t="e">
        <f t="shared" si="74"/>
        <v>#DIV/0!</v>
      </c>
      <c r="W368" s="45">
        <f t="shared" si="75"/>
        <v>0</v>
      </c>
      <c r="X368" s="47" t="e">
        <f t="shared" si="76"/>
        <v>#DIV/0!</v>
      </c>
      <c r="Y368" s="57">
        <v>75513</v>
      </c>
      <c r="Z368" s="58"/>
      <c r="AA368" s="59"/>
    </row>
    <row r="369" spans="1:27" ht="14.4" hidden="1" customHeight="1">
      <c r="A369" s="56">
        <v>365</v>
      </c>
      <c r="B369" s="36"/>
      <c r="C369" s="73" t="s">
        <v>200</v>
      </c>
      <c r="D369" s="37" t="str">
        <f t="shared" si="77"/>
        <v xml:space="preserve"> 940</v>
      </c>
      <c r="E369" s="38" t="s">
        <v>200</v>
      </c>
      <c r="F369" s="39">
        <f t="shared" si="78"/>
        <v>0</v>
      </c>
      <c r="G369" s="76" t="s">
        <v>335</v>
      </c>
      <c r="H369" s="77" t="s">
        <v>970</v>
      </c>
      <c r="I369" s="77" t="s">
        <v>38</v>
      </c>
      <c r="J369" s="41">
        <v>57000</v>
      </c>
      <c r="K369" s="42">
        <f t="shared" si="68"/>
        <v>7900</v>
      </c>
      <c r="L369" s="39" t="s">
        <v>22</v>
      </c>
      <c r="M369" s="43">
        <f t="shared" si="69"/>
        <v>49100</v>
      </c>
      <c r="N369" s="43">
        <f>2000+4850+600+200+250</f>
        <v>7900</v>
      </c>
      <c r="O369" s="72">
        <f t="shared" si="70"/>
        <v>57000</v>
      </c>
      <c r="P369" s="29"/>
      <c r="Q369" s="40" t="s">
        <v>72</v>
      </c>
      <c r="R369" s="44"/>
      <c r="S369" s="44">
        <f t="shared" si="71"/>
        <v>57000</v>
      </c>
      <c r="T369" s="44">
        <f t="shared" si="72"/>
        <v>81428.571428571435</v>
      </c>
      <c r="U369" s="45">
        <f t="shared" si="73"/>
        <v>93061.224489795932</v>
      </c>
      <c r="V369" s="46">
        <f t="shared" si="74"/>
        <v>0.12500000000000006</v>
      </c>
      <c r="W369" s="45">
        <f t="shared" si="75"/>
        <v>93100</v>
      </c>
      <c r="X369" s="47">
        <f t="shared" si="76"/>
        <v>0.30000000000000004</v>
      </c>
      <c r="Y369" s="48"/>
      <c r="Z369" s="48"/>
      <c r="AA369" s="50"/>
    </row>
    <row r="370" spans="1:27" ht="14.4" hidden="1" customHeight="1">
      <c r="A370" s="56">
        <v>366</v>
      </c>
      <c r="B370" s="36"/>
      <c r="C370" s="75" t="s">
        <v>974</v>
      </c>
      <c r="D370" s="37" t="str">
        <f t="shared" si="77"/>
        <v xml:space="preserve"> 613</v>
      </c>
      <c r="E370" s="38" t="s">
        <v>974</v>
      </c>
      <c r="F370" s="39">
        <f t="shared" si="78"/>
        <v>0</v>
      </c>
      <c r="G370" s="76" t="s">
        <v>340</v>
      </c>
      <c r="H370" s="77" t="s">
        <v>970</v>
      </c>
      <c r="I370" s="77" t="s">
        <v>971</v>
      </c>
      <c r="J370" s="41"/>
      <c r="K370" s="42">
        <f t="shared" si="68"/>
        <v>0</v>
      </c>
      <c r="L370" s="39"/>
      <c r="M370" s="43">
        <f t="shared" si="69"/>
        <v>0</v>
      </c>
      <c r="N370" s="43"/>
      <c r="O370" s="72">
        <f t="shared" si="70"/>
        <v>0</v>
      </c>
      <c r="P370" s="29"/>
      <c r="Q370" s="40"/>
      <c r="R370" s="44"/>
      <c r="S370" s="44">
        <f t="shared" si="71"/>
        <v>0</v>
      </c>
      <c r="T370" s="44">
        <f t="shared" si="72"/>
        <v>0</v>
      </c>
      <c r="U370" s="45">
        <f t="shared" si="73"/>
        <v>0</v>
      </c>
      <c r="V370" s="46" t="e">
        <f t="shared" si="74"/>
        <v>#DIV/0!</v>
      </c>
      <c r="W370" s="45">
        <f t="shared" si="75"/>
        <v>0</v>
      </c>
      <c r="X370" s="47" t="e">
        <f t="shared" si="76"/>
        <v>#DIV/0!</v>
      </c>
      <c r="Y370" s="57">
        <v>75513</v>
      </c>
      <c r="Z370" s="58">
        <f>T370-Y370</f>
        <v>-75513</v>
      </c>
      <c r="AA370" s="59">
        <f>Z370/Y370</f>
        <v>-1</v>
      </c>
    </row>
    <row r="371" spans="1:27" ht="14.4" hidden="1" customHeight="1">
      <c r="A371" s="56">
        <v>367</v>
      </c>
      <c r="B371" s="36"/>
      <c r="C371" s="73" t="s">
        <v>277</v>
      </c>
      <c r="D371" s="37" t="str">
        <f t="shared" si="77"/>
        <v xml:space="preserve"> 301</v>
      </c>
      <c r="E371" s="38" t="s">
        <v>277</v>
      </c>
      <c r="F371" s="39">
        <f t="shared" si="78"/>
        <v>0</v>
      </c>
      <c r="G371" s="76" t="s">
        <v>335</v>
      </c>
      <c r="H371" s="77" t="s">
        <v>970</v>
      </c>
      <c r="I371" s="77" t="s">
        <v>296</v>
      </c>
      <c r="J371" s="41">
        <v>57000</v>
      </c>
      <c r="K371" s="42">
        <f t="shared" si="68"/>
        <v>8150</v>
      </c>
      <c r="L371" s="39" t="s">
        <v>22</v>
      </c>
      <c r="M371" s="43">
        <f t="shared" si="69"/>
        <v>48850</v>
      </c>
      <c r="N371" s="43">
        <f>2000+5100+600+200+250</f>
        <v>8150</v>
      </c>
      <c r="O371" s="72">
        <f t="shared" si="70"/>
        <v>57000</v>
      </c>
      <c r="P371" s="29"/>
      <c r="Q371" s="40" t="s">
        <v>69</v>
      </c>
      <c r="R371" s="53"/>
      <c r="S371" s="44">
        <f t="shared" si="71"/>
        <v>57000</v>
      </c>
      <c r="T371" s="44">
        <f t="shared" si="72"/>
        <v>81428.571428571435</v>
      </c>
      <c r="U371" s="45">
        <f t="shared" si="73"/>
        <v>93061.224489795932</v>
      </c>
      <c r="V371" s="46">
        <f t="shared" si="74"/>
        <v>0.12500000000000006</v>
      </c>
      <c r="W371" s="45">
        <f t="shared" si="75"/>
        <v>93100</v>
      </c>
      <c r="X371" s="47">
        <f t="shared" si="76"/>
        <v>0.30000000000000004</v>
      </c>
      <c r="Y371" s="54"/>
      <c r="Z371" s="54"/>
      <c r="AA371" s="55"/>
    </row>
    <row r="372" spans="1:27" ht="14.4" hidden="1" customHeight="1">
      <c r="A372" s="56">
        <v>368</v>
      </c>
      <c r="B372" s="36"/>
      <c r="C372" s="75" t="s">
        <v>977</v>
      </c>
      <c r="D372" s="37" t="str">
        <f t="shared" si="77"/>
        <v xml:space="preserve"> 593</v>
      </c>
      <c r="E372" s="38" t="s">
        <v>977</v>
      </c>
      <c r="F372" s="39">
        <f t="shared" si="78"/>
        <v>0</v>
      </c>
      <c r="G372" s="76" t="s">
        <v>335</v>
      </c>
      <c r="H372" s="77" t="s">
        <v>970</v>
      </c>
      <c r="I372" s="77" t="s">
        <v>978</v>
      </c>
      <c r="J372" s="41">
        <v>55000</v>
      </c>
      <c r="K372" s="42">
        <f t="shared" si="68"/>
        <v>7900</v>
      </c>
      <c r="L372" s="39" t="s">
        <v>22</v>
      </c>
      <c r="M372" s="43">
        <f t="shared" si="69"/>
        <v>47100</v>
      </c>
      <c r="N372" s="43">
        <f>4850+600+200+250+2000</f>
        <v>7900</v>
      </c>
      <c r="O372" s="72">
        <f t="shared" si="70"/>
        <v>55000</v>
      </c>
      <c r="P372" s="29"/>
      <c r="Q372" s="40" t="s">
        <v>1309</v>
      </c>
      <c r="R372" s="53"/>
      <c r="S372" s="44">
        <f t="shared" si="71"/>
        <v>55000</v>
      </c>
      <c r="T372" s="44">
        <f t="shared" si="72"/>
        <v>78571.42857142858</v>
      </c>
      <c r="U372" s="45">
        <f t="shared" si="73"/>
        <v>89795.918367346952</v>
      </c>
      <c r="V372" s="46">
        <f t="shared" si="74"/>
        <v>0.12500000000000003</v>
      </c>
      <c r="W372" s="45">
        <f t="shared" si="75"/>
        <v>89800</v>
      </c>
      <c r="X372" s="47">
        <f t="shared" si="76"/>
        <v>0.3000000000000001</v>
      </c>
      <c r="Y372" s="54"/>
      <c r="Z372" s="54"/>
      <c r="AA372" s="55"/>
    </row>
    <row r="373" spans="1:27" ht="14.4" hidden="1" customHeight="1">
      <c r="A373" s="56">
        <v>369</v>
      </c>
      <c r="B373" s="36"/>
      <c r="C373" s="75" t="s">
        <v>980</v>
      </c>
      <c r="D373" s="37" t="str">
        <f t="shared" si="77"/>
        <v xml:space="preserve"> 971</v>
      </c>
      <c r="E373" s="38" t="s">
        <v>980</v>
      </c>
      <c r="F373" s="39">
        <f t="shared" si="78"/>
        <v>0</v>
      </c>
      <c r="G373" s="76" t="s">
        <v>335</v>
      </c>
      <c r="H373" s="77" t="s">
        <v>327</v>
      </c>
      <c r="I373" s="77" t="s">
        <v>981</v>
      </c>
      <c r="J373" s="41"/>
      <c r="K373" s="42">
        <f t="shared" si="68"/>
        <v>0</v>
      </c>
      <c r="L373" s="39"/>
      <c r="M373" s="43">
        <f t="shared" si="69"/>
        <v>0</v>
      </c>
      <c r="N373" s="43"/>
      <c r="O373" s="72">
        <f t="shared" si="70"/>
        <v>0</v>
      </c>
      <c r="P373" s="29"/>
      <c r="Q373" s="40"/>
      <c r="R373" s="53"/>
      <c r="S373" s="44">
        <f t="shared" si="71"/>
        <v>0</v>
      </c>
      <c r="T373" s="44">
        <f t="shared" si="72"/>
        <v>0</v>
      </c>
      <c r="U373" s="45">
        <f t="shared" si="73"/>
        <v>0</v>
      </c>
      <c r="V373" s="46" t="e">
        <f t="shared" si="74"/>
        <v>#DIV/0!</v>
      </c>
      <c r="W373" s="45">
        <f t="shared" si="75"/>
        <v>0</v>
      </c>
      <c r="X373" s="47" t="e">
        <f t="shared" si="76"/>
        <v>#DIV/0!</v>
      </c>
      <c r="Y373" s="54"/>
      <c r="Z373" s="54"/>
      <c r="AA373" s="55"/>
    </row>
    <row r="374" spans="1:27" ht="14.4" hidden="1" customHeight="1">
      <c r="A374" s="56">
        <v>370</v>
      </c>
      <c r="B374" s="36"/>
      <c r="C374" s="73" t="s">
        <v>180</v>
      </c>
      <c r="D374" s="37" t="str">
        <f t="shared" si="77"/>
        <v xml:space="preserve"> 503</v>
      </c>
      <c r="E374" s="38" t="s">
        <v>180</v>
      </c>
      <c r="F374" s="39">
        <f t="shared" si="78"/>
        <v>0</v>
      </c>
      <c r="G374" s="76" t="s">
        <v>335</v>
      </c>
      <c r="H374" s="77" t="s">
        <v>1393</v>
      </c>
      <c r="I374" s="77" t="s">
        <v>48</v>
      </c>
      <c r="J374" s="41">
        <v>57000</v>
      </c>
      <c r="K374" s="42">
        <f t="shared" si="68"/>
        <v>7900</v>
      </c>
      <c r="L374" s="39" t="s">
        <v>22</v>
      </c>
      <c r="M374" s="43">
        <f t="shared" si="69"/>
        <v>49100</v>
      </c>
      <c r="N374" s="43">
        <f>2000+4850+600+200+250</f>
        <v>7900</v>
      </c>
      <c r="O374" s="72">
        <f t="shared" si="70"/>
        <v>57000</v>
      </c>
      <c r="P374" s="29"/>
      <c r="Q374" s="40" t="s">
        <v>72</v>
      </c>
      <c r="R374" s="44"/>
      <c r="S374" s="44">
        <f t="shared" si="71"/>
        <v>57000</v>
      </c>
      <c r="T374" s="44">
        <f t="shared" si="72"/>
        <v>81428.571428571435</v>
      </c>
      <c r="U374" s="45">
        <f t="shared" si="73"/>
        <v>93061.224489795932</v>
      </c>
      <c r="V374" s="46">
        <f t="shared" si="74"/>
        <v>0.12500000000000006</v>
      </c>
      <c r="W374" s="45">
        <f t="shared" si="75"/>
        <v>93100</v>
      </c>
      <c r="X374" s="47">
        <f t="shared" si="76"/>
        <v>0.30000000000000004</v>
      </c>
      <c r="Y374" s="48"/>
      <c r="Z374" s="48"/>
      <c r="AA374" s="50"/>
    </row>
    <row r="375" spans="1:27" ht="14.4" hidden="1" customHeight="1">
      <c r="A375" s="56">
        <v>371</v>
      </c>
      <c r="B375" s="36"/>
      <c r="C375" s="75" t="s">
        <v>984</v>
      </c>
      <c r="D375" s="37" t="str">
        <f t="shared" si="77"/>
        <v xml:space="preserve"> 719</v>
      </c>
      <c r="E375" s="38" t="s">
        <v>984</v>
      </c>
      <c r="F375" s="39">
        <f t="shared" si="78"/>
        <v>0</v>
      </c>
      <c r="G375" s="76" t="s">
        <v>340</v>
      </c>
      <c r="H375" s="77" t="s">
        <v>970</v>
      </c>
      <c r="I375" s="77" t="s">
        <v>465</v>
      </c>
      <c r="J375" s="41">
        <v>53500</v>
      </c>
      <c r="K375" s="42">
        <f t="shared" si="68"/>
        <v>7900</v>
      </c>
      <c r="L375" s="39" t="s">
        <v>22</v>
      </c>
      <c r="M375" s="43">
        <f t="shared" si="69"/>
        <v>45600</v>
      </c>
      <c r="N375" s="43">
        <f>2000+4850+600+200+250</f>
        <v>7900</v>
      </c>
      <c r="O375" s="72">
        <f t="shared" si="70"/>
        <v>53500</v>
      </c>
      <c r="P375" s="29"/>
      <c r="Q375" s="40" t="s">
        <v>1306</v>
      </c>
      <c r="R375" s="44"/>
      <c r="S375" s="44">
        <f t="shared" si="71"/>
        <v>53500</v>
      </c>
      <c r="T375" s="44">
        <f t="shared" si="72"/>
        <v>76428.571428571435</v>
      </c>
      <c r="U375" s="45">
        <f t="shared" si="73"/>
        <v>87346.938775510207</v>
      </c>
      <c r="V375" s="46">
        <f t="shared" si="74"/>
        <v>0.12499999999999996</v>
      </c>
      <c r="W375" s="45">
        <f t="shared" si="75"/>
        <v>87400</v>
      </c>
      <c r="X375" s="47">
        <f t="shared" si="76"/>
        <v>0.30000000000000004</v>
      </c>
      <c r="Y375" s="57">
        <v>76038</v>
      </c>
      <c r="Z375" s="58">
        <f>T375-Y375</f>
        <v>390.57142857143481</v>
      </c>
      <c r="AA375" s="59">
        <f>Z375/Y375</f>
        <v>5.1365294796211734E-3</v>
      </c>
    </row>
    <row r="376" spans="1:27" ht="14.4" hidden="1" customHeight="1">
      <c r="A376" s="56">
        <v>372</v>
      </c>
      <c r="B376" s="36"/>
      <c r="C376" s="75" t="s">
        <v>986</v>
      </c>
      <c r="D376" s="37" t="str">
        <f t="shared" si="77"/>
        <v xml:space="preserve"> 866</v>
      </c>
      <c r="E376" s="38" t="s">
        <v>986</v>
      </c>
      <c r="F376" s="39">
        <f t="shared" si="78"/>
        <v>0</v>
      </c>
      <c r="G376" s="76" t="s">
        <v>335</v>
      </c>
      <c r="H376" s="77" t="s">
        <v>970</v>
      </c>
      <c r="I376" s="77" t="s">
        <v>465</v>
      </c>
      <c r="J376" s="41">
        <v>53500</v>
      </c>
      <c r="K376" s="42">
        <f t="shared" si="68"/>
        <v>7900</v>
      </c>
      <c r="L376" s="39" t="s">
        <v>22</v>
      </c>
      <c r="M376" s="43">
        <f t="shared" si="69"/>
        <v>45600</v>
      </c>
      <c r="N376" s="43">
        <f>2000+4850+600+200+250</f>
        <v>7900</v>
      </c>
      <c r="O376" s="72">
        <f t="shared" si="70"/>
        <v>53500</v>
      </c>
      <c r="P376" s="29"/>
      <c r="Q376" s="40" t="s">
        <v>1306</v>
      </c>
      <c r="R376" s="44"/>
      <c r="S376" s="44">
        <f t="shared" si="71"/>
        <v>53500</v>
      </c>
      <c r="T376" s="44">
        <f t="shared" si="72"/>
        <v>76428.571428571435</v>
      </c>
      <c r="U376" s="45">
        <f t="shared" si="73"/>
        <v>87346.938775510207</v>
      </c>
      <c r="V376" s="46">
        <f t="shared" si="74"/>
        <v>0.12499999999999996</v>
      </c>
      <c r="W376" s="45">
        <f t="shared" si="75"/>
        <v>87400</v>
      </c>
      <c r="X376" s="47">
        <f t="shared" si="76"/>
        <v>0.30000000000000004</v>
      </c>
      <c r="Y376" s="48"/>
      <c r="Z376" s="48"/>
      <c r="AA376" s="50"/>
    </row>
    <row r="377" spans="1:27" ht="14.4" hidden="1" customHeight="1">
      <c r="A377" s="56">
        <v>373</v>
      </c>
      <c r="B377" s="36"/>
      <c r="C377" s="75" t="s">
        <v>988</v>
      </c>
      <c r="D377" s="37" t="str">
        <f t="shared" si="77"/>
        <v xml:space="preserve"> 992</v>
      </c>
      <c r="E377" s="38" t="s">
        <v>988</v>
      </c>
      <c r="F377" s="39">
        <f t="shared" si="78"/>
        <v>0</v>
      </c>
      <c r="G377" s="76" t="s">
        <v>340</v>
      </c>
      <c r="H377" s="77" t="s">
        <v>970</v>
      </c>
      <c r="I377" s="77" t="s">
        <v>465</v>
      </c>
      <c r="J377" s="41">
        <v>54500</v>
      </c>
      <c r="K377" s="42">
        <f t="shared" si="68"/>
        <v>7900</v>
      </c>
      <c r="L377" s="39" t="s">
        <v>22</v>
      </c>
      <c r="M377" s="43">
        <f t="shared" si="69"/>
        <v>46600</v>
      </c>
      <c r="N377" s="43">
        <f>2000+4850+600+200+250</f>
        <v>7900</v>
      </c>
      <c r="O377" s="72">
        <f t="shared" si="70"/>
        <v>54500</v>
      </c>
      <c r="P377" s="29"/>
      <c r="Q377" s="40" t="s">
        <v>1306</v>
      </c>
      <c r="R377" s="44"/>
      <c r="S377" s="44">
        <f t="shared" si="71"/>
        <v>54500</v>
      </c>
      <c r="T377" s="44">
        <f t="shared" si="72"/>
        <v>77857.142857142855</v>
      </c>
      <c r="U377" s="45">
        <f t="shared" si="73"/>
        <v>88979.591836734689</v>
      </c>
      <c r="V377" s="46">
        <f t="shared" si="74"/>
        <v>0.12499999999999999</v>
      </c>
      <c r="W377" s="45">
        <f t="shared" si="75"/>
        <v>89000</v>
      </c>
      <c r="X377" s="47">
        <f t="shared" si="76"/>
        <v>0.3</v>
      </c>
      <c r="Y377" s="57">
        <v>75600</v>
      </c>
      <c r="Z377" s="58">
        <f>T377-Y377</f>
        <v>2257.1428571428551</v>
      </c>
      <c r="AA377" s="59">
        <f>Z377/Y377</f>
        <v>2.9856386999244113E-2</v>
      </c>
    </row>
    <row r="378" spans="1:27" ht="14.4" hidden="1" customHeight="1">
      <c r="A378" s="56">
        <v>374</v>
      </c>
      <c r="B378" s="36"/>
      <c r="C378" s="73" t="s">
        <v>167</v>
      </c>
      <c r="D378" s="37" t="str">
        <f t="shared" si="77"/>
        <v xml:space="preserve"> 238</v>
      </c>
      <c r="E378" s="38" t="s">
        <v>167</v>
      </c>
      <c r="F378" s="39">
        <f t="shared" si="78"/>
        <v>0</v>
      </c>
      <c r="G378" s="76" t="s">
        <v>335</v>
      </c>
      <c r="H378" s="77" t="s">
        <v>919</v>
      </c>
      <c r="I378" s="77" t="s">
        <v>40</v>
      </c>
      <c r="J378" s="41">
        <v>55000</v>
      </c>
      <c r="K378" s="42">
        <f t="shared" si="68"/>
        <v>9050</v>
      </c>
      <c r="L378" s="39" t="s">
        <v>22</v>
      </c>
      <c r="M378" s="43">
        <f t="shared" si="69"/>
        <v>45950</v>
      </c>
      <c r="N378" s="43">
        <f>2000+5500+600+200+250+500</f>
        <v>9050</v>
      </c>
      <c r="O378" s="72">
        <f t="shared" si="70"/>
        <v>55000</v>
      </c>
      <c r="P378" s="29"/>
      <c r="Q378" s="40" t="s">
        <v>77</v>
      </c>
      <c r="R378" s="44"/>
      <c r="S378" s="44">
        <f t="shared" si="71"/>
        <v>55000</v>
      </c>
      <c r="T378" s="44">
        <f t="shared" si="72"/>
        <v>78571.42857142858</v>
      </c>
      <c r="U378" s="45">
        <f t="shared" si="73"/>
        <v>89795.918367346952</v>
      </c>
      <c r="V378" s="46">
        <f t="shared" si="74"/>
        <v>0.12500000000000003</v>
      </c>
      <c r="W378" s="45">
        <f t="shared" si="75"/>
        <v>89800</v>
      </c>
      <c r="X378" s="47">
        <f t="shared" si="76"/>
        <v>0.3000000000000001</v>
      </c>
      <c r="Y378" s="48"/>
      <c r="Z378" s="48"/>
      <c r="AA378" s="50"/>
    </row>
    <row r="379" spans="1:27" ht="14.4" hidden="1" customHeight="1">
      <c r="A379" s="56">
        <v>375</v>
      </c>
      <c r="B379" s="36"/>
      <c r="C379" s="75" t="s">
        <v>991</v>
      </c>
      <c r="D379" s="37" t="str">
        <f t="shared" si="77"/>
        <v xml:space="preserve"> 978</v>
      </c>
      <c r="E379" s="38" t="s">
        <v>991</v>
      </c>
      <c r="F379" s="39">
        <f t="shared" si="78"/>
        <v>0</v>
      </c>
      <c r="G379" s="76" t="s">
        <v>340</v>
      </c>
      <c r="H379" s="77" t="s">
        <v>970</v>
      </c>
      <c r="I379" s="77" t="s">
        <v>598</v>
      </c>
      <c r="J379" s="41">
        <v>54000</v>
      </c>
      <c r="K379" s="42">
        <f t="shared" si="68"/>
        <v>7900</v>
      </c>
      <c r="L379" s="39" t="s">
        <v>22</v>
      </c>
      <c r="M379" s="43">
        <f t="shared" si="69"/>
        <v>46100</v>
      </c>
      <c r="N379" s="43">
        <f>2000+4850+600+200+250</f>
        <v>7900</v>
      </c>
      <c r="O379" s="72">
        <f t="shared" si="70"/>
        <v>54000</v>
      </c>
      <c r="P379" s="29"/>
      <c r="Q379" s="40" t="s">
        <v>1302</v>
      </c>
      <c r="R379" s="44"/>
      <c r="S379" s="44">
        <f t="shared" si="71"/>
        <v>54000</v>
      </c>
      <c r="T379" s="44">
        <f t="shared" si="72"/>
        <v>77142.857142857145</v>
      </c>
      <c r="U379" s="45">
        <f t="shared" si="73"/>
        <v>88163.265306122456</v>
      </c>
      <c r="V379" s="46">
        <f t="shared" si="74"/>
        <v>0.12500000000000003</v>
      </c>
      <c r="W379" s="45">
        <f t="shared" si="75"/>
        <v>88200</v>
      </c>
      <c r="X379" s="47">
        <f t="shared" si="76"/>
        <v>0.30000000000000004</v>
      </c>
      <c r="Y379" s="57">
        <v>76038</v>
      </c>
      <c r="Z379" s="58">
        <f>T379-Y379</f>
        <v>1104.8571428571449</v>
      </c>
      <c r="AA379" s="59">
        <f>Z379/Y379</f>
        <v>1.4530328820552158E-2</v>
      </c>
    </row>
    <row r="380" spans="1:27" ht="14.4" hidden="1" customHeight="1">
      <c r="A380" s="56">
        <v>376</v>
      </c>
      <c r="B380" s="36"/>
      <c r="C380" s="73" t="s">
        <v>131</v>
      </c>
      <c r="D380" s="37" t="str">
        <f t="shared" si="77"/>
        <v xml:space="preserve"> 862</v>
      </c>
      <c r="E380" s="38" t="s">
        <v>131</v>
      </c>
      <c r="F380" s="39">
        <f t="shared" si="78"/>
        <v>0</v>
      </c>
      <c r="G380" s="76" t="s">
        <v>335</v>
      </c>
      <c r="H380" s="77" t="s">
        <v>906</v>
      </c>
      <c r="I380" s="77" t="s">
        <v>40</v>
      </c>
      <c r="J380" s="41">
        <v>53500</v>
      </c>
      <c r="K380" s="42">
        <f t="shared" si="68"/>
        <v>9050</v>
      </c>
      <c r="L380" s="39" t="s">
        <v>22</v>
      </c>
      <c r="M380" s="43">
        <f t="shared" si="69"/>
        <v>44450</v>
      </c>
      <c r="N380" s="43">
        <f>2000+5500+600+200+250+500</f>
        <v>9050</v>
      </c>
      <c r="O380" s="72">
        <f t="shared" si="70"/>
        <v>53500</v>
      </c>
      <c r="P380" s="29"/>
      <c r="Q380" s="40" t="s">
        <v>77</v>
      </c>
      <c r="R380" s="44"/>
      <c r="S380" s="44">
        <f t="shared" si="71"/>
        <v>53500</v>
      </c>
      <c r="T380" s="44">
        <f t="shared" si="72"/>
        <v>76428.571428571435</v>
      </c>
      <c r="U380" s="45">
        <f t="shared" si="73"/>
        <v>87346.938775510207</v>
      </c>
      <c r="V380" s="46">
        <f t="shared" si="74"/>
        <v>0.12499999999999996</v>
      </c>
      <c r="W380" s="45">
        <f t="shared" si="75"/>
        <v>87400</v>
      </c>
      <c r="X380" s="47">
        <f t="shared" si="76"/>
        <v>0.30000000000000004</v>
      </c>
      <c r="Y380" s="48"/>
      <c r="Z380" s="48"/>
      <c r="AA380" s="48"/>
    </row>
    <row r="381" spans="1:27" ht="14.4" hidden="1" customHeight="1">
      <c r="A381" s="56">
        <v>377</v>
      </c>
      <c r="B381" s="36"/>
      <c r="C381" s="73" t="s">
        <v>215</v>
      </c>
      <c r="D381" s="37" t="str">
        <f t="shared" si="77"/>
        <v xml:space="preserve"> 475</v>
      </c>
      <c r="E381" s="38" t="s">
        <v>215</v>
      </c>
      <c r="F381" s="39">
        <f t="shared" si="78"/>
        <v>0</v>
      </c>
      <c r="G381" s="76" t="s">
        <v>340</v>
      </c>
      <c r="H381" s="77" t="s">
        <v>970</v>
      </c>
      <c r="I381" s="77" t="s">
        <v>67</v>
      </c>
      <c r="J381" s="41">
        <v>47500</v>
      </c>
      <c r="K381" s="42">
        <f t="shared" ref="K381:K424" si="80">J381-M381</f>
        <v>7900</v>
      </c>
      <c r="L381" s="39" t="s">
        <v>22</v>
      </c>
      <c r="M381" s="43">
        <f t="shared" ref="M381:M424" si="81">J381-N381</f>
        <v>39600</v>
      </c>
      <c r="N381" s="49">
        <f>4850+600+200+250+2000</f>
        <v>7900</v>
      </c>
      <c r="O381" s="72">
        <f t="shared" ref="O381:O424" si="82">M381+N381</f>
        <v>47500</v>
      </c>
      <c r="P381" s="29"/>
      <c r="Q381" s="40" t="s">
        <v>90</v>
      </c>
      <c r="R381" s="44"/>
      <c r="S381" s="44">
        <f t="shared" ref="S381:S424" si="83">R381+O381</f>
        <v>47500</v>
      </c>
      <c r="T381" s="44">
        <f t="shared" ref="T381:T424" si="84">S381/0.7</f>
        <v>67857.142857142855</v>
      </c>
      <c r="U381" s="45">
        <f t="shared" ref="U381:U424" si="85">T381/0.875</f>
        <v>77551.020408163269</v>
      </c>
      <c r="V381" s="46">
        <f t="shared" ref="V381:V424" si="86">(U381-T381)/U381</f>
        <v>0.12500000000000008</v>
      </c>
      <c r="W381" s="45">
        <f t="shared" ref="W381:W424" si="87">(ROUNDUP((U381/100),0))*100</f>
        <v>77600</v>
      </c>
      <c r="X381" s="47">
        <f t="shared" ref="X381:X424" si="88">(T381-O381)/T381</f>
        <v>0.3</v>
      </c>
      <c r="Y381" s="57">
        <v>68075</v>
      </c>
      <c r="Z381" s="58">
        <f>T381-Y381</f>
        <v>-217.85714285714494</v>
      </c>
      <c r="AA381" s="59">
        <f>Z381/Y381</f>
        <v>-3.200251823094307E-3</v>
      </c>
    </row>
    <row r="382" spans="1:27" ht="14.4" hidden="1" customHeight="1">
      <c r="A382" s="56">
        <v>378</v>
      </c>
      <c r="B382" s="36"/>
      <c r="C382" s="75" t="s">
        <v>379</v>
      </c>
      <c r="D382" s="37" t="str">
        <f t="shared" si="77"/>
        <v/>
      </c>
      <c r="E382" s="38" t="s">
        <v>379</v>
      </c>
      <c r="F382" s="39">
        <f t="shared" si="78"/>
        <v>0</v>
      </c>
      <c r="G382" s="76"/>
      <c r="H382" s="77"/>
      <c r="I382" s="77"/>
      <c r="J382" s="41"/>
      <c r="K382" s="42">
        <f t="shared" si="80"/>
        <v>0</v>
      </c>
      <c r="L382" s="39"/>
      <c r="M382" s="43">
        <f t="shared" si="81"/>
        <v>0</v>
      </c>
      <c r="N382" s="49"/>
      <c r="O382" s="72">
        <f t="shared" si="82"/>
        <v>0</v>
      </c>
      <c r="P382" s="29"/>
      <c r="Q382" s="40"/>
      <c r="R382" s="44"/>
      <c r="S382" s="44">
        <f t="shared" si="83"/>
        <v>0</v>
      </c>
      <c r="T382" s="44">
        <f t="shared" si="84"/>
        <v>0</v>
      </c>
      <c r="U382" s="45">
        <f t="shared" si="85"/>
        <v>0</v>
      </c>
      <c r="V382" s="46" t="e">
        <f t="shared" si="86"/>
        <v>#DIV/0!</v>
      </c>
      <c r="W382" s="45">
        <f t="shared" si="87"/>
        <v>0</v>
      </c>
      <c r="X382" s="47" t="e">
        <f t="shared" si="88"/>
        <v>#DIV/0!</v>
      </c>
      <c r="Y382" s="57"/>
      <c r="Z382" s="58"/>
      <c r="AA382" s="59"/>
    </row>
    <row r="383" spans="1:27" ht="14.4" hidden="1" customHeight="1">
      <c r="A383" s="56">
        <v>379</v>
      </c>
      <c r="B383" s="36"/>
      <c r="C383" s="75" t="s">
        <v>995</v>
      </c>
      <c r="D383" s="37" t="str">
        <f t="shared" si="77"/>
        <v xml:space="preserve"> 881</v>
      </c>
      <c r="E383" s="38" t="s">
        <v>995</v>
      </c>
      <c r="F383" s="39">
        <f t="shared" si="78"/>
        <v>0</v>
      </c>
      <c r="G383" s="76" t="s">
        <v>335</v>
      </c>
      <c r="H383" s="77" t="s">
        <v>970</v>
      </c>
      <c r="I383" s="77" t="s">
        <v>558</v>
      </c>
      <c r="J383" s="41">
        <v>58900</v>
      </c>
      <c r="K383" s="42">
        <f t="shared" si="80"/>
        <v>7900</v>
      </c>
      <c r="L383" s="39"/>
      <c r="M383" s="43">
        <f t="shared" si="81"/>
        <v>51000</v>
      </c>
      <c r="N383" s="49">
        <f>2000+4850+600+200+250</f>
        <v>7900</v>
      </c>
      <c r="O383" s="72">
        <f t="shared" si="82"/>
        <v>58900</v>
      </c>
      <c r="P383" s="29"/>
      <c r="Q383" s="40" t="s">
        <v>74</v>
      </c>
      <c r="R383" s="44"/>
      <c r="S383" s="44">
        <f t="shared" si="83"/>
        <v>58900</v>
      </c>
      <c r="T383" s="44">
        <f t="shared" si="84"/>
        <v>84142.857142857145</v>
      </c>
      <c r="U383" s="45">
        <f t="shared" si="85"/>
        <v>96163.265306122456</v>
      </c>
      <c r="V383" s="46">
        <f t="shared" si="86"/>
        <v>0.12500000000000003</v>
      </c>
      <c r="W383" s="45">
        <f t="shared" si="87"/>
        <v>96200</v>
      </c>
      <c r="X383" s="47">
        <f t="shared" si="88"/>
        <v>0.30000000000000004</v>
      </c>
      <c r="Y383" s="57"/>
      <c r="Z383" s="58"/>
      <c r="AA383" s="59"/>
    </row>
    <row r="384" spans="1:27" ht="14.4" hidden="1" customHeight="1">
      <c r="A384" s="56">
        <v>380</v>
      </c>
      <c r="B384" s="36"/>
      <c r="C384" s="75" t="s">
        <v>997</v>
      </c>
      <c r="D384" s="37" t="str">
        <f t="shared" si="77"/>
        <v xml:space="preserve"> 326</v>
      </c>
      <c r="E384" s="38" t="s">
        <v>997</v>
      </c>
      <c r="F384" s="39">
        <f t="shared" si="78"/>
        <v>0</v>
      </c>
      <c r="G384" s="76" t="s">
        <v>335</v>
      </c>
      <c r="H384" s="77" t="s">
        <v>970</v>
      </c>
      <c r="I384" s="77" t="s">
        <v>998</v>
      </c>
      <c r="J384" s="41">
        <v>58000</v>
      </c>
      <c r="K384" s="42">
        <f t="shared" si="80"/>
        <v>7900</v>
      </c>
      <c r="L384" s="39" t="s">
        <v>22</v>
      </c>
      <c r="M384" s="43">
        <f t="shared" si="81"/>
        <v>50100</v>
      </c>
      <c r="N384" s="49">
        <f>2000+600+200+250+4850</f>
        <v>7900</v>
      </c>
      <c r="O384" s="72">
        <f t="shared" si="82"/>
        <v>58000</v>
      </c>
      <c r="P384" s="29"/>
      <c r="Q384" s="40" t="s">
        <v>1387</v>
      </c>
      <c r="R384" s="44"/>
      <c r="S384" s="44">
        <f t="shared" si="83"/>
        <v>58000</v>
      </c>
      <c r="T384" s="44">
        <f t="shared" si="84"/>
        <v>82857.14285714287</v>
      </c>
      <c r="U384" s="45">
        <f t="shared" si="85"/>
        <v>94693.877551020429</v>
      </c>
      <c r="V384" s="46">
        <f t="shared" si="86"/>
        <v>0.12500000000000006</v>
      </c>
      <c r="W384" s="45">
        <f t="shared" si="87"/>
        <v>94700</v>
      </c>
      <c r="X384" s="47">
        <f t="shared" si="88"/>
        <v>0.3000000000000001</v>
      </c>
      <c r="Y384" s="57"/>
      <c r="Z384" s="58"/>
      <c r="AA384" s="59"/>
    </row>
    <row r="385" spans="1:27" ht="14.4" hidden="1" customHeight="1">
      <c r="A385" s="56">
        <v>381</v>
      </c>
      <c r="B385" s="36"/>
      <c r="C385" s="75" t="s">
        <v>1000</v>
      </c>
      <c r="D385" s="37" t="str">
        <f t="shared" si="77"/>
        <v xml:space="preserve"> 872</v>
      </c>
      <c r="E385" s="38" t="s">
        <v>1000</v>
      </c>
      <c r="F385" s="39">
        <f t="shared" si="78"/>
        <v>0</v>
      </c>
      <c r="G385" s="76" t="s">
        <v>335</v>
      </c>
      <c r="H385" s="77" t="s">
        <v>1001</v>
      </c>
      <c r="I385" s="77" t="s">
        <v>1002</v>
      </c>
      <c r="J385" s="41">
        <v>59000</v>
      </c>
      <c r="K385" s="42">
        <f t="shared" si="80"/>
        <v>7900</v>
      </c>
      <c r="L385" s="39" t="s">
        <v>22</v>
      </c>
      <c r="M385" s="43">
        <f t="shared" si="81"/>
        <v>51100</v>
      </c>
      <c r="N385" s="49">
        <f>2000+4850+600+200+250</f>
        <v>7900</v>
      </c>
      <c r="O385" s="72">
        <f t="shared" si="82"/>
        <v>59000</v>
      </c>
      <c r="P385" s="29"/>
      <c r="Q385" s="40"/>
      <c r="R385" s="44"/>
      <c r="S385" s="44">
        <f t="shared" si="83"/>
        <v>59000</v>
      </c>
      <c r="T385" s="44">
        <f t="shared" si="84"/>
        <v>84285.71428571429</v>
      </c>
      <c r="U385" s="45">
        <f t="shared" si="85"/>
        <v>96326.530612244896</v>
      </c>
      <c r="V385" s="46">
        <f t="shared" si="86"/>
        <v>0.12499999999999994</v>
      </c>
      <c r="W385" s="45">
        <f t="shared" si="87"/>
        <v>96400</v>
      </c>
      <c r="X385" s="47">
        <f t="shared" si="88"/>
        <v>0.30000000000000004</v>
      </c>
      <c r="Y385" s="57"/>
      <c r="Z385" s="58"/>
      <c r="AA385" s="59"/>
    </row>
    <row r="386" spans="1:27" ht="14.4" hidden="1" customHeight="1">
      <c r="A386" s="56">
        <v>382</v>
      </c>
      <c r="B386" s="36"/>
      <c r="C386" s="73" t="s">
        <v>216</v>
      </c>
      <c r="D386" s="37" t="str">
        <f t="shared" si="77"/>
        <v xml:space="preserve"> 291</v>
      </c>
      <c r="E386" s="38" t="s">
        <v>216</v>
      </c>
      <c r="F386" s="39">
        <f t="shared" si="78"/>
        <v>0</v>
      </c>
      <c r="G386" s="76" t="s">
        <v>335</v>
      </c>
      <c r="H386" s="77" t="s">
        <v>605</v>
      </c>
      <c r="I386" s="77" t="s">
        <v>67</v>
      </c>
      <c r="J386" s="41">
        <v>92500</v>
      </c>
      <c r="K386" s="42">
        <f t="shared" si="80"/>
        <v>8250</v>
      </c>
      <c r="L386" s="39" t="s">
        <v>22</v>
      </c>
      <c r="M386" s="43">
        <f t="shared" si="81"/>
        <v>84250</v>
      </c>
      <c r="N386" s="49">
        <f>2000+5200+600+200+250</f>
        <v>8250</v>
      </c>
      <c r="O386" s="72">
        <f t="shared" si="82"/>
        <v>92500</v>
      </c>
      <c r="P386" s="29"/>
      <c r="Q386" s="40" t="s">
        <v>71</v>
      </c>
      <c r="R386" s="44"/>
      <c r="S386" s="44">
        <f t="shared" si="83"/>
        <v>92500</v>
      </c>
      <c r="T386" s="44">
        <f t="shared" si="84"/>
        <v>132142.85714285716</v>
      </c>
      <c r="U386" s="45">
        <f t="shared" si="85"/>
        <v>151020.40816326533</v>
      </c>
      <c r="V386" s="46">
        <f t="shared" si="86"/>
        <v>0.125</v>
      </c>
      <c r="W386" s="45">
        <f t="shared" si="87"/>
        <v>151100</v>
      </c>
      <c r="X386" s="47">
        <f t="shared" si="88"/>
        <v>0.3000000000000001</v>
      </c>
      <c r="Y386" s="48"/>
      <c r="Z386" s="48"/>
      <c r="AA386" s="50"/>
    </row>
    <row r="387" spans="1:27" ht="14.4" hidden="1" customHeight="1">
      <c r="A387" s="56">
        <v>383</v>
      </c>
      <c r="B387" s="36"/>
      <c r="C387" s="75" t="s">
        <v>1005</v>
      </c>
      <c r="D387" s="37" t="str">
        <f t="shared" si="77"/>
        <v xml:space="preserve"> 070</v>
      </c>
      <c r="E387" s="38" t="s">
        <v>1005</v>
      </c>
      <c r="F387" s="39">
        <f t="shared" si="78"/>
        <v>0</v>
      </c>
      <c r="G387" s="76" t="s">
        <v>340</v>
      </c>
      <c r="H387" s="77" t="s">
        <v>1006</v>
      </c>
      <c r="I387" s="77" t="s">
        <v>622</v>
      </c>
      <c r="J387" s="41">
        <v>80000</v>
      </c>
      <c r="K387" s="42">
        <f t="shared" si="80"/>
        <v>8250</v>
      </c>
      <c r="L387" s="39" t="s">
        <v>22</v>
      </c>
      <c r="M387" s="43">
        <f t="shared" si="81"/>
        <v>71750</v>
      </c>
      <c r="N387" s="49">
        <f>2000+5200+600+200+250</f>
        <v>8250</v>
      </c>
      <c r="O387" s="72">
        <f t="shared" si="82"/>
        <v>80000</v>
      </c>
      <c r="P387" s="29"/>
      <c r="Q387" s="40" t="s">
        <v>1340</v>
      </c>
      <c r="R387" s="44"/>
      <c r="S387" s="44">
        <f t="shared" si="83"/>
        <v>80000</v>
      </c>
      <c r="T387" s="44">
        <f t="shared" si="84"/>
        <v>114285.71428571429</v>
      </c>
      <c r="U387" s="45">
        <f t="shared" si="85"/>
        <v>130612.24489795919</v>
      </c>
      <c r="V387" s="46">
        <f t="shared" si="86"/>
        <v>0.12499999999999999</v>
      </c>
      <c r="W387" s="45">
        <f t="shared" si="87"/>
        <v>130700</v>
      </c>
      <c r="X387" s="47">
        <f t="shared" si="88"/>
        <v>0.30000000000000004</v>
      </c>
      <c r="Y387" s="57">
        <v>111563</v>
      </c>
      <c r="Z387" s="58">
        <f>T387-Y387</f>
        <v>2722.7142857142899</v>
      </c>
      <c r="AA387" s="59">
        <f>Z387/Y387</f>
        <v>2.4405172733919758E-2</v>
      </c>
    </row>
    <row r="388" spans="1:27" ht="14.4" hidden="1" customHeight="1">
      <c r="A388" s="56">
        <v>384</v>
      </c>
      <c r="B388" s="36"/>
      <c r="C388" s="75" t="s">
        <v>1008</v>
      </c>
      <c r="D388" s="37" t="str">
        <f t="shared" si="77"/>
        <v xml:space="preserve"> 791</v>
      </c>
      <c r="E388" s="38" t="s">
        <v>1008</v>
      </c>
      <c r="F388" s="39">
        <f t="shared" si="78"/>
        <v>0</v>
      </c>
      <c r="G388" s="76" t="s">
        <v>335</v>
      </c>
      <c r="H388" s="77" t="s">
        <v>929</v>
      </c>
      <c r="I388" s="77" t="s">
        <v>939</v>
      </c>
      <c r="J388" s="41">
        <v>69500</v>
      </c>
      <c r="K388" s="42">
        <f t="shared" si="80"/>
        <v>9150</v>
      </c>
      <c r="L388" s="39" t="s">
        <v>22</v>
      </c>
      <c r="M388" s="43">
        <f t="shared" si="81"/>
        <v>60350</v>
      </c>
      <c r="N388" s="49">
        <f>2000+5100+600+200+250+1000</f>
        <v>9150</v>
      </c>
      <c r="O388" s="72">
        <f t="shared" si="82"/>
        <v>69500</v>
      </c>
      <c r="P388" s="29"/>
      <c r="Q388" s="40" t="s">
        <v>1317</v>
      </c>
      <c r="R388" s="44"/>
      <c r="S388" s="44">
        <f t="shared" si="83"/>
        <v>69500</v>
      </c>
      <c r="T388" s="44">
        <f t="shared" si="84"/>
        <v>99285.71428571429</v>
      </c>
      <c r="U388" s="45">
        <f t="shared" si="85"/>
        <v>113469.38775510204</v>
      </c>
      <c r="V388" s="46">
        <f t="shared" si="86"/>
        <v>0.12499999999999997</v>
      </c>
      <c r="W388" s="45">
        <f t="shared" si="87"/>
        <v>113500</v>
      </c>
      <c r="X388" s="47">
        <f t="shared" si="88"/>
        <v>0.30000000000000004</v>
      </c>
      <c r="Y388" s="48"/>
      <c r="Z388" s="48"/>
      <c r="AA388" s="50"/>
    </row>
    <row r="389" spans="1:27" ht="14.4" hidden="1" customHeight="1">
      <c r="A389" s="56">
        <v>385</v>
      </c>
      <c r="B389" s="36"/>
      <c r="C389" s="73" t="s">
        <v>132</v>
      </c>
      <c r="D389" s="37" t="str">
        <f t="shared" ref="D389:D424" si="89">REPLACE(C389,1,3, )</f>
        <v xml:space="preserve"> 615</v>
      </c>
      <c r="E389" s="38" t="s">
        <v>132</v>
      </c>
      <c r="F389" s="39">
        <f t="shared" ref="F389:F424" si="90">IF(C389=E389,0,1)</f>
        <v>0</v>
      </c>
      <c r="G389" s="76" t="s">
        <v>340</v>
      </c>
      <c r="H389" s="77" t="s">
        <v>1006</v>
      </c>
      <c r="I389" s="77" t="s">
        <v>41</v>
      </c>
      <c r="J389" s="41">
        <v>52500</v>
      </c>
      <c r="K389" s="42">
        <f t="shared" si="80"/>
        <v>7900</v>
      </c>
      <c r="L389" s="39" t="s">
        <v>22</v>
      </c>
      <c r="M389" s="43">
        <f t="shared" si="81"/>
        <v>44600</v>
      </c>
      <c r="N389" s="43">
        <f>2000+4850+600+200+250</f>
        <v>7900</v>
      </c>
      <c r="O389" s="72">
        <f t="shared" si="82"/>
        <v>52500</v>
      </c>
      <c r="P389" s="29"/>
      <c r="Q389" s="40" t="s">
        <v>72</v>
      </c>
      <c r="R389" s="44"/>
      <c r="S389" s="44">
        <f t="shared" si="83"/>
        <v>52500</v>
      </c>
      <c r="T389" s="44">
        <f t="shared" si="84"/>
        <v>75000</v>
      </c>
      <c r="U389" s="45">
        <f t="shared" si="85"/>
        <v>85714.28571428571</v>
      </c>
      <c r="V389" s="46">
        <f t="shared" si="86"/>
        <v>0.12499999999999996</v>
      </c>
      <c r="W389" s="45">
        <f t="shared" si="87"/>
        <v>85800</v>
      </c>
      <c r="X389" s="47">
        <f t="shared" si="88"/>
        <v>0.3</v>
      </c>
      <c r="Y389" s="57">
        <v>72975</v>
      </c>
      <c r="Z389" s="58">
        <f>T389-Y389</f>
        <v>2025</v>
      </c>
      <c r="AA389" s="59">
        <f>Z389/Y389</f>
        <v>2.7749229188078109E-2</v>
      </c>
    </row>
    <row r="390" spans="1:27" ht="14.4" hidden="1" customHeight="1">
      <c r="A390" s="56">
        <v>386</v>
      </c>
      <c r="B390" s="36"/>
      <c r="C390" s="73" t="s">
        <v>263</v>
      </c>
      <c r="D390" s="37" t="str">
        <f t="shared" si="89"/>
        <v xml:space="preserve"> 686</v>
      </c>
      <c r="E390" s="38" t="s">
        <v>263</v>
      </c>
      <c r="F390" s="39">
        <f t="shared" si="90"/>
        <v>0</v>
      </c>
      <c r="G390" s="76" t="s">
        <v>335</v>
      </c>
      <c r="H390" s="77" t="s">
        <v>1006</v>
      </c>
      <c r="I390" s="77" t="s">
        <v>290</v>
      </c>
      <c r="J390" s="41">
        <v>72500</v>
      </c>
      <c r="K390" s="42">
        <f t="shared" si="80"/>
        <v>9050</v>
      </c>
      <c r="L390" s="39" t="s">
        <v>22</v>
      </c>
      <c r="M390" s="43">
        <f t="shared" si="81"/>
        <v>63450</v>
      </c>
      <c r="N390" s="43">
        <f>2000+5100+600+200+250+900</f>
        <v>9050</v>
      </c>
      <c r="O390" s="72">
        <f t="shared" si="82"/>
        <v>72500</v>
      </c>
      <c r="P390" s="29"/>
      <c r="Q390" s="40" t="s">
        <v>300</v>
      </c>
      <c r="R390" s="53"/>
      <c r="S390" s="44">
        <f t="shared" si="83"/>
        <v>72500</v>
      </c>
      <c r="T390" s="44">
        <f t="shared" si="84"/>
        <v>103571.42857142858</v>
      </c>
      <c r="U390" s="45">
        <f t="shared" si="85"/>
        <v>118367.34693877552</v>
      </c>
      <c r="V390" s="46">
        <f t="shared" si="86"/>
        <v>0.12499999999999999</v>
      </c>
      <c r="W390" s="45">
        <f t="shared" si="87"/>
        <v>118400</v>
      </c>
      <c r="X390" s="47">
        <f t="shared" si="88"/>
        <v>0.30000000000000004</v>
      </c>
      <c r="Y390" s="54"/>
      <c r="Z390" s="54"/>
      <c r="AA390" s="55"/>
    </row>
    <row r="391" spans="1:27" ht="14.4" hidden="1" customHeight="1">
      <c r="A391" s="56">
        <v>387</v>
      </c>
      <c r="B391" s="36"/>
      <c r="C391" s="75" t="s">
        <v>1012</v>
      </c>
      <c r="D391" s="37" t="str">
        <f t="shared" si="89"/>
        <v xml:space="preserve"> 723</v>
      </c>
      <c r="E391" s="38" t="s">
        <v>1012</v>
      </c>
      <c r="F391" s="39">
        <f t="shared" si="90"/>
        <v>0</v>
      </c>
      <c r="G391" s="76" t="s">
        <v>340</v>
      </c>
      <c r="H391" s="77" t="s">
        <v>1013</v>
      </c>
      <c r="I391" s="77" t="s">
        <v>1014</v>
      </c>
      <c r="J391" s="41"/>
      <c r="K391" s="42">
        <f t="shared" si="80"/>
        <v>0</v>
      </c>
      <c r="L391" s="39"/>
      <c r="M391" s="43">
        <f t="shared" si="81"/>
        <v>0</v>
      </c>
      <c r="N391" s="43"/>
      <c r="O391" s="72">
        <f t="shared" si="82"/>
        <v>0</v>
      </c>
      <c r="P391" s="29"/>
      <c r="Q391" s="40"/>
      <c r="R391" s="53"/>
      <c r="S391" s="44">
        <f t="shared" si="83"/>
        <v>0</v>
      </c>
      <c r="T391" s="44">
        <f t="shared" si="84"/>
        <v>0</v>
      </c>
      <c r="U391" s="45">
        <f t="shared" si="85"/>
        <v>0</v>
      </c>
      <c r="V391" s="46" t="e">
        <f t="shared" si="86"/>
        <v>#DIV/0!</v>
      </c>
      <c r="W391" s="45">
        <f t="shared" si="87"/>
        <v>0</v>
      </c>
      <c r="X391" s="47" t="e">
        <f t="shared" si="88"/>
        <v>#DIV/0!</v>
      </c>
      <c r="Y391" s="57">
        <v>80063</v>
      </c>
      <c r="Z391" s="58">
        <f>T391-Y391</f>
        <v>-80063</v>
      </c>
      <c r="AA391" s="59">
        <f>Z391/Y391</f>
        <v>-1</v>
      </c>
    </row>
    <row r="392" spans="1:27" ht="14.4" hidden="1" customHeight="1">
      <c r="A392" s="56">
        <v>388</v>
      </c>
      <c r="B392" s="36"/>
      <c r="C392" s="75" t="s">
        <v>1016</v>
      </c>
      <c r="D392" s="37" t="str">
        <f t="shared" si="89"/>
        <v xml:space="preserve"> 829</v>
      </c>
      <c r="E392" s="38" t="s">
        <v>1016</v>
      </c>
      <c r="F392" s="39">
        <f t="shared" si="90"/>
        <v>0</v>
      </c>
      <c r="G392" s="76" t="s">
        <v>335</v>
      </c>
      <c r="H392" s="77" t="s">
        <v>1392</v>
      </c>
      <c r="I392" s="77" t="s">
        <v>837</v>
      </c>
      <c r="J392" s="41">
        <v>69000</v>
      </c>
      <c r="K392" s="42">
        <f t="shared" si="80"/>
        <v>8900</v>
      </c>
      <c r="L392" s="39" t="s">
        <v>22</v>
      </c>
      <c r="M392" s="43">
        <f t="shared" si="81"/>
        <v>60100</v>
      </c>
      <c r="N392" s="43">
        <f>2000+4850+600+200+250+1000</f>
        <v>8900</v>
      </c>
      <c r="O392" s="72">
        <f t="shared" si="82"/>
        <v>69000</v>
      </c>
      <c r="P392" s="29"/>
      <c r="Q392" s="40" t="s">
        <v>1315</v>
      </c>
      <c r="R392" s="53"/>
      <c r="S392" s="44">
        <f t="shared" si="83"/>
        <v>69000</v>
      </c>
      <c r="T392" s="44">
        <f t="shared" si="84"/>
        <v>98571.42857142858</v>
      </c>
      <c r="U392" s="45">
        <f t="shared" si="85"/>
        <v>112653.06122448981</v>
      </c>
      <c r="V392" s="46">
        <f t="shared" si="86"/>
        <v>0.12500000000000003</v>
      </c>
      <c r="W392" s="45">
        <f t="shared" si="87"/>
        <v>112700</v>
      </c>
      <c r="X392" s="47">
        <f t="shared" si="88"/>
        <v>0.30000000000000004</v>
      </c>
      <c r="Y392" s="54"/>
      <c r="Z392" s="54"/>
      <c r="AA392" s="55"/>
    </row>
    <row r="393" spans="1:27" ht="14.4" hidden="1" customHeight="1">
      <c r="A393" s="56">
        <v>389</v>
      </c>
      <c r="B393" s="36"/>
      <c r="C393" s="75" t="s">
        <v>1018</v>
      </c>
      <c r="D393" s="37" t="str">
        <f t="shared" si="89"/>
        <v xml:space="preserve"> 663</v>
      </c>
      <c r="E393" s="38" t="s">
        <v>1018</v>
      </c>
      <c r="F393" s="39">
        <f t="shared" si="90"/>
        <v>0</v>
      </c>
      <c r="G393" s="76" t="s">
        <v>335</v>
      </c>
      <c r="H393" s="77" t="s">
        <v>1006</v>
      </c>
      <c r="I393" s="77" t="s">
        <v>956</v>
      </c>
      <c r="J393" s="41">
        <v>65000</v>
      </c>
      <c r="K393" s="42">
        <f t="shared" si="80"/>
        <v>8400</v>
      </c>
      <c r="L393" s="39" t="s">
        <v>22</v>
      </c>
      <c r="M393" s="43">
        <f t="shared" si="81"/>
        <v>56600</v>
      </c>
      <c r="N393" s="43">
        <f>2000+4850+600+200+250+500</f>
        <v>8400</v>
      </c>
      <c r="O393" s="72">
        <f t="shared" si="82"/>
        <v>65000</v>
      </c>
      <c r="P393" s="29"/>
      <c r="Q393" s="40" t="s">
        <v>1388</v>
      </c>
      <c r="R393" s="53"/>
      <c r="S393" s="44">
        <f t="shared" si="83"/>
        <v>65000</v>
      </c>
      <c r="T393" s="44">
        <f t="shared" si="84"/>
        <v>92857.14285714287</v>
      </c>
      <c r="U393" s="45">
        <f t="shared" si="85"/>
        <v>106122.44897959185</v>
      </c>
      <c r="V393" s="46">
        <f t="shared" si="86"/>
        <v>0.12499999999999999</v>
      </c>
      <c r="W393" s="45">
        <f t="shared" si="87"/>
        <v>106200</v>
      </c>
      <c r="X393" s="47">
        <f t="shared" si="88"/>
        <v>0.3000000000000001</v>
      </c>
      <c r="Y393" s="54"/>
      <c r="Z393" s="54"/>
      <c r="AA393" s="55"/>
    </row>
    <row r="394" spans="1:27" ht="14.4" hidden="1" customHeight="1">
      <c r="A394" s="56">
        <v>390</v>
      </c>
      <c r="B394" s="36"/>
      <c r="C394" s="73" t="s">
        <v>135</v>
      </c>
      <c r="D394" s="37" t="str">
        <f t="shared" si="89"/>
        <v xml:space="preserve"> 777</v>
      </c>
      <c r="E394" s="38" t="s">
        <v>135</v>
      </c>
      <c r="F394" s="39">
        <f t="shared" si="90"/>
        <v>0</v>
      </c>
      <c r="G394" s="76" t="s">
        <v>335</v>
      </c>
      <c r="H394" s="77" t="s">
        <v>325</v>
      </c>
      <c r="I394" s="77" t="s">
        <v>41</v>
      </c>
      <c r="J394" s="41">
        <v>64000</v>
      </c>
      <c r="K394" s="42">
        <f t="shared" si="80"/>
        <v>7900</v>
      </c>
      <c r="L394" s="39" t="s">
        <v>22</v>
      </c>
      <c r="M394" s="43">
        <f t="shared" si="81"/>
        <v>56100</v>
      </c>
      <c r="N394" s="43">
        <f>2000+4850+600+200+250</f>
        <v>7900</v>
      </c>
      <c r="O394" s="72">
        <f t="shared" si="82"/>
        <v>64000</v>
      </c>
      <c r="P394" s="30"/>
      <c r="Q394" s="40" t="s">
        <v>72</v>
      </c>
      <c r="R394" s="44"/>
      <c r="S394" s="44">
        <f t="shared" si="83"/>
        <v>64000</v>
      </c>
      <c r="T394" s="44">
        <f t="shared" si="84"/>
        <v>91428.571428571435</v>
      </c>
      <c r="U394" s="45">
        <f t="shared" si="85"/>
        <v>104489.79591836735</v>
      </c>
      <c r="V394" s="46">
        <f t="shared" si="86"/>
        <v>0.12499999999999999</v>
      </c>
      <c r="W394" s="45">
        <f t="shared" si="87"/>
        <v>104500</v>
      </c>
      <c r="X394" s="47">
        <f t="shared" si="88"/>
        <v>0.30000000000000004</v>
      </c>
      <c r="Y394" s="48"/>
      <c r="Z394" s="48"/>
      <c r="AA394" s="50"/>
    </row>
    <row r="395" spans="1:27" ht="14.4" hidden="1" customHeight="1">
      <c r="A395" s="56">
        <v>391</v>
      </c>
      <c r="B395" s="36"/>
      <c r="C395" s="75" t="s">
        <v>1021</v>
      </c>
      <c r="D395" s="37" t="str">
        <f t="shared" si="89"/>
        <v xml:space="preserve"> 988</v>
      </c>
      <c r="E395" s="38" t="s">
        <v>1021</v>
      </c>
      <c r="F395" s="39">
        <f t="shared" si="90"/>
        <v>0</v>
      </c>
      <c r="G395" s="76" t="s">
        <v>335</v>
      </c>
      <c r="H395" s="77" t="s">
        <v>1006</v>
      </c>
      <c r="I395" s="77" t="s">
        <v>1022</v>
      </c>
      <c r="J395" s="41">
        <v>65000</v>
      </c>
      <c r="K395" s="42">
        <f t="shared" si="80"/>
        <v>7900</v>
      </c>
      <c r="L395" s="39"/>
      <c r="M395" s="43">
        <f t="shared" si="81"/>
        <v>57100</v>
      </c>
      <c r="N395" s="43">
        <f>2000+4850+600+200+250</f>
        <v>7900</v>
      </c>
      <c r="O395" s="72">
        <f t="shared" si="82"/>
        <v>65000</v>
      </c>
      <c r="P395" s="30"/>
      <c r="Q395" s="40" t="s">
        <v>1306</v>
      </c>
      <c r="R395" s="44"/>
      <c r="S395" s="44">
        <f t="shared" si="83"/>
        <v>65000</v>
      </c>
      <c r="T395" s="44">
        <f t="shared" si="84"/>
        <v>92857.14285714287</v>
      </c>
      <c r="U395" s="45">
        <f t="shared" si="85"/>
        <v>106122.44897959185</v>
      </c>
      <c r="V395" s="46">
        <f t="shared" si="86"/>
        <v>0.12499999999999999</v>
      </c>
      <c r="W395" s="45">
        <f t="shared" si="87"/>
        <v>106200</v>
      </c>
      <c r="X395" s="47">
        <f t="shared" si="88"/>
        <v>0.3000000000000001</v>
      </c>
      <c r="Y395" s="48"/>
      <c r="Z395" s="48"/>
      <c r="AA395" s="50"/>
    </row>
    <row r="396" spans="1:27" ht="14.4" hidden="1" customHeight="1">
      <c r="A396" s="56">
        <v>392</v>
      </c>
      <c r="B396" s="36"/>
      <c r="C396" s="75" t="s">
        <v>1024</v>
      </c>
      <c r="D396" s="37" t="str">
        <f t="shared" si="89"/>
        <v xml:space="preserve"> 883</v>
      </c>
      <c r="E396" s="38" t="s">
        <v>1024</v>
      </c>
      <c r="F396" s="39">
        <f t="shared" si="90"/>
        <v>0</v>
      </c>
      <c r="G396" s="76" t="s">
        <v>335</v>
      </c>
      <c r="H396" s="77" t="s">
        <v>1006</v>
      </c>
      <c r="I396" s="77" t="s">
        <v>1022</v>
      </c>
      <c r="J396" s="41">
        <v>65000</v>
      </c>
      <c r="K396" s="42">
        <f t="shared" si="80"/>
        <v>7900</v>
      </c>
      <c r="L396" s="39"/>
      <c r="M396" s="43">
        <f t="shared" si="81"/>
        <v>57100</v>
      </c>
      <c r="N396" s="43">
        <f>2000+4850+600+200+250</f>
        <v>7900</v>
      </c>
      <c r="O396" s="72">
        <f t="shared" si="82"/>
        <v>65000</v>
      </c>
      <c r="P396" s="30"/>
      <c r="Q396" s="40" t="s">
        <v>1306</v>
      </c>
      <c r="R396" s="44"/>
      <c r="S396" s="44">
        <f t="shared" si="83"/>
        <v>65000</v>
      </c>
      <c r="T396" s="44">
        <f t="shared" si="84"/>
        <v>92857.14285714287</v>
      </c>
      <c r="U396" s="45">
        <f t="shared" si="85"/>
        <v>106122.44897959185</v>
      </c>
      <c r="V396" s="46">
        <f t="shared" si="86"/>
        <v>0.12499999999999999</v>
      </c>
      <c r="W396" s="45">
        <f t="shared" si="87"/>
        <v>106200</v>
      </c>
      <c r="X396" s="47">
        <f t="shared" si="88"/>
        <v>0.3000000000000001</v>
      </c>
      <c r="Y396" s="48"/>
      <c r="Z396" s="48"/>
      <c r="AA396" s="50"/>
    </row>
    <row r="397" spans="1:27" ht="14.4" hidden="1" customHeight="1">
      <c r="A397" s="56">
        <v>393</v>
      </c>
      <c r="B397" s="36"/>
      <c r="C397" s="73" t="s">
        <v>246</v>
      </c>
      <c r="D397" s="37" t="str">
        <f t="shared" si="89"/>
        <v xml:space="preserve"> 836</v>
      </c>
      <c r="E397" s="38" t="s">
        <v>246</v>
      </c>
      <c r="F397" s="39">
        <f t="shared" si="90"/>
        <v>0</v>
      </c>
      <c r="G397" s="76" t="s">
        <v>340</v>
      </c>
      <c r="H397" s="77" t="s">
        <v>1006</v>
      </c>
      <c r="I397" s="77" t="s">
        <v>68</v>
      </c>
      <c r="J397" s="41">
        <v>72000</v>
      </c>
      <c r="K397" s="42">
        <f t="shared" si="80"/>
        <v>8750</v>
      </c>
      <c r="L397" s="39" t="s">
        <v>22</v>
      </c>
      <c r="M397" s="43">
        <f t="shared" si="81"/>
        <v>63250</v>
      </c>
      <c r="N397" s="43">
        <f>2000+5200+600+200+250+500</f>
        <v>8750</v>
      </c>
      <c r="O397" s="72">
        <f t="shared" si="82"/>
        <v>72000</v>
      </c>
      <c r="P397" s="29"/>
      <c r="Q397" s="40" t="s">
        <v>251</v>
      </c>
      <c r="R397" s="44"/>
      <c r="S397" s="44">
        <f t="shared" si="83"/>
        <v>72000</v>
      </c>
      <c r="T397" s="44">
        <f t="shared" si="84"/>
        <v>102857.14285714287</v>
      </c>
      <c r="U397" s="45">
        <f t="shared" si="85"/>
        <v>117551.02040816328</v>
      </c>
      <c r="V397" s="46">
        <f t="shared" si="86"/>
        <v>0.12500000000000003</v>
      </c>
      <c r="W397" s="45">
        <f t="shared" si="87"/>
        <v>117600</v>
      </c>
      <c r="X397" s="47">
        <f t="shared" si="88"/>
        <v>0.3000000000000001</v>
      </c>
      <c r="Y397" s="57">
        <v>100013</v>
      </c>
      <c r="Z397" s="58">
        <f>T397-Y397</f>
        <v>2844.1428571428696</v>
      </c>
      <c r="AA397" s="59">
        <f>Z397/Y397</f>
        <v>2.8437731666312076E-2</v>
      </c>
    </row>
    <row r="398" spans="1:27" ht="14.4" hidden="1" customHeight="1">
      <c r="A398" s="56">
        <v>394</v>
      </c>
      <c r="B398" s="36"/>
      <c r="C398" s="73" t="s">
        <v>136</v>
      </c>
      <c r="D398" s="37" t="str">
        <f t="shared" si="89"/>
        <v xml:space="preserve"> 588</v>
      </c>
      <c r="E398" s="38" t="s">
        <v>136</v>
      </c>
      <c r="F398" s="39">
        <f t="shared" si="90"/>
        <v>0</v>
      </c>
      <c r="G398" s="76" t="s">
        <v>340</v>
      </c>
      <c r="H398" s="77" t="s">
        <v>1006</v>
      </c>
      <c r="I398" s="77" t="s">
        <v>41</v>
      </c>
      <c r="J398" s="41">
        <v>57500</v>
      </c>
      <c r="K398" s="42">
        <f t="shared" si="80"/>
        <v>7900</v>
      </c>
      <c r="L398" s="39" t="s">
        <v>22</v>
      </c>
      <c r="M398" s="43">
        <f t="shared" si="81"/>
        <v>49600</v>
      </c>
      <c r="N398" s="43">
        <f>2000+4850+600+200+250</f>
        <v>7900</v>
      </c>
      <c r="O398" s="72">
        <f t="shared" si="82"/>
        <v>57500</v>
      </c>
      <c r="P398" s="29"/>
      <c r="Q398" s="40" t="s">
        <v>72</v>
      </c>
      <c r="R398" s="44"/>
      <c r="S398" s="44">
        <f t="shared" si="83"/>
        <v>57500</v>
      </c>
      <c r="T398" s="44">
        <f t="shared" si="84"/>
        <v>82142.857142857145</v>
      </c>
      <c r="U398" s="45">
        <f t="shared" si="85"/>
        <v>93877.551020408166</v>
      </c>
      <c r="V398" s="46">
        <f t="shared" si="86"/>
        <v>0.125</v>
      </c>
      <c r="W398" s="45">
        <f t="shared" si="87"/>
        <v>93900</v>
      </c>
      <c r="X398" s="47">
        <f t="shared" si="88"/>
        <v>0.30000000000000004</v>
      </c>
      <c r="Y398" s="57">
        <v>80063</v>
      </c>
      <c r="Z398" s="58">
        <f>T398-Y398</f>
        <v>2079.8571428571449</v>
      </c>
      <c r="AA398" s="59">
        <f>Z398/Y398</f>
        <v>2.5977756802232552E-2</v>
      </c>
    </row>
    <row r="399" spans="1:27" ht="14.4" hidden="1" customHeight="1">
      <c r="A399" s="56">
        <v>395</v>
      </c>
      <c r="B399" s="36"/>
      <c r="C399" s="73" t="s">
        <v>188</v>
      </c>
      <c r="D399" s="37" t="str">
        <f t="shared" si="89"/>
        <v xml:space="preserve"> 684</v>
      </c>
      <c r="E399" s="38" t="s">
        <v>188</v>
      </c>
      <c r="F399" s="39">
        <f t="shared" si="90"/>
        <v>0</v>
      </c>
      <c r="G399" s="76" t="s">
        <v>335</v>
      </c>
      <c r="H399" s="77" t="s">
        <v>1006</v>
      </c>
      <c r="I399" s="77" t="s">
        <v>61</v>
      </c>
      <c r="J399" s="41">
        <v>67500</v>
      </c>
      <c r="K399" s="42">
        <f t="shared" si="80"/>
        <v>8900</v>
      </c>
      <c r="L399" s="39" t="s">
        <v>22</v>
      </c>
      <c r="M399" s="43">
        <f t="shared" si="81"/>
        <v>58600</v>
      </c>
      <c r="N399" s="49">
        <f>2000+4850+600+200+250+1000</f>
        <v>8900</v>
      </c>
      <c r="O399" s="72">
        <f t="shared" si="82"/>
        <v>67500</v>
      </c>
      <c r="P399" s="29"/>
      <c r="Q399" s="40" t="s">
        <v>87</v>
      </c>
      <c r="R399" s="44"/>
      <c r="S399" s="44">
        <f t="shared" si="83"/>
        <v>67500</v>
      </c>
      <c r="T399" s="44">
        <f t="shared" si="84"/>
        <v>96428.571428571435</v>
      </c>
      <c r="U399" s="45">
        <f t="shared" si="85"/>
        <v>110204.08163265306</v>
      </c>
      <c r="V399" s="46">
        <f t="shared" si="86"/>
        <v>0.12499999999999994</v>
      </c>
      <c r="W399" s="45">
        <f t="shared" si="87"/>
        <v>110300</v>
      </c>
      <c r="X399" s="47">
        <f t="shared" si="88"/>
        <v>0.30000000000000004</v>
      </c>
      <c r="Y399" s="48"/>
      <c r="Z399" s="48"/>
      <c r="AA399" s="50"/>
    </row>
    <row r="400" spans="1:27" ht="14.4" hidden="1" customHeight="1">
      <c r="A400" s="56">
        <v>396</v>
      </c>
      <c r="B400" s="36"/>
      <c r="C400" s="73" t="s">
        <v>281</v>
      </c>
      <c r="D400" s="37" t="str">
        <f t="shared" si="89"/>
        <v xml:space="preserve"> 303</v>
      </c>
      <c r="E400" s="38" t="s">
        <v>281</v>
      </c>
      <c r="F400" s="39">
        <f t="shared" si="90"/>
        <v>0</v>
      </c>
      <c r="G400" s="76" t="s">
        <v>340</v>
      </c>
      <c r="H400" s="77" t="s">
        <v>1006</v>
      </c>
      <c r="I400" s="77" t="s">
        <v>297</v>
      </c>
      <c r="J400" s="41">
        <v>60000</v>
      </c>
      <c r="K400" s="42">
        <f t="shared" si="80"/>
        <v>7900</v>
      </c>
      <c r="L400" s="39" t="s">
        <v>22</v>
      </c>
      <c r="M400" s="43">
        <f t="shared" si="81"/>
        <v>52100</v>
      </c>
      <c r="N400" s="43">
        <f>4850+600+200+250+2000</f>
        <v>7900</v>
      </c>
      <c r="O400" s="72">
        <f t="shared" si="82"/>
        <v>60000</v>
      </c>
      <c r="P400" s="29"/>
      <c r="Q400" s="40" t="s">
        <v>72</v>
      </c>
      <c r="R400" s="53"/>
      <c r="S400" s="44">
        <f t="shared" si="83"/>
        <v>60000</v>
      </c>
      <c r="T400" s="44">
        <f t="shared" si="84"/>
        <v>85714.285714285725</v>
      </c>
      <c r="U400" s="45">
        <f t="shared" si="85"/>
        <v>97959.183673469393</v>
      </c>
      <c r="V400" s="46">
        <f t="shared" si="86"/>
        <v>0.12499999999999994</v>
      </c>
      <c r="W400" s="45">
        <f t="shared" si="87"/>
        <v>98000</v>
      </c>
      <c r="X400" s="47">
        <f t="shared" si="88"/>
        <v>0.3000000000000001</v>
      </c>
      <c r="Y400" s="57">
        <v>80500</v>
      </c>
      <c r="Z400" s="58">
        <f>T400-Y400</f>
        <v>5214.2857142857247</v>
      </c>
      <c r="AA400" s="59">
        <f>Z400/Y400</f>
        <v>6.4773735581189124E-2</v>
      </c>
    </row>
    <row r="401" spans="1:27" ht="14.4" hidden="1" customHeight="1">
      <c r="A401" s="56">
        <v>397</v>
      </c>
      <c r="B401" s="36"/>
      <c r="C401" s="73" t="s">
        <v>282</v>
      </c>
      <c r="D401" s="37" t="str">
        <f t="shared" si="89"/>
        <v xml:space="preserve"> 157</v>
      </c>
      <c r="E401" s="38" t="s">
        <v>282</v>
      </c>
      <c r="F401" s="39">
        <f t="shared" si="90"/>
        <v>0</v>
      </c>
      <c r="G401" s="76" t="s">
        <v>335</v>
      </c>
      <c r="H401" s="77" t="s">
        <v>1006</v>
      </c>
      <c r="I401" s="77" t="s">
        <v>297</v>
      </c>
      <c r="J401" s="41">
        <v>62000</v>
      </c>
      <c r="K401" s="42">
        <f t="shared" si="80"/>
        <v>7900</v>
      </c>
      <c r="L401" s="39" t="s">
        <v>22</v>
      </c>
      <c r="M401" s="43">
        <f t="shared" si="81"/>
        <v>54100</v>
      </c>
      <c r="N401" s="43">
        <f>4850+600+200+250+2000</f>
        <v>7900</v>
      </c>
      <c r="O401" s="72">
        <f t="shared" si="82"/>
        <v>62000</v>
      </c>
      <c r="P401" s="29"/>
      <c r="Q401" s="40" t="s">
        <v>72</v>
      </c>
      <c r="R401" s="53"/>
      <c r="S401" s="44">
        <f t="shared" si="83"/>
        <v>62000</v>
      </c>
      <c r="T401" s="44">
        <f t="shared" si="84"/>
        <v>88571.42857142858</v>
      </c>
      <c r="U401" s="45">
        <f t="shared" si="85"/>
        <v>101224.48979591837</v>
      </c>
      <c r="V401" s="46">
        <f t="shared" si="86"/>
        <v>0.12499999999999996</v>
      </c>
      <c r="W401" s="45">
        <f t="shared" si="87"/>
        <v>101300</v>
      </c>
      <c r="X401" s="47">
        <f t="shared" si="88"/>
        <v>0.30000000000000004</v>
      </c>
      <c r="Y401" s="54"/>
      <c r="Z401" s="54"/>
      <c r="AA401" s="55"/>
    </row>
    <row r="402" spans="1:27" ht="14.4" hidden="1" customHeight="1">
      <c r="A402" s="56">
        <v>398</v>
      </c>
      <c r="B402" s="36"/>
      <c r="C402" s="73" t="s">
        <v>280</v>
      </c>
      <c r="D402" s="37" t="str">
        <f t="shared" si="89"/>
        <v xml:space="preserve"> 656</v>
      </c>
      <c r="E402" s="38" t="s">
        <v>280</v>
      </c>
      <c r="F402" s="39">
        <f t="shared" si="90"/>
        <v>0</v>
      </c>
      <c r="G402" s="76" t="s">
        <v>335</v>
      </c>
      <c r="H402" s="77" t="s">
        <v>1006</v>
      </c>
      <c r="I402" s="77" t="s">
        <v>297</v>
      </c>
      <c r="J402" s="41">
        <v>62000</v>
      </c>
      <c r="K402" s="42">
        <f t="shared" si="80"/>
        <v>7900</v>
      </c>
      <c r="L402" s="39" t="s">
        <v>22</v>
      </c>
      <c r="M402" s="43">
        <f t="shared" si="81"/>
        <v>54100</v>
      </c>
      <c r="N402" s="43">
        <f>4850+600+200+250+2000</f>
        <v>7900</v>
      </c>
      <c r="O402" s="72">
        <f t="shared" si="82"/>
        <v>62000</v>
      </c>
      <c r="P402" s="29"/>
      <c r="Q402" s="40" t="s">
        <v>72</v>
      </c>
      <c r="R402" s="53"/>
      <c r="S402" s="44">
        <f t="shared" si="83"/>
        <v>62000</v>
      </c>
      <c r="T402" s="44">
        <f t="shared" si="84"/>
        <v>88571.42857142858</v>
      </c>
      <c r="U402" s="45">
        <f t="shared" si="85"/>
        <v>101224.48979591837</v>
      </c>
      <c r="V402" s="46">
        <f t="shared" si="86"/>
        <v>0.12499999999999996</v>
      </c>
      <c r="W402" s="45">
        <f t="shared" si="87"/>
        <v>101300</v>
      </c>
      <c r="X402" s="47">
        <f t="shared" si="88"/>
        <v>0.30000000000000004</v>
      </c>
      <c r="Y402" s="54"/>
      <c r="Z402" s="54"/>
      <c r="AA402" s="55"/>
    </row>
    <row r="403" spans="1:27" ht="14.4" hidden="1" customHeight="1">
      <c r="A403" s="56">
        <v>399</v>
      </c>
      <c r="B403" s="36"/>
      <c r="C403" s="73" t="s">
        <v>113</v>
      </c>
      <c r="D403" s="37" t="str">
        <f t="shared" si="89"/>
        <v xml:space="preserve"> 146</v>
      </c>
      <c r="E403" s="38" t="s">
        <v>113</v>
      </c>
      <c r="F403" s="39">
        <f t="shared" si="90"/>
        <v>0</v>
      </c>
      <c r="G403" s="76" t="s">
        <v>335</v>
      </c>
      <c r="H403" s="77" t="s">
        <v>1006</v>
      </c>
      <c r="I403" s="77" t="s">
        <v>415</v>
      </c>
      <c r="J403" s="41">
        <v>68000</v>
      </c>
      <c r="K403" s="42">
        <f t="shared" si="80"/>
        <v>7900</v>
      </c>
      <c r="L403" s="39" t="s">
        <v>22</v>
      </c>
      <c r="M403" s="43">
        <f t="shared" si="81"/>
        <v>60100</v>
      </c>
      <c r="N403" s="43">
        <f>2000+4850+600+200+250</f>
        <v>7900</v>
      </c>
      <c r="O403" s="72">
        <f t="shared" si="82"/>
        <v>68000</v>
      </c>
      <c r="P403" s="29"/>
      <c r="Q403" s="40" t="s">
        <v>72</v>
      </c>
      <c r="R403" s="44"/>
      <c r="S403" s="44">
        <f t="shared" si="83"/>
        <v>68000</v>
      </c>
      <c r="T403" s="44">
        <f t="shared" si="84"/>
        <v>97142.857142857145</v>
      </c>
      <c r="U403" s="45">
        <f t="shared" si="85"/>
        <v>111020.40816326531</v>
      </c>
      <c r="V403" s="46">
        <f t="shared" si="86"/>
        <v>0.12500000000000003</v>
      </c>
      <c r="W403" s="45">
        <f t="shared" si="87"/>
        <v>111100</v>
      </c>
      <c r="X403" s="47">
        <f t="shared" si="88"/>
        <v>0.3</v>
      </c>
      <c r="Y403" s="48"/>
      <c r="Z403" s="48"/>
      <c r="AA403" s="48"/>
    </row>
    <row r="404" spans="1:27" ht="14.4" hidden="1" customHeight="1">
      <c r="A404" s="56">
        <v>400</v>
      </c>
      <c r="B404" s="36"/>
      <c r="C404" s="75" t="s">
        <v>1033</v>
      </c>
      <c r="D404" s="37" t="str">
        <f t="shared" si="89"/>
        <v xml:space="preserve"> 181</v>
      </c>
      <c r="E404" s="38" t="s">
        <v>1033</v>
      </c>
      <c r="F404" s="39">
        <f t="shared" si="90"/>
        <v>0</v>
      </c>
      <c r="G404" s="76" t="s">
        <v>340</v>
      </c>
      <c r="H404" s="77" t="s">
        <v>1013</v>
      </c>
      <c r="I404" s="77" t="s">
        <v>1034</v>
      </c>
      <c r="J404" s="41"/>
      <c r="K404" s="42">
        <f t="shared" si="80"/>
        <v>0</v>
      </c>
      <c r="L404" s="39"/>
      <c r="M404" s="43">
        <f t="shared" si="81"/>
        <v>0</v>
      </c>
      <c r="N404" s="43"/>
      <c r="O404" s="72">
        <f t="shared" si="82"/>
        <v>0</v>
      </c>
      <c r="P404" s="29"/>
      <c r="Q404" s="40"/>
      <c r="R404" s="44"/>
      <c r="S404" s="44">
        <f t="shared" si="83"/>
        <v>0</v>
      </c>
      <c r="T404" s="44">
        <f t="shared" si="84"/>
        <v>0</v>
      </c>
      <c r="U404" s="45">
        <f t="shared" si="85"/>
        <v>0</v>
      </c>
      <c r="V404" s="46" t="e">
        <f t="shared" si="86"/>
        <v>#DIV/0!</v>
      </c>
      <c r="W404" s="45">
        <f t="shared" si="87"/>
        <v>0</v>
      </c>
      <c r="X404" s="47" t="e">
        <f t="shared" si="88"/>
        <v>#DIV/0!</v>
      </c>
      <c r="Y404" s="57">
        <v>78488</v>
      </c>
      <c r="Z404" s="58">
        <f>T404-Y404</f>
        <v>-78488</v>
      </c>
      <c r="AA404" s="59">
        <f>Z404/Y404</f>
        <v>-1</v>
      </c>
    </row>
    <row r="405" spans="1:27" ht="14.4" hidden="1" customHeight="1">
      <c r="A405" s="56">
        <v>401</v>
      </c>
      <c r="B405" s="36"/>
      <c r="C405" s="75" t="s">
        <v>1036</v>
      </c>
      <c r="D405" s="37" t="str">
        <f t="shared" si="89"/>
        <v xml:space="preserve"> 371</v>
      </c>
      <c r="E405" s="38" t="s">
        <v>1036</v>
      </c>
      <c r="F405" s="39">
        <f t="shared" si="90"/>
        <v>0</v>
      </c>
      <c r="G405" s="76" t="s">
        <v>335</v>
      </c>
      <c r="H405" s="77" t="s">
        <v>1006</v>
      </c>
      <c r="I405" s="77" t="s">
        <v>1022</v>
      </c>
      <c r="J405" s="41">
        <v>65000</v>
      </c>
      <c r="K405" s="42">
        <f t="shared" si="80"/>
        <v>7900</v>
      </c>
      <c r="L405" s="39"/>
      <c r="M405" s="43">
        <f t="shared" si="81"/>
        <v>57100</v>
      </c>
      <c r="N405" s="43">
        <f>2000+4850+600+200+250</f>
        <v>7900</v>
      </c>
      <c r="O405" s="72">
        <f t="shared" si="82"/>
        <v>65000</v>
      </c>
      <c r="P405" s="29"/>
      <c r="Q405" s="40" t="s">
        <v>1306</v>
      </c>
      <c r="R405" s="44"/>
      <c r="S405" s="44">
        <f t="shared" si="83"/>
        <v>65000</v>
      </c>
      <c r="T405" s="44">
        <f t="shared" si="84"/>
        <v>92857.14285714287</v>
      </c>
      <c r="U405" s="45">
        <f t="shared" si="85"/>
        <v>106122.44897959185</v>
      </c>
      <c r="V405" s="46">
        <f t="shared" si="86"/>
        <v>0.12499999999999999</v>
      </c>
      <c r="W405" s="45">
        <f t="shared" si="87"/>
        <v>106200</v>
      </c>
      <c r="X405" s="47">
        <f t="shared" si="88"/>
        <v>0.3000000000000001</v>
      </c>
      <c r="Y405" s="48"/>
      <c r="Z405" s="48"/>
      <c r="AA405" s="48"/>
    </row>
    <row r="406" spans="1:27" ht="14.4" hidden="1" customHeight="1">
      <c r="A406" s="56">
        <v>402</v>
      </c>
      <c r="B406" s="36"/>
      <c r="C406" s="75" t="s">
        <v>1038</v>
      </c>
      <c r="D406" s="37" t="str">
        <f t="shared" si="89"/>
        <v xml:space="preserve"> 325</v>
      </c>
      <c r="E406" s="38" t="s">
        <v>1038</v>
      </c>
      <c r="F406" s="39">
        <f t="shared" si="90"/>
        <v>0</v>
      </c>
      <c r="G406" s="76" t="s">
        <v>340</v>
      </c>
      <c r="H406" s="77" t="s">
        <v>1013</v>
      </c>
      <c r="I406" s="77" t="s">
        <v>1034</v>
      </c>
      <c r="J406" s="41"/>
      <c r="K406" s="42">
        <f t="shared" si="80"/>
        <v>0</v>
      </c>
      <c r="L406" s="39"/>
      <c r="M406" s="43">
        <f t="shared" si="81"/>
        <v>0</v>
      </c>
      <c r="N406" s="43"/>
      <c r="O406" s="72">
        <f t="shared" si="82"/>
        <v>0</v>
      </c>
      <c r="P406" s="29"/>
      <c r="Q406" s="40"/>
      <c r="R406" s="44"/>
      <c r="S406" s="44">
        <f t="shared" si="83"/>
        <v>0</v>
      </c>
      <c r="T406" s="44">
        <f t="shared" si="84"/>
        <v>0</v>
      </c>
      <c r="U406" s="45">
        <f t="shared" si="85"/>
        <v>0</v>
      </c>
      <c r="V406" s="46" t="e">
        <f t="shared" si="86"/>
        <v>#DIV/0!</v>
      </c>
      <c r="W406" s="45">
        <f t="shared" si="87"/>
        <v>0</v>
      </c>
      <c r="X406" s="47" t="e">
        <f t="shared" si="88"/>
        <v>#DIV/0!</v>
      </c>
      <c r="Y406" s="57">
        <v>79975</v>
      </c>
      <c r="Z406" s="58">
        <f>T406-Y406</f>
        <v>-79975</v>
      </c>
      <c r="AA406" s="59">
        <f>Z406/Y406</f>
        <v>-1</v>
      </c>
    </row>
    <row r="407" spans="1:27" ht="14.4" hidden="1" customHeight="1">
      <c r="A407" s="56">
        <v>403</v>
      </c>
      <c r="B407" s="36"/>
      <c r="C407" s="73" t="s">
        <v>123</v>
      </c>
      <c r="D407" s="37" t="str">
        <f t="shared" si="89"/>
        <v xml:space="preserve"> 123</v>
      </c>
      <c r="E407" s="38" t="s">
        <v>123</v>
      </c>
      <c r="F407" s="39">
        <f t="shared" si="90"/>
        <v>0</v>
      </c>
      <c r="G407" s="76" t="s">
        <v>335</v>
      </c>
      <c r="H407" s="77" t="s">
        <v>1001</v>
      </c>
      <c r="I407" s="77" t="s">
        <v>39</v>
      </c>
      <c r="J407" s="41">
        <v>62500</v>
      </c>
      <c r="K407" s="42">
        <f t="shared" si="80"/>
        <v>7900</v>
      </c>
      <c r="L407" s="39" t="s">
        <v>22</v>
      </c>
      <c r="M407" s="43">
        <f t="shared" si="81"/>
        <v>54600</v>
      </c>
      <c r="N407" s="43">
        <f>2000+4850+600+200+250</f>
        <v>7900</v>
      </c>
      <c r="O407" s="72">
        <f t="shared" si="82"/>
        <v>62500</v>
      </c>
      <c r="P407" s="29"/>
      <c r="Q407" s="40" t="s">
        <v>69</v>
      </c>
      <c r="R407" s="44"/>
      <c r="S407" s="44">
        <f t="shared" si="83"/>
        <v>62500</v>
      </c>
      <c r="T407" s="44">
        <f t="shared" si="84"/>
        <v>89285.71428571429</v>
      </c>
      <c r="U407" s="45">
        <f t="shared" si="85"/>
        <v>102040.81632653062</v>
      </c>
      <c r="V407" s="46">
        <f t="shared" si="86"/>
        <v>0.12500000000000003</v>
      </c>
      <c r="W407" s="45">
        <f t="shared" si="87"/>
        <v>102100</v>
      </c>
      <c r="X407" s="47">
        <f t="shared" si="88"/>
        <v>0.30000000000000004</v>
      </c>
      <c r="Y407" s="48"/>
      <c r="Z407" s="48"/>
      <c r="AA407" s="48"/>
    </row>
    <row r="408" spans="1:27" ht="14.4" hidden="1" customHeight="1">
      <c r="A408" s="56">
        <v>404</v>
      </c>
      <c r="B408" s="36"/>
      <c r="C408" s="75" t="s">
        <v>1041</v>
      </c>
      <c r="D408" s="37" t="str">
        <f t="shared" si="89"/>
        <v xml:space="preserve"> 480</v>
      </c>
      <c r="E408" s="38" t="s">
        <v>1041</v>
      </c>
      <c r="F408" s="39">
        <f t="shared" si="90"/>
        <v>0</v>
      </c>
      <c r="G408" s="76" t="s">
        <v>335</v>
      </c>
      <c r="H408" s="77" t="s">
        <v>1001</v>
      </c>
      <c r="I408" s="77" t="s">
        <v>1042</v>
      </c>
      <c r="J408" s="41">
        <v>60000</v>
      </c>
      <c r="K408" s="42">
        <f t="shared" si="80"/>
        <v>7900</v>
      </c>
      <c r="L408" s="39" t="s">
        <v>22</v>
      </c>
      <c r="M408" s="43">
        <f t="shared" si="81"/>
        <v>52100</v>
      </c>
      <c r="N408" s="43">
        <f>2000+4850+600+200+250</f>
        <v>7900</v>
      </c>
      <c r="O408" s="72">
        <f t="shared" si="82"/>
        <v>60000</v>
      </c>
      <c r="P408" s="29"/>
      <c r="Q408" s="40" t="s">
        <v>1306</v>
      </c>
      <c r="R408" s="44"/>
      <c r="S408" s="44">
        <f t="shared" si="83"/>
        <v>60000</v>
      </c>
      <c r="T408" s="44">
        <f t="shared" si="84"/>
        <v>85714.285714285725</v>
      </c>
      <c r="U408" s="45">
        <f t="shared" si="85"/>
        <v>97959.183673469393</v>
      </c>
      <c r="V408" s="46">
        <f t="shared" si="86"/>
        <v>0.12499999999999994</v>
      </c>
      <c r="W408" s="45">
        <f t="shared" si="87"/>
        <v>98000</v>
      </c>
      <c r="X408" s="47">
        <f t="shared" si="88"/>
        <v>0.3000000000000001</v>
      </c>
      <c r="Y408" s="48"/>
      <c r="Z408" s="48"/>
      <c r="AA408" s="48"/>
    </row>
    <row r="409" spans="1:27" ht="14.4" hidden="1" customHeight="1">
      <c r="A409" s="56">
        <v>405</v>
      </c>
      <c r="B409" s="36"/>
      <c r="C409" s="75" t="s">
        <v>1044</v>
      </c>
      <c r="D409" s="37" t="str">
        <f t="shared" si="89"/>
        <v xml:space="preserve"> 808</v>
      </c>
      <c r="E409" s="38" t="s">
        <v>1044</v>
      </c>
      <c r="F409" s="39">
        <f t="shared" si="90"/>
        <v>0</v>
      </c>
      <c r="G409" s="76" t="s">
        <v>340</v>
      </c>
      <c r="H409" s="77" t="s">
        <v>1001</v>
      </c>
      <c r="I409" s="77" t="s">
        <v>1034</v>
      </c>
      <c r="J409" s="41"/>
      <c r="K409" s="42">
        <f t="shared" si="80"/>
        <v>0</v>
      </c>
      <c r="L409" s="39"/>
      <c r="M409" s="43">
        <f t="shared" si="81"/>
        <v>0</v>
      </c>
      <c r="N409" s="43"/>
      <c r="O409" s="72">
        <f t="shared" si="82"/>
        <v>0</v>
      </c>
      <c r="P409" s="29"/>
      <c r="Q409" s="40"/>
      <c r="R409" s="44"/>
      <c r="S409" s="44">
        <f t="shared" si="83"/>
        <v>0</v>
      </c>
      <c r="T409" s="44">
        <f t="shared" si="84"/>
        <v>0</v>
      </c>
      <c r="U409" s="45">
        <f t="shared" si="85"/>
        <v>0</v>
      </c>
      <c r="V409" s="46" t="e">
        <f t="shared" si="86"/>
        <v>#DIV/0!</v>
      </c>
      <c r="W409" s="45">
        <f t="shared" si="87"/>
        <v>0</v>
      </c>
      <c r="X409" s="47" t="e">
        <f t="shared" si="88"/>
        <v>#DIV/0!</v>
      </c>
      <c r="Y409" s="57">
        <v>79013</v>
      </c>
      <c r="Z409" s="58">
        <f>T409-Y409</f>
        <v>-79013</v>
      </c>
      <c r="AA409" s="59">
        <f>Z409/Y409</f>
        <v>-1</v>
      </c>
    </row>
    <row r="410" spans="1:27" ht="14.4" hidden="1" customHeight="1">
      <c r="A410" s="56">
        <v>406</v>
      </c>
      <c r="B410" s="36"/>
      <c r="C410" s="73" t="s">
        <v>122</v>
      </c>
      <c r="D410" s="37" t="str">
        <f t="shared" si="89"/>
        <v xml:space="preserve"> 602</v>
      </c>
      <c r="E410" s="38" t="s">
        <v>122</v>
      </c>
      <c r="F410" s="39">
        <f t="shared" si="90"/>
        <v>0</v>
      </c>
      <c r="G410" s="76" t="s">
        <v>335</v>
      </c>
      <c r="H410" s="77" t="s">
        <v>1001</v>
      </c>
      <c r="I410" s="77" t="s">
        <v>39</v>
      </c>
      <c r="J410" s="41">
        <v>66000</v>
      </c>
      <c r="K410" s="42">
        <f t="shared" si="80"/>
        <v>7900</v>
      </c>
      <c r="L410" s="39" t="s">
        <v>22</v>
      </c>
      <c r="M410" s="43">
        <f t="shared" si="81"/>
        <v>58100</v>
      </c>
      <c r="N410" s="43">
        <f>2000+4850+600+200+250</f>
        <v>7900</v>
      </c>
      <c r="O410" s="72">
        <f t="shared" si="82"/>
        <v>66000</v>
      </c>
      <c r="P410" s="30"/>
      <c r="Q410" s="40" t="s">
        <v>69</v>
      </c>
      <c r="R410" s="44"/>
      <c r="S410" s="44">
        <f t="shared" si="83"/>
        <v>66000</v>
      </c>
      <c r="T410" s="44">
        <f t="shared" si="84"/>
        <v>94285.71428571429</v>
      </c>
      <c r="U410" s="45">
        <f t="shared" si="85"/>
        <v>107755.10204081633</v>
      </c>
      <c r="V410" s="46">
        <f t="shared" si="86"/>
        <v>0.125</v>
      </c>
      <c r="W410" s="45">
        <f t="shared" si="87"/>
        <v>107800</v>
      </c>
      <c r="X410" s="47">
        <f t="shared" si="88"/>
        <v>0.30000000000000004</v>
      </c>
      <c r="Y410" s="48"/>
      <c r="Z410" s="48"/>
      <c r="AA410" s="50"/>
    </row>
    <row r="411" spans="1:27" ht="14.4" hidden="1" customHeight="1">
      <c r="A411" s="56">
        <v>407</v>
      </c>
      <c r="B411" s="36"/>
      <c r="C411" s="73" t="s">
        <v>134</v>
      </c>
      <c r="D411" s="37" t="str">
        <f t="shared" si="89"/>
        <v xml:space="preserve"> 675</v>
      </c>
      <c r="E411" s="38" t="s">
        <v>134</v>
      </c>
      <c r="F411" s="39">
        <f t="shared" si="90"/>
        <v>0</v>
      </c>
      <c r="G411" s="76" t="s">
        <v>335</v>
      </c>
      <c r="H411" s="77" t="s">
        <v>1001</v>
      </c>
      <c r="I411" s="77" t="s">
        <v>41</v>
      </c>
      <c r="J411" s="41">
        <v>62500</v>
      </c>
      <c r="K411" s="42">
        <f t="shared" si="80"/>
        <v>7900</v>
      </c>
      <c r="L411" s="39" t="s">
        <v>22</v>
      </c>
      <c r="M411" s="43">
        <f t="shared" si="81"/>
        <v>54600</v>
      </c>
      <c r="N411" s="43">
        <f>2000+4850+600+200+250</f>
        <v>7900</v>
      </c>
      <c r="O411" s="72">
        <f t="shared" si="82"/>
        <v>62500</v>
      </c>
      <c r="P411" s="30"/>
      <c r="Q411" s="40" t="s">
        <v>72</v>
      </c>
      <c r="R411" s="44"/>
      <c r="S411" s="44">
        <f t="shared" si="83"/>
        <v>62500</v>
      </c>
      <c r="T411" s="44">
        <f t="shared" si="84"/>
        <v>89285.71428571429</v>
      </c>
      <c r="U411" s="45">
        <f t="shared" si="85"/>
        <v>102040.81632653062</v>
      </c>
      <c r="V411" s="46">
        <f t="shared" si="86"/>
        <v>0.12500000000000003</v>
      </c>
      <c r="W411" s="45">
        <f t="shared" si="87"/>
        <v>102100</v>
      </c>
      <c r="X411" s="47">
        <f t="shared" si="88"/>
        <v>0.30000000000000004</v>
      </c>
      <c r="Y411" s="48"/>
      <c r="Z411" s="48"/>
      <c r="AA411" s="48"/>
    </row>
    <row r="412" spans="1:27" ht="14.4" hidden="1" customHeight="1">
      <c r="A412" s="56">
        <v>408</v>
      </c>
      <c r="B412" s="36"/>
      <c r="C412" s="75" t="s">
        <v>1048</v>
      </c>
      <c r="D412" s="37" t="str">
        <f t="shared" si="89"/>
        <v xml:space="preserve"> 488</v>
      </c>
      <c r="E412" s="38" t="s">
        <v>1048</v>
      </c>
      <c r="F412" s="39">
        <f t="shared" si="90"/>
        <v>0</v>
      </c>
      <c r="G412" s="76" t="s">
        <v>340</v>
      </c>
      <c r="H412" s="77" t="s">
        <v>1001</v>
      </c>
      <c r="I412" s="77" t="s">
        <v>1034</v>
      </c>
      <c r="J412" s="41"/>
      <c r="K412" s="42">
        <f t="shared" si="80"/>
        <v>0</v>
      </c>
      <c r="L412" s="39"/>
      <c r="M412" s="43">
        <f t="shared" si="81"/>
        <v>0</v>
      </c>
      <c r="N412" s="43"/>
      <c r="O412" s="72">
        <f t="shared" si="82"/>
        <v>0</v>
      </c>
      <c r="P412" s="30"/>
      <c r="Q412" s="40"/>
      <c r="R412" s="44"/>
      <c r="S412" s="44">
        <f t="shared" si="83"/>
        <v>0</v>
      </c>
      <c r="T412" s="44">
        <f t="shared" si="84"/>
        <v>0</v>
      </c>
      <c r="U412" s="45">
        <f t="shared" si="85"/>
        <v>0</v>
      </c>
      <c r="V412" s="46" t="e">
        <f t="shared" si="86"/>
        <v>#DIV/0!</v>
      </c>
      <c r="W412" s="45">
        <f t="shared" si="87"/>
        <v>0</v>
      </c>
      <c r="X412" s="47" t="e">
        <f t="shared" si="88"/>
        <v>#DIV/0!</v>
      </c>
      <c r="Y412" s="57">
        <v>79013</v>
      </c>
      <c r="Z412" s="58">
        <f>T412-Y412</f>
        <v>-79013</v>
      </c>
      <c r="AA412" s="59">
        <f>Z412/Y412</f>
        <v>-1</v>
      </c>
    </row>
    <row r="413" spans="1:27" ht="14.4" hidden="1" customHeight="1">
      <c r="A413" s="56">
        <v>409</v>
      </c>
      <c r="B413" s="36"/>
      <c r="C413" s="73" t="s">
        <v>153</v>
      </c>
      <c r="D413" s="37" t="str">
        <f t="shared" si="89"/>
        <v xml:space="preserve"> 797</v>
      </c>
      <c r="E413" s="38" t="s">
        <v>153</v>
      </c>
      <c r="F413" s="39">
        <f t="shared" si="90"/>
        <v>0</v>
      </c>
      <c r="G413" s="76" t="s">
        <v>340</v>
      </c>
      <c r="H413" s="77" t="s">
        <v>1001</v>
      </c>
      <c r="I413" s="77" t="s">
        <v>45</v>
      </c>
      <c r="J413" s="41">
        <v>45000</v>
      </c>
      <c r="K413" s="42">
        <f t="shared" si="80"/>
        <v>7900</v>
      </c>
      <c r="L413" s="39" t="s">
        <v>22</v>
      </c>
      <c r="M413" s="43">
        <f t="shared" si="81"/>
        <v>37100</v>
      </c>
      <c r="N413" s="43">
        <f>2000+4850+600+200+250</f>
        <v>7900</v>
      </c>
      <c r="O413" s="72">
        <f t="shared" si="82"/>
        <v>45000</v>
      </c>
      <c r="P413" s="29"/>
      <c r="Q413" s="40" t="s">
        <v>72</v>
      </c>
      <c r="R413" s="44"/>
      <c r="S413" s="44">
        <f t="shared" si="83"/>
        <v>45000</v>
      </c>
      <c r="T413" s="44">
        <f t="shared" si="84"/>
        <v>64285.71428571429</v>
      </c>
      <c r="U413" s="45">
        <f t="shared" si="85"/>
        <v>73469.387755102041</v>
      </c>
      <c r="V413" s="46">
        <f t="shared" si="86"/>
        <v>0.12499999999999994</v>
      </c>
      <c r="W413" s="45">
        <f t="shared" si="87"/>
        <v>73500</v>
      </c>
      <c r="X413" s="47">
        <f t="shared" si="88"/>
        <v>0.30000000000000004</v>
      </c>
      <c r="Y413" s="57">
        <v>64050</v>
      </c>
      <c r="Z413" s="58">
        <f>T413-Y413</f>
        <v>235.71428571428987</v>
      </c>
      <c r="AA413" s="59">
        <f>Z413/Y413</f>
        <v>3.680160588825759E-3</v>
      </c>
    </row>
    <row r="414" spans="1:27" ht="14.4" hidden="1" customHeight="1">
      <c r="A414" s="56">
        <v>410</v>
      </c>
      <c r="B414" s="36"/>
      <c r="C414" s="73" t="s">
        <v>152</v>
      </c>
      <c r="D414" s="37" t="str">
        <f t="shared" si="89"/>
        <v xml:space="preserve"> 863</v>
      </c>
      <c r="E414" s="38" t="s">
        <v>152</v>
      </c>
      <c r="F414" s="39">
        <f t="shared" si="90"/>
        <v>0</v>
      </c>
      <c r="G414" s="76" t="s">
        <v>335</v>
      </c>
      <c r="H414" s="77" t="s">
        <v>1001</v>
      </c>
      <c r="I414" s="77" t="s">
        <v>45</v>
      </c>
      <c r="J414" s="41">
        <v>47500</v>
      </c>
      <c r="K414" s="42">
        <f t="shared" si="80"/>
        <v>7900</v>
      </c>
      <c r="L414" s="39" t="s">
        <v>22</v>
      </c>
      <c r="M414" s="43">
        <f t="shared" si="81"/>
        <v>39600</v>
      </c>
      <c r="N414" s="43">
        <f>2000+4850+600+200+250</f>
        <v>7900</v>
      </c>
      <c r="O414" s="72">
        <f t="shared" si="82"/>
        <v>47500</v>
      </c>
      <c r="P414" s="29"/>
      <c r="Q414" s="40" t="s">
        <v>72</v>
      </c>
      <c r="R414" s="44"/>
      <c r="S414" s="44">
        <f t="shared" si="83"/>
        <v>47500</v>
      </c>
      <c r="T414" s="44">
        <f t="shared" si="84"/>
        <v>67857.142857142855</v>
      </c>
      <c r="U414" s="45">
        <f t="shared" si="85"/>
        <v>77551.020408163269</v>
      </c>
      <c r="V414" s="46">
        <f t="shared" si="86"/>
        <v>0.12500000000000008</v>
      </c>
      <c r="W414" s="45">
        <f t="shared" si="87"/>
        <v>77600</v>
      </c>
      <c r="X414" s="47">
        <f t="shared" si="88"/>
        <v>0.3</v>
      </c>
      <c r="Y414" s="48"/>
      <c r="Z414" s="48"/>
      <c r="AA414" s="50"/>
    </row>
    <row r="415" spans="1:27" ht="14.4" hidden="1" customHeight="1">
      <c r="A415" s="56">
        <v>411</v>
      </c>
      <c r="B415" s="36"/>
      <c r="C415" s="75" t="s">
        <v>1052</v>
      </c>
      <c r="D415" s="37" t="str">
        <f t="shared" si="89"/>
        <v xml:space="preserve"> 560</v>
      </c>
      <c r="E415" s="38" t="s">
        <v>1052</v>
      </c>
      <c r="F415" s="39">
        <f t="shared" si="90"/>
        <v>0</v>
      </c>
      <c r="G415" s="76" t="s">
        <v>335</v>
      </c>
      <c r="H415" s="77" t="s">
        <v>1001</v>
      </c>
      <c r="I415" s="77" t="s">
        <v>981</v>
      </c>
      <c r="J415" s="41"/>
      <c r="K415" s="42">
        <f t="shared" si="80"/>
        <v>0</v>
      </c>
      <c r="L415" s="39"/>
      <c r="M415" s="43">
        <f t="shared" si="81"/>
        <v>0</v>
      </c>
      <c r="N415" s="43"/>
      <c r="O415" s="72">
        <f t="shared" si="82"/>
        <v>0</v>
      </c>
      <c r="P415" s="29"/>
      <c r="Q415" s="40"/>
      <c r="R415" s="44"/>
      <c r="S415" s="44">
        <f t="shared" si="83"/>
        <v>0</v>
      </c>
      <c r="T415" s="44">
        <f t="shared" si="84"/>
        <v>0</v>
      </c>
      <c r="U415" s="45">
        <f t="shared" si="85"/>
        <v>0</v>
      </c>
      <c r="V415" s="46" t="e">
        <f t="shared" si="86"/>
        <v>#DIV/0!</v>
      </c>
      <c r="W415" s="45">
        <f t="shared" si="87"/>
        <v>0</v>
      </c>
      <c r="X415" s="47" t="e">
        <f t="shared" si="88"/>
        <v>#DIV/0!</v>
      </c>
      <c r="Y415" s="48"/>
      <c r="Z415" s="48"/>
      <c r="AA415" s="50"/>
    </row>
    <row r="416" spans="1:27" ht="14.4" hidden="1" customHeight="1">
      <c r="A416" s="56">
        <v>412</v>
      </c>
      <c r="B416" s="36"/>
      <c r="C416" s="73" t="s">
        <v>203</v>
      </c>
      <c r="D416" s="37" t="str">
        <f t="shared" si="89"/>
        <v xml:space="preserve"> 237</v>
      </c>
      <c r="E416" s="38" t="s">
        <v>203</v>
      </c>
      <c r="F416" s="39">
        <f t="shared" si="90"/>
        <v>0</v>
      </c>
      <c r="G416" s="76" t="s">
        <v>335</v>
      </c>
      <c r="H416" s="77" t="s">
        <v>1001</v>
      </c>
      <c r="I416" s="77" t="s">
        <v>38</v>
      </c>
      <c r="J416" s="41">
        <v>57000</v>
      </c>
      <c r="K416" s="42">
        <f t="shared" si="80"/>
        <v>7900</v>
      </c>
      <c r="L416" s="39" t="s">
        <v>22</v>
      </c>
      <c r="M416" s="43">
        <f t="shared" si="81"/>
        <v>49100</v>
      </c>
      <c r="N416" s="43">
        <f>2000+4850+600+200+250</f>
        <v>7900</v>
      </c>
      <c r="O416" s="72">
        <f t="shared" si="82"/>
        <v>57000</v>
      </c>
      <c r="P416" s="29"/>
      <c r="Q416" s="40" t="s">
        <v>72</v>
      </c>
      <c r="R416" s="44"/>
      <c r="S416" s="44">
        <f t="shared" si="83"/>
        <v>57000</v>
      </c>
      <c r="T416" s="44">
        <f t="shared" si="84"/>
        <v>81428.571428571435</v>
      </c>
      <c r="U416" s="45">
        <f t="shared" si="85"/>
        <v>93061.224489795932</v>
      </c>
      <c r="V416" s="46">
        <f t="shared" si="86"/>
        <v>0.12500000000000006</v>
      </c>
      <c r="W416" s="45">
        <f t="shared" si="87"/>
        <v>93100</v>
      </c>
      <c r="X416" s="47">
        <f t="shared" si="88"/>
        <v>0.30000000000000004</v>
      </c>
      <c r="Y416" s="48"/>
      <c r="Z416" s="48"/>
      <c r="AA416" s="50"/>
    </row>
    <row r="417" spans="1:27" ht="14.4" hidden="1" customHeight="1">
      <c r="A417" s="56">
        <v>413</v>
      </c>
      <c r="B417" s="36"/>
      <c r="C417" s="75" t="s">
        <v>1055</v>
      </c>
      <c r="D417" s="37" t="str">
        <f t="shared" si="89"/>
        <v xml:space="preserve"> 644</v>
      </c>
      <c r="E417" s="38" t="s">
        <v>1055</v>
      </c>
      <c r="F417" s="39">
        <f t="shared" si="90"/>
        <v>0</v>
      </c>
      <c r="G417" s="76" t="s">
        <v>335</v>
      </c>
      <c r="H417" s="77" t="s">
        <v>1001</v>
      </c>
      <c r="I417" s="77" t="s">
        <v>686</v>
      </c>
      <c r="J417" s="41">
        <v>58000</v>
      </c>
      <c r="K417" s="42">
        <f t="shared" si="80"/>
        <v>7900</v>
      </c>
      <c r="L417" s="39" t="s">
        <v>22</v>
      </c>
      <c r="M417" s="43">
        <f t="shared" si="81"/>
        <v>50100</v>
      </c>
      <c r="N417" s="43">
        <f>2000+4850+600+200+250</f>
        <v>7900</v>
      </c>
      <c r="O417" s="72">
        <f t="shared" si="82"/>
        <v>58000</v>
      </c>
      <c r="P417" s="29"/>
      <c r="Q417" s="40" t="s">
        <v>1306</v>
      </c>
      <c r="R417" s="44"/>
      <c r="S417" s="44">
        <f t="shared" si="83"/>
        <v>58000</v>
      </c>
      <c r="T417" s="44">
        <f t="shared" si="84"/>
        <v>82857.14285714287</v>
      </c>
      <c r="U417" s="45">
        <f t="shared" si="85"/>
        <v>94693.877551020429</v>
      </c>
      <c r="V417" s="46">
        <f t="shared" si="86"/>
        <v>0.12500000000000006</v>
      </c>
      <c r="W417" s="45">
        <f t="shared" si="87"/>
        <v>94700</v>
      </c>
      <c r="X417" s="47">
        <f t="shared" si="88"/>
        <v>0.3000000000000001</v>
      </c>
      <c r="Y417" s="48"/>
      <c r="Z417" s="48"/>
      <c r="AA417" s="50"/>
    </row>
    <row r="418" spans="1:27" ht="14.4" hidden="1" customHeight="1">
      <c r="A418" s="56">
        <v>414</v>
      </c>
      <c r="B418" s="36"/>
      <c r="C418" s="75" t="s">
        <v>1057</v>
      </c>
      <c r="D418" s="37" t="str">
        <f t="shared" si="89"/>
        <v xml:space="preserve"> 832</v>
      </c>
      <c r="E418" s="38" t="s">
        <v>1057</v>
      </c>
      <c r="F418" s="39">
        <f t="shared" si="90"/>
        <v>0</v>
      </c>
      <c r="G418" s="76" t="s">
        <v>340</v>
      </c>
      <c r="H418" s="77" t="s">
        <v>1001</v>
      </c>
      <c r="I418" s="77" t="s">
        <v>1042</v>
      </c>
      <c r="J418" s="41">
        <v>58500</v>
      </c>
      <c r="K418" s="42">
        <f t="shared" si="80"/>
        <v>7900</v>
      </c>
      <c r="L418" s="39" t="s">
        <v>22</v>
      </c>
      <c r="M418" s="43">
        <f t="shared" si="81"/>
        <v>50600</v>
      </c>
      <c r="N418" s="43">
        <f>2000+4850+600+200+250</f>
        <v>7900</v>
      </c>
      <c r="O418" s="72">
        <f t="shared" si="82"/>
        <v>58500</v>
      </c>
      <c r="P418" s="29"/>
      <c r="Q418" s="40" t="s">
        <v>1306</v>
      </c>
      <c r="R418" s="44"/>
      <c r="S418" s="44">
        <f t="shared" si="83"/>
        <v>58500</v>
      </c>
      <c r="T418" s="44">
        <f t="shared" si="84"/>
        <v>83571.42857142858</v>
      </c>
      <c r="U418" s="45">
        <f t="shared" si="85"/>
        <v>95510.204081632663</v>
      </c>
      <c r="V418" s="46">
        <f t="shared" si="86"/>
        <v>0.125</v>
      </c>
      <c r="W418" s="45">
        <f t="shared" si="87"/>
        <v>95600</v>
      </c>
      <c r="X418" s="47">
        <f t="shared" si="88"/>
        <v>0.30000000000000004</v>
      </c>
      <c r="Y418" s="57">
        <v>79013</v>
      </c>
      <c r="Z418" s="58">
        <f>T418-Y418</f>
        <v>4558.4285714285797</v>
      </c>
      <c r="AA418" s="59">
        <f>Z418/Y418</f>
        <v>5.7692133844159568E-2</v>
      </c>
    </row>
    <row r="419" spans="1:27" ht="14.4" hidden="1" customHeight="1">
      <c r="A419" s="56">
        <v>415</v>
      </c>
      <c r="B419" s="36"/>
      <c r="C419" s="75" t="s">
        <v>1059</v>
      </c>
      <c r="D419" s="37" t="str">
        <f t="shared" si="89"/>
        <v xml:space="preserve"> 107</v>
      </c>
      <c r="E419" s="38" t="s">
        <v>1059</v>
      </c>
      <c r="F419" s="39">
        <f t="shared" si="90"/>
        <v>0</v>
      </c>
      <c r="G419" s="76" t="s">
        <v>340</v>
      </c>
      <c r="H419" s="77" t="s">
        <v>1001</v>
      </c>
      <c r="I419" s="77" t="s">
        <v>1042</v>
      </c>
      <c r="J419" s="41">
        <v>58000</v>
      </c>
      <c r="K419" s="42">
        <f t="shared" si="80"/>
        <v>7900</v>
      </c>
      <c r="L419" s="39" t="s">
        <v>22</v>
      </c>
      <c r="M419" s="43">
        <f t="shared" si="81"/>
        <v>50100</v>
      </c>
      <c r="N419" s="43">
        <f>2000+4850+600+200+250</f>
        <v>7900</v>
      </c>
      <c r="O419" s="72">
        <f t="shared" si="82"/>
        <v>58000</v>
      </c>
      <c r="P419" s="29"/>
      <c r="Q419" s="40" t="s">
        <v>1306</v>
      </c>
      <c r="R419" s="44"/>
      <c r="S419" s="44">
        <f t="shared" si="83"/>
        <v>58000</v>
      </c>
      <c r="T419" s="44">
        <f t="shared" si="84"/>
        <v>82857.14285714287</v>
      </c>
      <c r="U419" s="45">
        <f t="shared" si="85"/>
        <v>94693.877551020429</v>
      </c>
      <c r="V419" s="46">
        <f t="shared" si="86"/>
        <v>0.12500000000000006</v>
      </c>
      <c r="W419" s="45">
        <f t="shared" si="87"/>
        <v>94700</v>
      </c>
      <c r="X419" s="47">
        <f t="shared" si="88"/>
        <v>0.3000000000000001</v>
      </c>
      <c r="Y419" s="57">
        <v>80063</v>
      </c>
      <c r="Z419" s="58">
        <f>T419-Y419</f>
        <v>2794.1428571428696</v>
      </c>
      <c r="AA419" s="59">
        <f>Z419/Y419</f>
        <v>3.4899302513556447E-2</v>
      </c>
    </row>
    <row r="420" spans="1:27" ht="14.4" hidden="1" customHeight="1">
      <c r="A420" s="56">
        <v>416</v>
      </c>
      <c r="B420" s="36"/>
      <c r="C420" s="73" t="s">
        <v>172</v>
      </c>
      <c r="D420" s="37" t="str">
        <f t="shared" si="89"/>
        <v xml:space="preserve"> 392</v>
      </c>
      <c r="E420" s="38" t="s">
        <v>172</v>
      </c>
      <c r="F420" s="39">
        <f t="shared" si="90"/>
        <v>0</v>
      </c>
      <c r="G420" s="76" t="s">
        <v>335</v>
      </c>
      <c r="H420" s="77" t="s">
        <v>1001</v>
      </c>
      <c r="I420" s="77" t="s">
        <v>52</v>
      </c>
      <c r="J420" s="41">
        <v>56000</v>
      </c>
      <c r="K420" s="42">
        <f t="shared" si="80"/>
        <v>7900</v>
      </c>
      <c r="L420" s="39" t="s">
        <v>22</v>
      </c>
      <c r="M420" s="43">
        <f t="shared" si="81"/>
        <v>48100</v>
      </c>
      <c r="N420" s="49">
        <f>2000+4850+600+200+250</f>
        <v>7900</v>
      </c>
      <c r="O420" s="72">
        <f t="shared" si="82"/>
        <v>56000</v>
      </c>
      <c r="P420" s="29"/>
      <c r="Q420" s="40" t="s">
        <v>72</v>
      </c>
      <c r="R420" s="44"/>
      <c r="S420" s="44">
        <f t="shared" si="83"/>
        <v>56000</v>
      </c>
      <c r="T420" s="44">
        <f t="shared" si="84"/>
        <v>80000</v>
      </c>
      <c r="U420" s="45">
        <f t="shared" si="85"/>
        <v>91428.571428571435</v>
      </c>
      <c r="V420" s="46">
        <f t="shared" si="86"/>
        <v>0.12500000000000006</v>
      </c>
      <c r="W420" s="45">
        <f t="shared" si="87"/>
        <v>91500</v>
      </c>
      <c r="X420" s="47">
        <f t="shared" si="88"/>
        <v>0.3</v>
      </c>
      <c r="Y420" s="48"/>
      <c r="Z420" s="48"/>
      <c r="AA420" s="50"/>
    </row>
    <row r="421" spans="1:27" ht="14.4" hidden="1" customHeight="1">
      <c r="A421" s="56">
        <v>417</v>
      </c>
      <c r="B421" s="36"/>
      <c r="C421" s="75" t="s">
        <v>1062</v>
      </c>
      <c r="D421" s="37" t="str">
        <f t="shared" si="89"/>
        <v xml:space="preserve"> 626</v>
      </c>
      <c r="E421" s="38" t="s">
        <v>1062</v>
      </c>
      <c r="F421" s="39">
        <f t="shared" si="90"/>
        <v>0</v>
      </c>
      <c r="G421" s="76" t="s">
        <v>340</v>
      </c>
      <c r="H421" s="77" t="s">
        <v>1001</v>
      </c>
      <c r="I421" s="77" t="s">
        <v>515</v>
      </c>
      <c r="J421" s="41">
        <v>57000</v>
      </c>
      <c r="K421" s="42">
        <f t="shared" si="80"/>
        <v>7900</v>
      </c>
      <c r="L421" s="39" t="s">
        <v>22</v>
      </c>
      <c r="M421" s="43">
        <f t="shared" si="81"/>
        <v>49100</v>
      </c>
      <c r="N421" s="49">
        <f>2000+4850+600+200+250</f>
        <v>7900</v>
      </c>
      <c r="O421" s="72">
        <f t="shared" si="82"/>
        <v>57000</v>
      </c>
      <c r="P421" s="29"/>
      <c r="Q421" s="40" t="s">
        <v>1306</v>
      </c>
      <c r="R421" s="44"/>
      <c r="S421" s="44">
        <f t="shared" si="83"/>
        <v>57000</v>
      </c>
      <c r="T421" s="44">
        <f t="shared" si="84"/>
        <v>81428.571428571435</v>
      </c>
      <c r="U421" s="45">
        <f t="shared" si="85"/>
        <v>93061.224489795932</v>
      </c>
      <c r="V421" s="46">
        <f t="shared" si="86"/>
        <v>0.12500000000000006</v>
      </c>
      <c r="W421" s="45">
        <f t="shared" si="87"/>
        <v>93100</v>
      </c>
      <c r="X421" s="47">
        <f t="shared" si="88"/>
        <v>0.30000000000000004</v>
      </c>
      <c r="Y421" s="57">
        <v>78060</v>
      </c>
      <c r="Z421" s="58">
        <f>T421-Y421</f>
        <v>3368.5714285714348</v>
      </c>
      <c r="AA421" s="59">
        <f>Z421/Y421</f>
        <v>4.3153618095970216E-2</v>
      </c>
    </row>
    <row r="422" spans="1:27" ht="14.4" hidden="1" customHeight="1">
      <c r="A422" s="56">
        <v>418</v>
      </c>
      <c r="B422" s="36"/>
      <c r="C422" s="73" t="s">
        <v>133</v>
      </c>
      <c r="D422" s="37" t="str">
        <f t="shared" si="89"/>
        <v xml:space="preserve"> 854</v>
      </c>
      <c r="E422" s="38" t="s">
        <v>133</v>
      </c>
      <c r="F422" s="39">
        <f t="shared" si="90"/>
        <v>0</v>
      </c>
      <c r="G422" s="76" t="s">
        <v>335</v>
      </c>
      <c r="H422" s="77" t="s">
        <v>1001</v>
      </c>
      <c r="I422" s="77" t="s">
        <v>41</v>
      </c>
      <c r="J422" s="41">
        <v>52500</v>
      </c>
      <c r="K422" s="42">
        <f t="shared" si="80"/>
        <v>7900</v>
      </c>
      <c r="L422" s="39" t="s">
        <v>22</v>
      </c>
      <c r="M422" s="43">
        <f t="shared" si="81"/>
        <v>44600</v>
      </c>
      <c r="N422" s="43">
        <f>2000+4850+600+200+250</f>
        <v>7900</v>
      </c>
      <c r="O422" s="72">
        <f t="shared" si="82"/>
        <v>52500</v>
      </c>
      <c r="P422" s="29"/>
      <c r="Q422" s="40" t="s">
        <v>72</v>
      </c>
      <c r="R422" s="44"/>
      <c r="S422" s="44">
        <f t="shared" si="83"/>
        <v>52500</v>
      </c>
      <c r="T422" s="44">
        <f t="shared" si="84"/>
        <v>75000</v>
      </c>
      <c r="U422" s="45">
        <f t="shared" si="85"/>
        <v>85714.28571428571</v>
      </c>
      <c r="V422" s="46">
        <f t="shared" si="86"/>
        <v>0.12499999999999996</v>
      </c>
      <c r="W422" s="45">
        <f t="shared" si="87"/>
        <v>85800</v>
      </c>
      <c r="X422" s="47">
        <f t="shared" si="88"/>
        <v>0.3</v>
      </c>
      <c r="Y422" s="48"/>
      <c r="Z422" s="48"/>
      <c r="AA422" s="48"/>
    </row>
    <row r="423" spans="1:27" ht="14.4" hidden="1" customHeight="1">
      <c r="A423" s="56">
        <v>419</v>
      </c>
      <c r="B423" s="36"/>
      <c r="C423" s="73" t="s">
        <v>173</v>
      </c>
      <c r="D423" s="37" t="str">
        <f t="shared" si="89"/>
        <v xml:space="preserve"> 834</v>
      </c>
      <c r="E423" s="38" t="s">
        <v>173</v>
      </c>
      <c r="F423" s="39">
        <f t="shared" si="90"/>
        <v>0</v>
      </c>
      <c r="G423" s="76" t="s">
        <v>340</v>
      </c>
      <c r="H423" s="77" t="s">
        <v>1001</v>
      </c>
      <c r="I423" s="77" t="s">
        <v>52</v>
      </c>
      <c r="J423" s="41">
        <v>56000</v>
      </c>
      <c r="K423" s="42">
        <f t="shared" si="80"/>
        <v>7900</v>
      </c>
      <c r="L423" s="39" t="s">
        <v>22</v>
      </c>
      <c r="M423" s="43">
        <f t="shared" si="81"/>
        <v>48100</v>
      </c>
      <c r="N423" s="49">
        <f>2000+4850+600+200+250</f>
        <v>7900</v>
      </c>
      <c r="O423" s="72">
        <f t="shared" si="82"/>
        <v>56000</v>
      </c>
      <c r="P423" s="29"/>
      <c r="Q423" s="40" t="s">
        <v>72</v>
      </c>
      <c r="R423" s="44"/>
      <c r="S423" s="44">
        <f t="shared" si="83"/>
        <v>56000</v>
      </c>
      <c r="T423" s="44">
        <f t="shared" si="84"/>
        <v>80000</v>
      </c>
      <c r="U423" s="45">
        <f t="shared" si="85"/>
        <v>91428.571428571435</v>
      </c>
      <c r="V423" s="46">
        <f t="shared" si="86"/>
        <v>0.12500000000000006</v>
      </c>
      <c r="W423" s="45">
        <f t="shared" si="87"/>
        <v>91500</v>
      </c>
      <c r="X423" s="47">
        <f t="shared" si="88"/>
        <v>0.3</v>
      </c>
      <c r="Y423" s="57">
        <v>75075</v>
      </c>
      <c r="Z423" s="58">
        <f>T423-Y423</f>
        <v>4925</v>
      </c>
      <c r="AA423" s="59">
        <f>Z423/Y423</f>
        <v>6.56010656010656E-2</v>
      </c>
    </row>
    <row r="424" spans="1:27" ht="14.4" hidden="1" customHeight="1">
      <c r="A424" s="56">
        <v>420</v>
      </c>
      <c r="B424" s="36"/>
      <c r="C424" s="73" t="s">
        <v>171</v>
      </c>
      <c r="D424" s="37" t="str">
        <f t="shared" si="89"/>
        <v xml:space="preserve"> 889</v>
      </c>
      <c r="E424" s="38" t="s">
        <v>171</v>
      </c>
      <c r="F424" s="39">
        <f t="shared" si="90"/>
        <v>0</v>
      </c>
      <c r="G424" s="76" t="s">
        <v>335</v>
      </c>
      <c r="H424" s="77" t="s">
        <v>1001</v>
      </c>
      <c r="I424" s="77" t="s">
        <v>52</v>
      </c>
      <c r="J424" s="41">
        <v>56000</v>
      </c>
      <c r="K424" s="42">
        <f t="shared" si="80"/>
        <v>7900</v>
      </c>
      <c r="L424" s="39" t="s">
        <v>22</v>
      </c>
      <c r="M424" s="43">
        <f t="shared" si="81"/>
        <v>48100</v>
      </c>
      <c r="N424" s="49">
        <f>2000+4850+600+200+250</f>
        <v>7900</v>
      </c>
      <c r="O424" s="72">
        <f t="shared" si="82"/>
        <v>56000</v>
      </c>
      <c r="P424" s="29"/>
      <c r="Q424" s="40" t="s">
        <v>72</v>
      </c>
      <c r="R424" s="44"/>
      <c r="S424" s="44">
        <f t="shared" si="83"/>
        <v>56000</v>
      </c>
      <c r="T424" s="44">
        <f t="shared" si="84"/>
        <v>80000</v>
      </c>
      <c r="U424" s="45">
        <f t="shared" si="85"/>
        <v>91428.571428571435</v>
      </c>
      <c r="V424" s="46">
        <f t="shared" si="86"/>
        <v>0.12500000000000006</v>
      </c>
      <c r="W424" s="45">
        <f t="shared" si="87"/>
        <v>91500</v>
      </c>
      <c r="X424" s="47">
        <f t="shared" si="88"/>
        <v>0.3</v>
      </c>
      <c r="Y424" s="48"/>
      <c r="Z424" s="48"/>
      <c r="AA424" s="50"/>
    </row>
    <row r="425" spans="1:27" ht="14.4" hidden="1" customHeight="1">
      <c r="X425" s="15"/>
      <c r="Y425" s="25"/>
      <c r="Z425" s="25"/>
      <c r="AA425" s="25"/>
    </row>
    <row r="426" spans="1:27" ht="14.4" hidden="1" customHeight="1">
      <c r="J426" s="21">
        <f>SUM(J5:J425)</f>
        <v>26353550</v>
      </c>
      <c r="K426" s="5">
        <f>SUM(K5:K425)</f>
        <v>2829400</v>
      </c>
      <c r="M426" s="5">
        <f>SUM(M5:M425)</f>
        <v>23524150</v>
      </c>
      <c r="N426" s="5">
        <f>SUM(N5:N425)</f>
        <v>2829400</v>
      </c>
      <c r="O426" s="5">
        <f>SUM(O5:O425)</f>
        <v>26353550</v>
      </c>
      <c r="P426" s="17"/>
      <c r="X426" s="15"/>
      <c r="Y426" s="25"/>
      <c r="Z426" s="25"/>
      <c r="AA426" s="25"/>
    </row>
    <row r="427" spans="1:27" customFormat="1" ht="14.4" hidden="1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hidden="1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hidden="1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hidden="1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78" t="s">
        <v>29</v>
      </c>
    </row>
    <row r="434" spans="8:8">
      <c r="H434" s="78" t="s">
        <v>30</v>
      </c>
    </row>
    <row r="435" spans="8:8">
      <c r="H435" s="78" t="s">
        <v>31</v>
      </c>
    </row>
    <row r="436" spans="8:8">
      <c r="H436" s="78" t="s">
        <v>32</v>
      </c>
    </row>
    <row r="437" spans="8:8">
      <c r="H437" s="79"/>
    </row>
    <row r="438" spans="8:8">
      <c r="H438" s="79" t="s">
        <v>33</v>
      </c>
    </row>
    <row r="439" spans="8:8">
      <c r="H439" s="79" t="s">
        <v>34</v>
      </c>
    </row>
    <row r="440" spans="8:8">
      <c r="H440" s="79" t="s">
        <v>35</v>
      </c>
    </row>
    <row r="442" spans="8:8">
      <c r="H442" s="79" t="s">
        <v>36</v>
      </c>
    </row>
  </sheetData>
  <autoFilter ref="A4:AA430">
    <filterColumn colId="6"/>
    <filterColumn colId="8">
      <filters>
        <filter val="Cucu - LMJ"/>
      </filters>
    </filterColumn>
    <sortState ref="A5:AA430">
      <sortCondition ref="A4:A430"/>
    </sortState>
  </autoFilter>
  <mergeCells count="1">
    <mergeCell ref="R3:X3"/>
  </mergeCells>
  <conditionalFormatting sqref="AA6:AA424">
    <cfRule type="cellIs" dxfId="123" priority="61" operator="greaterThan">
      <formula>0.7</formula>
    </cfRule>
    <cfRule type="cellIs" dxfId="122" priority="62" operator="greaterThan">
      <formula>7</formula>
    </cfRule>
  </conditionalFormatting>
  <conditionalFormatting sqref="D5:D424">
    <cfRule type="duplicateValues" dxfId="121" priority="212"/>
    <cfRule type="duplicateValues" dxfId="120" priority="21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A96"/>
  <sheetViews>
    <sheetView tabSelected="1" zoomScale="80" zoomScaleNormal="80" workbookViewId="0">
      <pane xSplit="7" topLeftCell="H1" activePane="topRight" state="frozen"/>
      <selection pane="topRight" activeCell="J17" sqref="J17"/>
    </sheetView>
  </sheetViews>
  <sheetFormatPr defaultRowHeight="14.4"/>
  <cols>
    <col min="2" max="3" width="8.88671875" style="83"/>
    <col min="4" max="5" width="8.33203125" style="83" customWidth="1"/>
    <col min="6" max="6" width="6.77734375" style="83" customWidth="1"/>
    <col min="7" max="7" width="8.88671875" style="83"/>
    <col min="8" max="8" width="28.5546875" style="83" bestFit="1" customWidth="1"/>
    <col min="9" max="9" width="28" style="83" bestFit="1" customWidth="1"/>
    <col min="10" max="10" width="11.21875" bestFit="1" customWidth="1"/>
    <col min="12" max="12" width="12.88671875" bestFit="1" customWidth="1"/>
    <col min="16" max="16" width="11.5546875" customWidth="1"/>
    <col min="17" max="17" width="64.33203125" style="10" bestFit="1" customWidth="1"/>
    <col min="19" max="24" width="8.88671875" style="81"/>
  </cols>
  <sheetData>
    <row r="3" spans="2:27" s="4" customFormat="1" ht="21.6" customHeight="1">
      <c r="B3" s="32" t="s">
        <v>1</v>
      </c>
      <c r="C3" s="32" t="s">
        <v>2</v>
      </c>
      <c r="D3" s="32" t="s">
        <v>3</v>
      </c>
      <c r="E3" s="32" t="s">
        <v>27</v>
      </c>
      <c r="F3" s="32">
        <f>SUM(F4:F423)</f>
        <v>0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28" t="s">
        <v>28</v>
      </c>
      <c r="Q3" s="32" t="s">
        <v>11</v>
      </c>
      <c r="R3" s="68" t="s">
        <v>13</v>
      </c>
      <c r="S3" s="84" t="s">
        <v>14</v>
      </c>
      <c r="T3" s="84" t="s">
        <v>15</v>
      </c>
      <c r="U3" s="85" t="s">
        <v>16</v>
      </c>
      <c r="V3" s="85" t="s">
        <v>17</v>
      </c>
      <c r="W3" s="85" t="s">
        <v>18</v>
      </c>
      <c r="X3" s="86" t="s">
        <v>19</v>
      </c>
      <c r="Y3" s="71" t="s">
        <v>20</v>
      </c>
      <c r="Z3" s="71" t="s">
        <v>21</v>
      </c>
      <c r="AA3" s="71"/>
    </row>
    <row r="4" spans="2:27" s="2" customFormat="1" ht="14.4" customHeight="1">
      <c r="B4" s="80">
        <v>496</v>
      </c>
      <c r="C4" s="40" t="s">
        <v>1252</v>
      </c>
      <c r="D4" s="39" t="str">
        <f>REPLACE(C4,1,3, )</f>
        <v xml:space="preserve"> 567</v>
      </c>
      <c r="E4" s="40" t="s">
        <v>1252</v>
      </c>
      <c r="F4" s="39">
        <f>IF(C4=E4,0,1)</f>
        <v>0</v>
      </c>
      <c r="G4" s="82" t="s">
        <v>340</v>
      </c>
      <c r="H4" s="82" t="s">
        <v>1253</v>
      </c>
      <c r="I4" s="82" t="s">
        <v>709</v>
      </c>
      <c r="J4" s="41">
        <v>30000</v>
      </c>
      <c r="K4" s="42">
        <f>J4-M4</f>
        <v>4450</v>
      </c>
      <c r="L4" s="39" t="s">
        <v>22</v>
      </c>
      <c r="M4" s="43">
        <f>J4-N4</f>
        <v>25550</v>
      </c>
      <c r="N4" s="43">
        <f>2000+200+600+1650</f>
        <v>4450</v>
      </c>
      <c r="O4" s="72">
        <f>M4+N4</f>
        <v>30000</v>
      </c>
      <c r="P4" s="29"/>
      <c r="Q4" s="40" t="s">
        <v>1363</v>
      </c>
      <c r="R4" s="44"/>
      <c r="S4" s="87">
        <f>R4+O4</f>
        <v>30000</v>
      </c>
      <c r="T4" s="87">
        <f>S4/0.7</f>
        <v>42857.142857142862</v>
      </c>
      <c r="U4" s="88">
        <f>T4/0.875</f>
        <v>48979.591836734697</v>
      </c>
      <c r="V4" s="89">
        <f>(U4-T4)/U4</f>
        <v>0.12499999999999994</v>
      </c>
      <c r="W4" s="88">
        <f>(ROUNDUP((U4/100),0))*100</f>
        <v>49000</v>
      </c>
      <c r="X4" s="90">
        <f>(T4-O4)/T4</f>
        <v>0.3000000000000001</v>
      </c>
      <c r="Y4" s="57">
        <v>44638</v>
      </c>
      <c r="Z4" s="58">
        <f>T4-Y4</f>
        <v>-1780.8571428571377</v>
      </c>
      <c r="AA4" s="59">
        <f>Z4/Y4</f>
        <v>-3.9895540634820953E-2</v>
      </c>
    </row>
    <row r="5" spans="2:27" s="2" customFormat="1" ht="14.4" customHeight="1">
      <c r="B5" s="80">
        <v>506</v>
      </c>
      <c r="C5" s="40" t="s">
        <v>1278</v>
      </c>
      <c r="D5" s="39" t="str">
        <f>REPLACE(C5,1,3, )</f>
        <v xml:space="preserve"> 478</v>
      </c>
      <c r="E5" s="40" t="s">
        <v>1278</v>
      </c>
      <c r="F5" s="39">
        <f>IF(C5=E5,0,1)</f>
        <v>0</v>
      </c>
      <c r="G5" s="82" t="s">
        <v>335</v>
      </c>
      <c r="H5" s="82" t="s">
        <v>1253</v>
      </c>
      <c r="I5" s="82" t="s">
        <v>709</v>
      </c>
      <c r="J5" s="41">
        <v>30000</v>
      </c>
      <c r="K5" s="43">
        <v>4450</v>
      </c>
      <c r="L5" s="39" t="s">
        <v>22</v>
      </c>
      <c r="M5" s="43">
        <f>J5-N5</f>
        <v>25550</v>
      </c>
      <c r="N5" s="43">
        <f>2000+200+600+1650</f>
        <v>4450</v>
      </c>
      <c r="O5" s="72">
        <f>M5+N5</f>
        <v>30000</v>
      </c>
      <c r="P5" s="29"/>
      <c r="Q5" s="40" t="s">
        <v>1363</v>
      </c>
      <c r="R5" s="44"/>
      <c r="S5" s="87">
        <f>R5+O5</f>
        <v>30000</v>
      </c>
      <c r="T5" s="87">
        <f>S5/0.7</f>
        <v>42857.142857142862</v>
      </c>
      <c r="U5" s="88">
        <f>T5/0.875</f>
        <v>48979.591836734697</v>
      </c>
      <c r="V5" s="89">
        <f>(U5-T5)/U5</f>
        <v>0.12499999999999994</v>
      </c>
      <c r="W5" s="88">
        <f>(ROUNDUP((U5/100),0))*100</f>
        <v>49000</v>
      </c>
      <c r="X5" s="90">
        <f>(T5-O5)/T5</f>
        <v>0.3000000000000001</v>
      </c>
      <c r="Y5" s="57"/>
      <c r="Z5" s="58"/>
      <c r="AA5" s="59"/>
    </row>
    <row r="6" spans="2:27" s="2" customFormat="1" ht="14.4" customHeight="1">
      <c r="B6" s="40">
        <v>443</v>
      </c>
      <c r="C6" s="40" t="s">
        <v>1124</v>
      </c>
      <c r="D6" s="39" t="str">
        <f>REPLACE(C6,1,3, )</f>
        <v xml:space="preserve"> 698</v>
      </c>
      <c r="E6" s="40" t="s">
        <v>1124</v>
      </c>
      <c r="F6" s="39">
        <f>IF(C6=E6,0,1)</f>
        <v>0</v>
      </c>
      <c r="G6" s="82" t="s">
        <v>335</v>
      </c>
      <c r="H6" s="82" t="s">
        <v>1125</v>
      </c>
      <c r="I6" s="82" t="s">
        <v>1126</v>
      </c>
      <c r="J6" s="41">
        <f>M6</f>
        <v>41500</v>
      </c>
      <c r="K6" s="91">
        <f>J6-M6</f>
        <v>0</v>
      </c>
      <c r="L6" s="92" t="s">
        <v>1365</v>
      </c>
      <c r="M6" s="109">
        <v>41500</v>
      </c>
      <c r="N6" s="43">
        <v>0</v>
      </c>
      <c r="O6" s="72">
        <f>M6+N6</f>
        <v>41500</v>
      </c>
      <c r="P6" s="110"/>
      <c r="Q6" s="40"/>
      <c r="R6" s="44"/>
      <c r="S6" s="87">
        <f>R6+O6</f>
        <v>41500</v>
      </c>
      <c r="T6" s="87">
        <f>S6/0.7</f>
        <v>59285.71428571429</v>
      </c>
      <c r="U6" s="88">
        <f>T6/0.875</f>
        <v>67755.102040816331</v>
      </c>
      <c r="V6" s="89">
        <f>(U6-T6)/U6</f>
        <v>0.125</v>
      </c>
      <c r="W6" s="88">
        <f>(ROUNDUP((U6/100),0))*100</f>
        <v>67800</v>
      </c>
      <c r="X6" s="90">
        <f>(T6-O6)/T6</f>
        <v>0.30000000000000004</v>
      </c>
      <c r="Y6" s="57"/>
      <c r="Z6" s="58"/>
      <c r="AA6" s="59"/>
    </row>
    <row r="7" spans="2:27" s="2" customFormat="1" ht="14.4" customHeight="1">
      <c r="B7" s="80">
        <v>490</v>
      </c>
      <c r="C7" s="40" t="s">
        <v>1238</v>
      </c>
      <c r="D7" s="39" t="str">
        <f>REPLACE(C7,1,3, )</f>
        <v xml:space="preserve"> 398</v>
      </c>
      <c r="E7" s="40" t="s">
        <v>1238</v>
      </c>
      <c r="F7" s="39">
        <f>IF(C7=E7,0,1)</f>
        <v>0</v>
      </c>
      <c r="G7" s="82" t="s">
        <v>335</v>
      </c>
      <c r="H7" s="82" t="s">
        <v>1072</v>
      </c>
      <c r="I7" s="82" t="s">
        <v>1126</v>
      </c>
      <c r="J7" s="41">
        <f>M7</f>
        <v>65000</v>
      </c>
      <c r="K7" s="91">
        <f>J7-M7</f>
        <v>0</v>
      </c>
      <c r="L7" s="92" t="s">
        <v>1365</v>
      </c>
      <c r="M7" s="109">
        <v>65000</v>
      </c>
      <c r="N7" s="43">
        <f>2000+250+250+600+1000+3600</f>
        <v>7700</v>
      </c>
      <c r="O7" s="72">
        <f>M7+N7</f>
        <v>72700</v>
      </c>
      <c r="P7" s="110"/>
      <c r="Q7" s="40"/>
      <c r="R7" s="44"/>
      <c r="S7" s="87">
        <f>R7+O7</f>
        <v>72700</v>
      </c>
      <c r="T7" s="87">
        <f>S7/0.7</f>
        <v>103857.14285714287</v>
      </c>
      <c r="U7" s="88">
        <f>T7/0.875</f>
        <v>118693.87755102043</v>
      </c>
      <c r="V7" s="89">
        <f>(U7-T7)/U7</f>
        <v>0.12500000000000006</v>
      </c>
      <c r="W7" s="88">
        <f>(ROUNDUP((U7/100),0))*100</f>
        <v>118700</v>
      </c>
      <c r="X7" s="90">
        <f>(T7-O7)/T7</f>
        <v>0.3000000000000001</v>
      </c>
      <c r="Y7" s="57"/>
      <c r="Z7" s="58"/>
      <c r="AA7" s="59"/>
    </row>
    <row r="8" spans="2:27" s="2" customFormat="1" ht="14.4" customHeight="1">
      <c r="B8" s="40">
        <v>427</v>
      </c>
      <c r="C8" s="40" t="s">
        <v>1085</v>
      </c>
      <c r="D8" s="39" t="str">
        <f>REPLACE(C8,1,3, )</f>
        <v xml:space="preserve"> 554</v>
      </c>
      <c r="E8" s="40" t="s">
        <v>1085</v>
      </c>
      <c r="F8" s="39">
        <f>IF(C8=E8,0,1)</f>
        <v>0</v>
      </c>
      <c r="G8" s="82" t="s">
        <v>340</v>
      </c>
      <c r="H8" s="82" t="s">
        <v>1072</v>
      </c>
      <c r="I8" s="82" t="s">
        <v>1086</v>
      </c>
      <c r="J8" s="41">
        <f>80000+9500</f>
        <v>89500</v>
      </c>
      <c r="K8" s="42">
        <f>J8-M8</f>
        <v>7400</v>
      </c>
      <c r="L8" s="39" t="s">
        <v>22</v>
      </c>
      <c r="M8" s="43">
        <f>J8-N8</f>
        <v>82100</v>
      </c>
      <c r="N8" s="49">
        <f>2000+200+600+1000+3600</f>
        <v>7400</v>
      </c>
      <c r="O8" s="72">
        <f>M8+N8</f>
        <v>89500</v>
      </c>
      <c r="P8" s="29" t="s">
        <v>1333</v>
      </c>
      <c r="Q8" s="40" t="s">
        <v>1334</v>
      </c>
      <c r="R8" s="44"/>
      <c r="S8" s="87">
        <f>R8+O8</f>
        <v>89500</v>
      </c>
      <c r="T8" s="87">
        <f>S8/0.7</f>
        <v>127857.14285714287</v>
      </c>
      <c r="U8" s="88">
        <f>T8/0.875</f>
        <v>146122.44897959186</v>
      </c>
      <c r="V8" s="89">
        <f>(U8-T8)/U8</f>
        <v>0.12500000000000008</v>
      </c>
      <c r="W8" s="88">
        <f>(ROUNDUP((U8/100),0))*100</f>
        <v>146200</v>
      </c>
      <c r="X8" s="90">
        <f>(T8-O8)/T8</f>
        <v>0.30000000000000004</v>
      </c>
      <c r="Y8" s="57">
        <v>118650</v>
      </c>
      <c r="Z8" s="58">
        <f>T8-Y8</f>
        <v>9207.1428571428696</v>
      </c>
      <c r="AA8" s="59">
        <f>Z8/Y8</f>
        <v>7.7599181265426628E-2</v>
      </c>
    </row>
    <row r="9" spans="2:27" s="2" customFormat="1" ht="14.4" customHeight="1">
      <c r="B9" s="40">
        <v>429</v>
      </c>
      <c r="C9" s="40" t="s">
        <v>1091</v>
      </c>
      <c r="D9" s="39" t="str">
        <f>REPLACE(C9,1,3, )</f>
        <v xml:space="preserve"> 169</v>
      </c>
      <c r="E9" s="40" t="s">
        <v>1091</v>
      </c>
      <c r="F9" s="39">
        <f>IF(C9=E9,0,1)</f>
        <v>0</v>
      </c>
      <c r="G9" s="82" t="s">
        <v>340</v>
      </c>
      <c r="H9" s="82" t="s">
        <v>1072</v>
      </c>
      <c r="I9" s="82" t="s">
        <v>1086</v>
      </c>
      <c r="J9" s="41">
        <f>82500+11000</f>
        <v>93500</v>
      </c>
      <c r="K9" s="42">
        <f>J9-M9</f>
        <v>6800</v>
      </c>
      <c r="L9" s="39" t="s">
        <v>22</v>
      </c>
      <c r="M9" s="43">
        <f>J9-N9</f>
        <v>86700</v>
      </c>
      <c r="N9" s="49">
        <f>2000+200+600+1000+3000</f>
        <v>6800</v>
      </c>
      <c r="O9" s="72">
        <f>M9+N9</f>
        <v>93500</v>
      </c>
      <c r="P9" s="29" t="s">
        <v>1332</v>
      </c>
      <c r="Q9" s="40" t="s">
        <v>1335</v>
      </c>
      <c r="R9" s="44"/>
      <c r="S9" s="87">
        <f>R9+O9</f>
        <v>93500</v>
      </c>
      <c r="T9" s="87">
        <f>S9/0.7</f>
        <v>133571.42857142858</v>
      </c>
      <c r="U9" s="88">
        <f>T9/0.875</f>
        <v>152653.06122448979</v>
      </c>
      <c r="V9" s="89">
        <f>(U9-T9)/U9</f>
        <v>0.12499999999999993</v>
      </c>
      <c r="W9" s="88">
        <f>(ROUNDUP((U9/100),0))*100</f>
        <v>152700</v>
      </c>
      <c r="X9" s="90">
        <f>(T9-O9)/T9</f>
        <v>0.30000000000000004</v>
      </c>
      <c r="Y9" s="57">
        <v>122150</v>
      </c>
      <c r="Z9" s="58">
        <f>T9-Y9</f>
        <v>11421.42857142858</v>
      </c>
      <c r="AA9" s="59">
        <f>Z9/Y9</f>
        <v>9.3503303900356771E-2</v>
      </c>
    </row>
    <row r="10" spans="2:27" s="2" customFormat="1" ht="14.4" customHeight="1">
      <c r="B10" s="39">
        <v>433</v>
      </c>
      <c r="C10" s="80" t="s">
        <v>1102</v>
      </c>
      <c r="D10" s="39" t="str">
        <f>REPLACE(C10,1,3, )</f>
        <v xml:space="preserve"> 911</v>
      </c>
      <c r="E10" s="80" t="s">
        <v>1102</v>
      </c>
      <c r="F10" s="80">
        <f>SUM(F11:F34)</f>
        <v>0</v>
      </c>
      <c r="G10" s="82" t="s">
        <v>1321</v>
      </c>
      <c r="H10" s="82" t="s">
        <v>1068</v>
      </c>
      <c r="I10" s="82" t="s">
        <v>1103</v>
      </c>
      <c r="J10" s="41">
        <v>77000</v>
      </c>
      <c r="K10" s="42">
        <f>J10-M10</f>
        <v>6500</v>
      </c>
      <c r="L10" s="39" t="s">
        <v>22</v>
      </c>
      <c r="M10" s="43">
        <f>J10-N10</f>
        <v>70500</v>
      </c>
      <c r="N10" s="49">
        <v>6500</v>
      </c>
      <c r="O10" s="72">
        <f>M10+N10</f>
        <v>77000</v>
      </c>
      <c r="P10" s="29"/>
      <c r="Q10" s="43" t="s">
        <v>1326</v>
      </c>
      <c r="R10" s="44"/>
      <c r="S10" s="87">
        <f>R10+O10</f>
        <v>77000</v>
      </c>
      <c r="T10" s="87">
        <f>S10/0.7</f>
        <v>110000</v>
      </c>
      <c r="U10" s="88">
        <f>T10/0.875</f>
        <v>125714.28571428571</v>
      </c>
      <c r="V10" s="89">
        <f>(U10-T10)/U10</f>
        <v>0.12499999999999997</v>
      </c>
      <c r="W10" s="88">
        <f>(ROUNDUP((U10/100),0))*100</f>
        <v>125800</v>
      </c>
      <c r="X10" s="90">
        <f>(T10-O10)/T10</f>
        <v>0.3</v>
      </c>
      <c r="Y10" s="48"/>
      <c r="Z10" s="48"/>
      <c r="AA10" s="50"/>
    </row>
    <row r="11" spans="2:27" s="2" customFormat="1" ht="14.4" customHeight="1">
      <c r="B11" s="39">
        <v>503</v>
      </c>
      <c r="C11" s="80" t="s">
        <v>1271</v>
      </c>
      <c r="D11" s="39" t="str">
        <f>REPLACE(C11,1,3, )</f>
        <v xml:space="preserve"> 750</v>
      </c>
      <c r="E11" s="80" t="s">
        <v>1271</v>
      </c>
      <c r="F11" s="80">
        <f>SUM(F12:F26)</f>
        <v>0</v>
      </c>
      <c r="G11" s="82" t="s">
        <v>1321</v>
      </c>
      <c r="H11" s="82" t="s">
        <v>1253</v>
      </c>
      <c r="I11" s="82" t="s">
        <v>1272</v>
      </c>
      <c r="J11" s="41">
        <v>32500</v>
      </c>
      <c r="K11" s="42">
        <f>J11-M11</f>
        <v>4800</v>
      </c>
      <c r="L11" s="39" t="s">
        <v>22</v>
      </c>
      <c r="M11" s="43">
        <f>J11-N11</f>
        <v>27700</v>
      </c>
      <c r="N11" s="43">
        <v>4800</v>
      </c>
      <c r="O11" s="72">
        <f>M11+N11</f>
        <v>32500</v>
      </c>
      <c r="P11" s="30"/>
      <c r="Q11" s="40" t="s">
        <v>1331</v>
      </c>
      <c r="R11" s="44"/>
      <c r="S11" s="87">
        <f>R11+O11</f>
        <v>32500</v>
      </c>
      <c r="T11" s="87">
        <f>S11/0.7</f>
        <v>46428.571428571435</v>
      </c>
      <c r="U11" s="88">
        <f>T11/0.875</f>
        <v>53061.224489795924</v>
      </c>
      <c r="V11" s="89">
        <f>(U11-T11)/U11</f>
        <v>0.12499999999999999</v>
      </c>
      <c r="W11" s="88">
        <f>(ROUNDUP((U11/100),0))*100</f>
        <v>53100</v>
      </c>
      <c r="X11" s="90">
        <f>(T11-O11)/T11</f>
        <v>0.3000000000000001</v>
      </c>
      <c r="Y11" s="57"/>
      <c r="Z11" s="58"/>
      <c r="AA11" s="59"/>
    </row>
    <row r="12" spans="2:27" s="2" customFormat="1" ht="14.4" customHeight="1">
      <c r="B12" s="39">
        <v>505</v>
      </c>
      <c r="C12" s="80" t="s">
        <v>1276</v>
      </c>
      <c r="D12" s="39" t="str">
        <f>REPLACE(C12,1,3, )</f>
        <v xml:space="preserve"> 709</v>
      </c>
      <c r="E12" s="80" t="s">
        <v>1276</v>
      </c>
      <c r="F12" s="80">
        <f>SUM(F13:F31)</f>
        <v>0</v>
      </c>
      <c r="G12" s="82" t="s">
        <v>1321</v>
      </c>
      <c r="H12" s="82" t="s">
        <v>1253</v>
      </c>
      <c r="I12" s="82" t="s">
        <v>1272</v>
      </c>
      <c r="J12" s="41">
        <v>29000</v>
      </c>
      <c r="K12" s="42">
        <f>J12-M12</f>
        <v>4450</v>
      </c>
      <c r="L12" s="39" t="s">
        <v>22</v>
      </c>
      <c r="M12" s="43">
        <f>J12-N12</f>
        <v>24550</v>
      </c>
      <c r="N12" s="43">
        <v>4450</v>
      </c>
      <c r="O12" s="72">
        <f>M12+N12</f>
        <v>29000</v>
      </c>
      <c r="P12" s="30"/>
      <c r="Q12" s="40" t="s">
        <v>1330</v>
      </c>
      <c r="R12" s="44"/>
      <c r="S12" s="87">
        <f>R12+O12</f>
        <v>29000</v>
      </c>
      <c r="T12" s="87">
        <f>S12/0.7</f>
        <v>41428.571428571435</v>
      </c>
      <c r="U12" s="88">
        <f>T12/0.875</f>
        <v>47346.938775510214</v>
      </c>
      <c r="V12" s="89">
        <f>(U12-T12)/U12</f>
        <v>0.12500000000000006</v>
      </c>
      <c r="W12" s="88">
        <f>(ROUNDUP((U12/100),0))*100</f>
        <v>47400</v>
      </c>
      <c r="X12" s="90">
        <f>(T12-O12)/T12</f>
        <v>0.3000000000000001</v>
      </c>
      <c r="Y12" s="57"/>
      <c r="Z12" s="58"/>
      <c r="AA12" s="59"/>
    </row>
    <row r="13" spans="2:27" s="2" customFormat="1" ht="14.4" customHeight="1">
      <c r="B13" s="80">
        <v>508</v>
      </c>
      <c r="C13" s="40" t="s">
        <v>1282</v>
      </c>
      <c r="D13" s="39" t="str">
        <f>REPLACE(C13,1,3, )</f>
        <v xml:space="preserve"> 571</v>
      </c>
      <c r="E13" s="40" t="s">
        <v>1282</v>
      </c>
      <c r="F13" s="39">
        <f>IF(C13=E13,0,1)</f>
        <v>0</v>
      </c>
      <c r="G13" s="82" t="s">
        <v>335</v>
      </c>
      <c r="H13" s="82" t="s">
        <v>1253</v>
      </c>
      <c r="I13" s="82" t="s">
        <v>1272</v>
      </c>
      <c r="J13" s="41"/>
      <c r="K13" s="42">
        <f>J13-M13</f>
        <v>0</v>
      </c>
      <c r="L13" s="39" t="s">
        <v>22</v>
      </c>
      <c r="M13" s="43">
        <f>J13-N13</f>
        <v>0</v>
      </c>
      <c r="N13" s="43"/>
      <c r="O13" s="72">
        <f>M13+N13</f>
        <v>0</v>
      </c>
      <c r="P13" s="29"/>
      <c r="Q13" s="40"/>
      <c r="R13" s="44"/>
      <c r="S13" s="87">
        <f>R13+O13</f>
        <v>0</v>
      </c>
      <c r="T13" s="87">
        <f>S13/0.7</f>
        <v>0</v>
      </c>
      <c r="U13" s="88">
        <f>T13/0.875</f>
        <v>0</v>
      </c>
      <c r="V13" s="89" t="e">
        <f>(U13-T13)/U13</f>
        <v>#DIV/0!</v>
      </c>
      <c r="W13" s="88">
        <f>(ROUNDUP((U13/100),0))*100</f>
        <v>0</v>
      </c>
      <c r="X13" s="90" t="e">
        <f>(T13-O13)/T13</f>
        <v>#DIV/0!</v>
      </c>
      <c r="Y13" s="57"/>
      <c r="Z13" s="58"/>
      <c r="AA13" s="59"/>
    </row>
    <row r="14" spans="2:27" s="2" customFormat="1" ht="14.4" customHeight="1">
      <c r="B14" s="39">
        <v>509</v>
      </c>
      <c r="C14" s="80" t="s">
        <v>1284</v>
      </c>
      <c r="D14" s="39" t="str">
        <f>REPLACE(C14,1,3, )</f>
        <v xml:space="preserve"> 521</v>
      </c>
      <c r="E14" s="80" t="s">
        <v>1284</v>
      </c>
      <c r="F14" s="80">
        <f>SUM(F15:F31)</f>
        <v>0</v>
      </c>
      <c r="G14" s="82" t="s">
        <v>1321</v>
      </c>
      <c r="H14" s="82" t="s">
        <v>1253</v>
      </c>
      <c r="I14" s="82" t="s">
        <v>1272</v>
      </c>
      <c r="J14" s="41">
        <v>29000</v>
      </c>
      <c r="K14" s="42">
        <f>J14-M14</f>
        <v>4450</v>
      </c>
      <c r="L14" s="39" t="s">
        <v>22</v>
      </c>
      <c r="M14" s="43">
        <f>J14-N14</f>
        <v>24550</v>
      </c>
      <c r="N14" s="43">
        <v>4450</v>
      </c>
      <c r="O14" s="72">
        <f>M14+N14</f>
        <v>29000</v>
      </c>
      <c r="P14" s="30"/>
      <c r="Q14" s="40" t="s">
        <v>1330</v>
      </c>
      <c r="R14" s="44"/>
      <c r="S14" s="87">
        <f>R14+O14</f>
        <v>29000</v>
      </c>
      <c r="T14" s="87">
        <f>S14/0.7</f>
        <v>41428.571428571435</v>
      </c>
      <c r="U14" s="88">
        <f>T14/0.875</f>
        <v>47346.938775510214</v>
      </c>
      <c r="V14" s="89">
        <f>(U14-T14)/U14</f>
        <v>0.12500000000000006</v>
      </c>
      <c r="W14" s="88">
        <f>(ROUNDUP((U14/100),0))*100</f>
        <v>47400</v>
      </c>
      <c r="X14" s="90">
        <f>(T14-O14)/T14</f>
        <v>0.3000000000000001</v>
      </c>
      <c r="Y14" s="57"/>
      <c r="Z14" s="58"/>
      <c r="AA14" s="59"/>
    </row>
    <row r="15" spans="2:27" s="2" customFormat="1" ht="14.4" customHeight="1">
      <c r="B15" s="39">
        <v>510</v>
      </c>
      <c r="C15" s="80" t="s">
        <v>1286</v>
      </c>
      <c r="D15" s="39" t="str">
        <f>REPLACE(C15,1,3, )</f>
        <v xml:space="preserve"> 852</v>
      </c>
      <c r="E15" s="80" t="s">
        <v>1286</v>
      </c>
      <c r="F15" s="80">
        <f>SUM(F16:F31)</f>
        <v>0</v>
      </c>
      <c r="G15" s="82" t="s">
        <v>1321</v>
      </c>
      <c r="H15" s="82" t="s">
        <v>1253</v>
      </c>
      <c r="I15" s="82" t="s">
        <v>1272</v>
      </c>
      <c r="J15" s="41">
        <v>29000</v>
      </c>
      <c r="K15" s="42">
        <f>J15-M15</f>
        <v>4450</v>
      </c>
      <c r="L15" s="39" t="s">
        <v>22</v>
      </c>
      <c r="M15" s="43">
        <f>J15-N15</f>
        <v>24550</v>
      </c>
      <c r="N15" s="43">
        <v>4450</v>
      </c>
      <c r="O15" s="72">
        <f>M15+N15</f>
        <v>29000</v>
      </c>
      <c r="P15" s="30"/>
      <c r="Q15" s="40" t="s">
        <v>1330</v>
      </c>
      <c r="R15" s="44"/>
      <c r="S15" s="87">
        <f>R15+O15</f>
        <v>29000</v>
      </c>
      <c r="T15" s="87">
        <f>S15/0.7</f>
        <v>41428.571428571435</v>
      </c>
      <c r="U15" s="88">
        <f>T15/0.875</f>
        <v>47346.938775510214</v>
      </c>
      <c r="V15" s="89">
        <f>(U15-T15)/U15</f>
        <v>0.12500000000000006</v>
      </c>
      <c r="W15" s="88">
        <f>(ROUNDUP((U15/100),0))*100</f>
        <v>47400</v>
      </c>
      <c r="X15" s="90">
        <f>(T15-O15)/T15</f>
        <v>0.3000000000000001</v>
      </c>
      <c r="Y15" s="57"/>
      <c r="Z15" s="58"/>
      <c r="AA15" s="59"/>
    </row>
    <row r="16" spans="2:27" s="2" customFormat="1" ht="14.4" customHeight="1">
      <c r="B16" s="39">
        <v>513</v>
      </c>
      <c r="C16" s="80" t="s">
        <v>1292</v>
      </c>
      <c r="D16" s="39" t="str">
        <f>REPLACE(C16,1,3, )</f>
        <v xml:space="preserve"> 678</v>
      </c>
      <c r="E16" s="80" t="s">
        <v>1292</v>
      </c>
      <c r="F16" s="80">
        <f>SUM(F17:F34)</f>
        <v>0</v>
      </c>
      <c r="G16" s="82" t="s">
        <v>1321</v>
      </c>
      <c r="H16" s="82" t="s">
        <v>1253</v>
      </c>
      <c r="I16" s="82" t="s">
        <v>1272</v>
      </c>
      <c r="J16" s="41">
        <v>29000</v>
      </c>
      <c r="K16" s="42">
        <f>J16-M16</f>
        <v>4450</v>
      </c>
      <c r="L16" s="39" t="s">
        <v>22</v>
      </c>
      <c r="M16" s="43">
        <f>J16-N16</f>
        <v>24550</v>
      </c>
      <c r="N16" s="43">
        <v>4450</v>
      </c>
      <c r="O16" s="72">
        <f>M16+N16</f>
        <v>29000</v>
      </c>
      <c r="P16" s="30"/>
      <c r="Q16" s="40" t="s">
        <v>1330</v>
      </c>
      <c r="R16" s="44"/>
      <c r="S16" s="87">
        <f>R16+O16</f>
        <v>29000</v>
      </c>
      <c r="T16" s="87">
        <f>S16/0.7</f>
        <v>41428.571428571435</v>
      </c>
      <c r="U16" s="88">
        <f>T16/0.875</f>
        <v>47346.938775510214</v>
      </c>
      <c r="V16" s="89">
        <f>(U16-T16)/U16</f>
        <v>0.12500000000000006</v>
      </c>
      <c r="W16" s="88">
        <f>(ROUNDUP((U16/100),0))*100</f>
        <v>47400</v>
      </c>
      <c r="X16" s="90">
        <f>(T16-O16)/T16</f>
        <v>0.3000000000000001</v>
      </c>
      <c r="Y16" s="57"/>
      <c r="Z16" s="58"/>
      <c r="AA16" s="59"/>
    </row>
    <row r="17" spans="2:27" s="2" customFormat="1" ht="14.4" customHeight="1">
      <c r="B17" s="40">
        <v>471</v>
      </c>
      <c r="C17" s="40" t="s">
        <v>1193</v>
      </c>
      <c r="D17" s="39" t="str">
        <f>REPLACE(C17,1,3, )</f>
        <v xml:space="preserve"> 267</v>
      </c>
      <c r="E17" s="40" t="s">
        <v>1193</v>
      </c>
      <c r="F17" s="39">
        <f>IF(C17=E17,0,1)</f>
        <v>0</v>
      </c>
      <c r="G17" s="82" t="s">
        <v>340</v>
      </c>
      <c r="H17" s="82" t="s">
        <v>1183</v>
      </c>
      <c r="I17" s="82" t="s">
        <v>1194</v>
      </c>
      <c r="J17" s="41"/>
      <c r="K17" s="42">
        <f>J17-M17</f>
        <v>0</v>
      </c>
      <c r="L17" s="39" t="s">
        <v>22</v>
      </c>
      <c r="M17" s="43">
        <f>J17-N17</f>
        <v>0</v>
      </c>
      <c r="N17" s="43"/>
      <c r="O17" s="72">
        <f>M17+N17</f>
        <v>0</v>
      </c>
      <c r="P17" s="29"/>
      <c r="Q17" s="40"/>
      <c r="R17" s="44"/>
      <c r="S17" s="87">
        <f>R17+O17</f>
        <v>0</v>
      </c>
      <c r="T17" s="87">
        <f>S17/0.7</f>
        <v>0</v>
      </c>
      <c r="U17" s="88">
        <f>T17/0.875</f>
        <v>0</v>
      </c>
      <c r="V17" s="89" t="e">
        <f>(U17-T17)/U17</f>
        <v>#DIV/0!</v>
      </c>
      <c r="W17" s="88">
        <f>(ROUNDUP((U17/100),0))*100</f>
        <v>0</v>
      </c>
      <c r="X17" s="90" t="e">
        <f>(T17-O17)/T17</f>
        <v>#DIV/0!</v>
      </c>
      <c r="Y17" s="57">
        <v>95725</v>
      </c>
      <c r="Z17" s="58">
        <f>T17-Y17</f>
        <v>-95725</v>
      </c>
      <c r="AA17" s="59">
        <f>Z17/Y17</f>
        <v>-1</v>
      </c>
    </row>
    <row r="18" spans="2:27" s="2" customFormat="1" ht="14.4" customHeight="1">
      <c r="B18" s="40">
        <v>491</v>
      </c>
      <c r="C18" s="40" t="s">
        <v>1240</v>
      </c>
      <c r="D18" s="39" t="str">
        <f>REPLACE(C18,1,3, )</f>
        <v xml:space="preserve"> 893</v>
      </c>
      <c r="E18" s="40" t="s">
        <v>1240</v>
      </c>
      <c r="F18" s="39">
        <f>IF(C18=E18,0,1)</f>
        <v>0</v>
      </c>
      <c r="G18" s="82" t="s">
        <v>340</v>
      </c>
      <c r="H18" s="82" t="s">
        <v>1235</v>
      </c>
      <c r="I18" s="77" t="s">
        <v>1400</v>
      </c>
      <c r="J18" s="111">
        <v>27000</v>
      </c>
      <c r="K18" s="103">
        <f>J18-M18</f>
        <v>0</v>
      </c>
      <c r="L18" s="113" t="s">
        <v>1365</v>
      </c>
      <c r="M18" s="114">
        <f t="shared" ref="M18:M19" si="0">J18</f>
        <v>27000</v>
      </c>
      <c r="N18" s="112">
        <f>2000+2850+800+200+250+800</f>
        <v>6900</v>
      </c>
      <c r="O18" s="103">
        <f>M18+N18</f>
        <v>33900</v>
      </c>
      <c r="P18" s="104"/>
      <c r="Q18" s="76" t="s">
        <v>1399</v>
      </c>
      <c r="R18" s="44"/>
      <c r="S18" s="87">
        <f>R18+O18</f>
        <v>33900</v>
      </c>
      <c r="T18" s="87">
        <f>S18/0.7</f>
        <v>48428.571428571435</v>
      </c>
      <c r="U18" s="88">
        <f>T18/0.875</f>
        <v>55346.938775510214</v>
      </c>
      <c r="V18" s="89">
        <f>(U18-T18)/U18</f>
        <v>0.12500000000000006</v>
      </c>
      <c r="W18" s="88">
        <f>(ROUNDUP((U18/100),0))*100</f>
        <v>55400</v>
      </c>
      <c r="X18" s="90">
        <f>(T18-O18)/T18</f>
        <v>0.3000000000000001</v>
      </c>
      <c r="Y18" s="57">
        <v>57750</v>
      </c>
      <c r="Z18" s="58">
        <f>T18-Y18</f>
        <v>-9321.4285714285652</v>
      </c>
      <c r="AA18" s="59">
        <f>Z18/Y18</f>
        <v>-0.16141001855287559</v>
      </c>
    </row>
    <row r="19" spans="2:27" s="2" customFormat="1" ht="14.4" customHeight="1">
      <c r="B19" s="40">
        <v>495</v>
      </c>
      <c r="C19" s="40" t="s">
        <v>1250</v>
      </c>
      <c r="D19" s="39" t="str">
        <f>REPLACE(C19,1,3, )</f>
        <v xml:space="preserve"> 308</v>
      </c>
      <c r="E19" s="40" t="s">
        <v>1250</v>
      </c>
      <c r="F19" s="39">
        <f>IF(C19=E19,0,1)</f>
        <v>0</v>
      </c>
      <c r="G19" s="82" t="s">
        <v>340</v>
      </c>
      <c r="H19" s="82" t="s">
        <v>1183</v>
      </c>
      <c r="I19" s="77" t="s">
        <v>1400</v>
      </c>
      <c r="J19" s="97">
        <v>97100</v>
      </c>
      <c r="K19" s="101">
        <f>J19-M19</f>
        <v>0</v>
      </c>
      <c r="L19" s="113" t="s">
        <v>1365</v>
      </c>
      <c r="M19" s="114">
        <f t="shared" si="0"/>
        <v>97100</v>
      </c>
      <c r="N19" s="112">
        <f>2000+800+200+250</f>
        <v>3250</v>
      </c>
      <c r="O19" s="103">
        <f>N19+M19</f>
        <v>100350</v>
      </c>
      <c r="P19" s="104"/>
      <c r="Q19" s="77" t="s">
        <v>1401</v>
      </c>
      <c r="R19" s="44"/>
      <c r="S19" s="87">
        <f>R19+O19</f>
        <v>100350</v>
      </c>
      <c r="T19" s="87">
        <f>S19/0.7</f>
        <v>143357.14285714287</v>
      </c>
      <c r="U19" s="88">
        <f>T19/0.875</f>
        <v>163836.73469387757</v>
      </c>
      <c r="V19" s="89">
        <f>(U19-T19)/U19</f>
        <v>0.12500000000000006</v>
      </c>
      <c r="W19" s="88">
        <f>(ROUNDUP((U19/100),0))*100</f>
        <v>163900</v>
      </c>
      <c r="X19" s="90">
        <f>(T19-O19)/T19</f>
        <v>0.30000000000000004</v>
      </c>
      <c r="Y19" s="57">
        <v>150500</v>
      </c>
      <c r="Z19" s="58">
        <f>T19-Y19</f>
        <v>-7142.8571428571304</v>
      </c>
      <c r="AA19" s="59">
        <f>Z19/Y19</f>
        <v>-4.7460844803037409E-2</v>
      </c>
    </row>
    <row r="20" spans="2:27" s="2" customFormat="1" ht="14.4" customHeight="1">
      <c r="B20" s="39">
        <v>453</v>
      </c>
      <c r="C20" s="80" t="s">
        <v>1147</v>
      </c>
      <c r="D20" s="39" t="str">
        <f>REPLACE(C20,1,3, )</f>
        <v xml:space="preserve"> 930</v>
      </c>
      <c r="E20" s="80" t="s">
        <v>1147</v>
      </c>
      <c r="F20" s="80">
        <f>SUM(F21:F45)</f>
        <v>0</v>
      </c>
      <c r="G20" s="77" t="s">
        <v>340</v>
      </c>
      <c r="H20" s="82" t="s">
        <v>1072</v>
      </c>
      <c r="I20" s="82" t="s">
        <v>1148</v>
      </c>
      <c r="J20" s="41">
        <v>42250</v>
      </c>
      <c r="K20" s="42">
        <f>J20-M20</f>
        <v>5400</v>
      </c>
      <c r="L20" s="39" t="s">
        <v>22</v>
      </c>
      <c r="M20" s="43">
        <f>J20-N20</f>
        <v>36850</v>
      </c>
      <c r="N20" s="43">
        <v>5400</v>
      </c>
      <c r="O20" s="72">
        <f>M20+N20</f>
        <v>42250</v>
      </c>
      <c r="P20" s="29"/>
      <c r="Q20" s="40" t="s">
        <v>1325</v>
      </c>
      <c r="R20" s="44"/>
      <c r="S20" s="87">
        <f>R20+O20</f>
        <v>42250</v>
      </c>
      <c r="T20" s="87">
        <f>S20/0.7</f>
        <v>60357.142857142862</v>
      </c>
      <c r="U20" s="88">
        <f>T20/0.875</f>
        <v>68979.591836734704</v>
      </c>
      <c r="V20" s="89">
        <f>(U20-T20)/U20</f>
        <v>0.12500000000000006</v>
      </c>
      <c r="W20" s="88">
        <f>(ROUNDUP((U20/100),0))*100</f>
        <v>69000</v>
      </c>
      <c r="X20" s="90">
        <f>(T20-O20)/T20</f>
        <v>0.30000000000000004</v>
      </c>
      <c r="Y20" s="57">
        <v>61863</v>
      </c>
      <c r="Z20" s="58">
        <f>T20-Y20</f>
        <v>-1505.8571428571377</v>
      </c>
      <c r="AA20" s="59">
        <f>Z20/Y20</f>
        <v>-2.434180597218269E-2</v>
      </c>
    </row>
    <row r="21" spans="2:27" s="2" customFormat="1" ht="14.4" customHeight="1">
      <c r="B21" s="39">
        <v>454</v>
      </c>
      <c r="C21" s="80" t="s">
        <v>1150</v>
      </c>
      <c r="D21" s="39" t="str">
        <f>REPLACE(C21,1,3, )</f>
        <v xml:space="preserve"> 860</v>
      </c>
      <c r="E21" s="80" t="s">
        <v>1150</v>
      </c>
      <c r="F21" s="80">
        <f>SUM(F22:F47)</f>
        <v>0</v>
      </c>
      <c r="G21" s="77" t="s">
        <v>340</v>
      </c>
      <c r="H21" s="82" t="s">
        <v>1072</v>
      </c>
      <c r="I21" s="82" t="s">
        <v>1148</v>
      </c>
      <c r="J21" s="52">
        <v>42250</v>
      </c>
      <c r="K21" s="42">
        <f>J21-M21</f>
        <v>5400</v>
      </c>
      <c r="L21" s="39" t="s">
        <v>22</v>
      </c>
      <c r="M21" s="43">
        <f>J21-N21</f>
        <v>36850</v>
      </c>
      <c r="N21" s="52">
        <v>5400</v>
      </c>
      <c r="O21" s="72">
        <f>M21+N21</f>
        <v>42250</v>
      </c>
      <c r="P21" s="29"/>
      <c r="Q21" s="40" t="s">
        <v>1325</v>
      </c>
      <c r="R21" s="44"/>
      <c r="S21" s="87">
        <f>R21+O21</f>
        <v>42250</v>
      </c>
      <c r="T21" s="87">
        <f>S21/0.7</f>
        <v>60357.142857142862</v>
      </c>
      <c r="U21" s="88">
        <f>T21/0.875</f>
        <v>68979.591836734704</v>
      </c>
      <c r="V21" s="89">
        <f>(U21-T21)/U21</f>
        <v>0.12500000000000006</v>
      </c>
      <c r="W21" s="88">
        <f>(ROUNDUP((U21/100),0))*100</f>
        <v>69000</v>
      </c>
      <c r="X21" s="90">
        <f>(T21-O21)/T21</f>
        <v>0.30000000000000004</v>
      </c>
      <c r="Y21" s="57">
        <v>61863</v>
      </c>
      <c r="Z21" s="58">
        <f>T21-Y21</f>
        <v>-1505.8571428571377</v>
      </c>
      <c r="AA21" s="59">
        <f>Z21/Y21</f>
        <v>-2.434180597218269E-2</v>
      </c>
    </row>
    <row r="22" spans="2:27" s="2" customFormat="1" ht="14.4" customHeight="1">
      <c r="B22" s="39">
        <v>457</v>
      </c>
      <c r="C22" s="80" t="s">
        <v>1158</v>
      </c>
      <c r="D22" s="39" t="str">
        <f>REPLACE(C22,1,3, )</f>
        <v xml:space="preserve"> 928</v>
      </c>
      <c r="E22" s="80" t="s">
        <v>1158</v>
      </c>
      <c r="F22" s="80">
        <f>SUM(F23:F49)</f>
        <v>0</v>
      </c>
      <c r="G22" s="82" t="s">
        <v>1321</v>
      </c>
      <c r="H22" s="82" t="s">
        <v>1153</v>
      </c>
      <c r="I22" s="82" t="s">
        <v>1148</v>
      </c>
      <c r="J22" s="52">
        <v>32500</v>
      </c>
      <c r="K22" s="42">
        <f>J22-M22</f>
        <v>5900</v>
      </c>
      <c r="L22" s="39" t="s">
        <v>22</v>
      </c>
      <c r="M22" s="43">
        <f>J22-N22</f>
        <v>26600</v>
      </c>
      <c r="N22" s="52">
        <v>5900</v>
      </c>
      <c r="O22" s="72">
        <f>M22+N22</f>
        <v>32500</v>
      </c>
      <c r="P22" s="29"/>
      <c r="Q22" s="40" t="s">
        <v>1323</v>
      </c>
      <c r="R22" s="44"/>
      <c r="S22" s="87">
        <f>R22+O22</f>
        <v>32500</v>
      </c>
      <c r="T22" s="87">
        <f>S22/0.7</f>
        <v>46428.571428571435</v>
      </c>
      <c r="U22" s="88">
        <f>T22/0.875</f>
        <v>53061.224489795924</v>
      </c>
      <c r="V22" s="89">
        <f>(U22-T22)/U22</f>
        <v>0.12499999999999999</v>
      </c>
      <c r="W22" s="88">
        <f>(ROUNDUP((U22/100),0))*100</f>
        <v>53100</v>
      </c>
      <c r="X22" s="90">
        <f>(T22-O22)/T22</f>
        <v>0.3000000000000001</v>
      </c>
      <c r="Y22" s="57"/>
      <c r="Z22" s="58"/>
      <c r="AA22" s="59"/>
    </row>
    <row r="23" spans="2:27" s="2" customFormat="1" ht="14.4" customHeight="1">
      <c r="B23" s="39">
        <v>465</v>
      </c>
      <c r="C23" s="80" t="s">
        <v>1177</v>
      </c>
      <c r="D23" s="39" t="str">
        <f>REPLACE(C23,1,3, )</f>
        <v xml:space="preserve"> 937</v>
      </c>
      <c r="E23" s="80" t="s">
        <v>1177</v>
      </c>
      <c r="F23" s="80">
        <f>SUM(F24:F51)</f>
        <v>0</v>
      </c>
      <c r="G23" s="82" t="s">
        <v>1321</v>
      </c>
      <c r="H23" s="82" t="s">
        <v>1153</v>
      </c>
      <c r="I23" s="82" t="s">
        <v>1148</v>
      </c>
      <c r="J23" s="41">
        <v>32500</v>
      </c>
      <c r="K23" s="42">
        <f>J23-M23</f>
        <v>4900</v>
      </c>
      <c r="L23" s="39" t="s">
        <v>22</v>
      </c>
      <c r="M23" s="43">
        <f>J23-N23</f>
        <v>27600</v>
      </c>
      <c r="N23" s="43">
        <v>4900</v>
      </c>
      <c r="O23" s="72">
        <f>M23+N23</f>
        <v>32500</v>
      </c>
      <c r="P23" s="29"/>
      <c r="Q23" s="40" t="s">
        <v>1324</v>
      </c>
      <c r="R23" s="44"/>
      <c r="S23" s="87">
        <f>R23+O23</f>
        <v>32500</v>
      </c>
      <c r="T23" s="87">
        <f>S23/0.7</f>
        <v>46428.571428571435</v>
      </c>
      <c r="U23" s="88">
        <f>T23/0.875</f>
        <v>53061.224489795924</v>
      </c>
      <c r="V23" s="89">
        <f>(U23-T23)/U23</f>
        <v>0.12499999999999999</v>
      </c>
      <c r="W23" s="88">
        <f>(ROUNDUP((U23/100),0))*100</f>
        <v>53100</v>
      </c>
      <c r="X23" s="90">
        <f>(T23-O23)/T23</f>
        <v>0.3000000000000001</v>
      </c>
      <c r="Y23" s="57"/>
      <c r="Z23" s="58"/>
      <c r="AA23" s="59"/>
    </row>
    <row r="24" spans="2:27" s="2" customFormat="1" ht="14.4" customHeight="1">
      <c r="B24" s="40">
        <v>434</v>
      </c>
      <c r="C24" s="40" t="s">
        <v>1105</v>
      </c>
      <c r="D24" s="39" t="str">
        <f>REPLACE(C24,1,3, )</f>
        <v xml:space="preserve"> 353</v>
      </c>
      <c r="E24" s="40" t="s">
        <v>1105</v>
      </c>
      <c r="F24" s="39">
        <f>IF(C24=E24,0,1)</f>
        <v>0</v>
      </c>
      <c r="G24" s="82" t="s">
        <v>340</v>
      </c>
      <c r="H24" s="82" t="s">
        <v>1072</v>
      </c>
      <c r="I24" s="82" t="s">
        <v>1106</v>
      </c>
      <c r="J24" s="41"/>
      <c r="K24" s="42">
        <f>J24-M24</f>
        <v>0</v>
      </c>
      <c r="L24" s="39" t="s">
        <v>22</v>
      </c>
      <c r="M24" s="43">
        <f>J24-N24</f>
        <v>0</v>
      </c>
      <c r="N24" s="49"/>
      <c r="O24" s="72">
        <f>M24+N24</f>
        <v>0</v>
      </c>
      <c r="P24" s="29"/>
      <c r="Q24" s="40"/>
      <c r="R24" s="44"/>
      <c r="S24" s="87">
        <f>R24+O24</f>
        <v>0</v>
      </c>
      <c r="T24" s="87">
        <f>S24/0.7</f>
        <v>0</v>
      </c>
      <c r="U24" s="88">
        <f>T24/0.875</f>
        <v>0</v>
      </c>
      <c r="V24" s="89" t="e">
        <f>(U24-T24)/U24</f>
        <v>#DIV/0!</v>
      </c>
      <c r="W24" s="88">
        <f>(ROUNDUP((U24/100),0))*100</f>
        <v>0</v>
      </c>
      <c r="X24" s="90" t="e">
        <f>(T24-O24)/T24</f>
        <v>#DIV/0!</v>
      </c>
      <c r="Y24" s="57">
        <v>102813</v>
      </c>
      <c r="Z24" s="58">
        <f>T24-Y24</f>
        <v>-102813</v>
      </c>
      <c r="AA24" s="59">
        <f>Z24/Y24</f>
        <v>-1</v>
      </c>
    </row>
    <row r="25" spans="2:27" s="2" customFormat="1" ht="14.4" customHeight="1">
      <c r="B25" s="40">
        <v>437</v>
      </c>
      <c r="C25" s="40" t="s">
        <v>1113</v>
      </c>
      <c r="D25" s="39" t="str">
        <f>REPLACE(C25,1,3, )</f>
        <v xml:space="preserve"> 439</v>
      </c>
      <c r="E25" s="40" t="s">
        <v>1113</v>
      </c>
      <c r="F25" s="39">
        <f>IF(C25=E25,0,1)</f>
        <v>0</v>
      </c>
      <c r="G25" s="82" t="s">
        <v>340</v>
      </c>
      <c r="H25" s="82" t="s">
        <v>1072</v>
      </c>
      <c r="I25" s="82" t="s">
        <v>1106</v>
      </c>
      <c r="J25" s="41"/>
      <c r="K25" s="42">
        <f>J25-M25</f>
        <v>0</v>
      </c>
      <c r="L25" s="39" t="s">
        <v>22</v>
      </c>
      <c r="M25" s="43">
        <f>J25-N25</f>
        <v>0</v>
      </c>
      <c r="N25" s="43"/>
      <c r="O25" s="72">
        <f>M25+N25</f>
        <v>0</v>
      </c>
      <c r="P25" s="29"/>
      <c r="Q25" s="40"/>
      <c r="R25" s="44"/>
      <c r="S25" s="87">
        <f>R25+O25</f>
        <v>0</v>
      </c>
      <c r="T25" s="87">
        <f>S25/0.7</f>
        <v>0</v>
      </c>
      <c r="U25" s="88">
        <f>T25/0.875</f>
        <v>0</v>
      </c>
      <c r="V25" s="89" t="e">
        <f>(U25-T25)/U25</f>
        <v>#DIV/0!</v>
      </c>
      <c r="W25" s="88">
        <f>(ROUNDUP((U25/100),0))*100</f>
        <v>0</v>
      </c>
      <c r="X25" s="90" t="e">
        <f>(T25-O25)/T25</f>
        <v>#DIV/0!</v>
      </c>
      <c r="Y25" s="57">
        <v>105088</v>
      </c>
      <c r="Z25" s="58">
        <f>T25-Y25</f>
        <v>-105088</v>
      </c>
      <c r="AA25" s="59">
        <f>Z25/Y25</f>
        <v>-1</v>
      </c>
    </row>
    <row r="26" spans="2:27" s="2" customFormat="1" ht="14.4" customHeight="1">
      <c r="B26" s="40">
        <v>501</v>
      </c>
      <c r="C26" s="40" t="s">
        <v>1266</v>
      </c>
      <c r="D26" s="39" t="str">
        <f>REPLACE(C26,1,3, )</f>
        <v xml:space="preserve"> 345</v>
      </c>
      <c r="E26" s="40" t="s">
        <v>1266</v>
      </c>
      <c r="F26" s="39">
        <f>IF(C26=E26,0,1)</f>
        <v>0</v>
      </c>
      <c r="G26" s="82" t="s">
        <v>335</v>
      </c>
      <c r="H26" s="82" t="s">
        <v>1253</v>
      </c>
      <c r="I26" s="82" t="s">
        <v>1267</v>
      </c>
      <c r="J26" s="41">
        <v>32000</v>
      </c>
      <c r="K26" s="42">
        <f>J26-M26</f>
        <v>4800</v>
      </c>
      <c r="L26" s="39" t="s">
        <v>22</v>
      </c>
      <c r="M26" s="43">
        <f>J26-N26</f>
        <v>27200</v>
      </c>
      <c r="N26" s="43">
        <f>2000+2000+600+200</f>
        <v>4800</v>
      </c>
      <c r="O26" s="72">
        <f>M26+N26</f>
        <v>32000</v>
      </c>
      <c r="P26" s="29"/>
      <c r="Q26" s="40" t="s">
        <v>1343</v>
      </c>
      <c r="R26" s="44"/>
      <c r="S26" s="87">
        <f>R26+O26</f>
        <v>32000</v>
      </c>
      <c r="T26" s="87">
        <f>S26/0.7</f>
        <v>45714.285714285717</v>
      </c>
      <c r="U26" s="88">
        <f>T26/0.875</f>
        <v>52244.897959183676</v>
      </c>
      <c r="V26" s="89">
        <f>(U26-T26)/U26</f>
        <v>0.12499999999999999</v>
      </c>
      <c r="W26" s="88">
        <f>(ROUNDUP((U26/100),0))*100</f>
        <v>52300</v>
      </c>
      <c r="X26" s="90">
        <f>(T26-O26)/T26</f>
        <v>0.30000000000000004</v>
      </c>
      <c r="Y26" s="57"/>
      <c r="Z26" s="58"/>
      <c r="AA26" s="59"/>
    </row>
    <row r="27" spans="2:27" s="2" customFormat="1" ht="14.4" customHeight="1">
      <c r="B27" s="40">
        <v>511</v>
      </c>
      <c r="C27" s="40" t="s">
        <v>1288</v>
      </c>
      <c r="D27" s="39" t="str">
        <f>REPLACE(C27,1,3, )</f>
        <v xml:space="preserve"> 589</v>
      </c>
      <c r="E27" s="40" t="s">
        <v>1288</v>
      </c>
      <c r="F27" s="39">
        <f>IF(C27=E27,0,1)</f>
        <v>0</v>
      </c>
      <c r="G27" s="82" t="s">
        <v>335</v>
      </c>
      <c r="H27" s="82" t="s">
        <v>1253</v>
      </c>
      <c r="I27" s="82" t="s">
        <v>1267</v>
      </c>
      <c r="J27" s="41">
        <v>28000</v>
      </c>
      <c r="K27" s="42">
        <f>J27-M27</f>
        <v>4450</v>
      </c>
      <c r="L27" s="39" t="s">
        <v>22</v>
      </c>
      <c r="M27" s="43">
        <f>J27-N27</f>
        <v>23550</v>
      </c>
      <c r="N27" s="43">
        <f>2000+1650+600+200</f>
        <v>4450</v>
      </c>
      <c r="O27" s="72">
        <f>M27+N27</f>
        <v>28000</v>
      </c>
      <c r="P27" s="29"/>
      <c r="Q27" s="40" t="s">
        <v>1342</v>
      </c>
      <c r="R27" s="44"/>
      <c r="S27" s="87">
        <f>R27+O27</f>
        <v>28000</v>
      </c>
      <c r="T27" s="87">
        <f>S27/0.7</f>
        <v>40000</v>
      </c>
      <c r="U27" s="88">
        <f>T27/0.875</f>
        <v>45714.285714285717</v>
      </c>
      <c r="V27" s="89">
        <f>(U27-T27)/U27</f>
        <v>0.12500000000000006</v>
      </c>
      <c r="W27" s="88">
        <f>(ROUNDUP((U27/100),0))*100</f>
        <v>45800</v>
      </c>
      <c r="X27" s="90">
        <f>(T27-O27)/T27</f>
        <v>0.3</v>
      </c>
      <c r="Y27" s="57"/>
      <c r="Z27" s="58"/>
      <c r="AA27" s="59"/>
    </row>
    <row r="28" spans="2:27" s="2" customFormat="1" ht="14.4" customHeight="1">
      <c r="B28" s="40">
        <v>489</v>
      </c>
      <c r="C28" s="40" t="s">
        <v>1234</v>
      </c>
      <c r="D28" s="39" t="str">
        <f>REPLACE(C28,1,3, )</f>
        <v xml:space="preserve"> 748</v>
      </c>
      <c r="E28" s="40" t="s">
        <v>1234</v>
      </c>
      <c r="F28" s="39">
        <f>IF(C28=E28,0,1)</f>
        <v>0</v>
      </c>
      <c r="G28" s="82" t="s">
        <v>335</v>
      </c>
      <c r="H28" s="82" t="s">
        <v>1235</v>
      </c>
      <c r="I28" s="82" t="s">
        <v>1236</v>
      </c>
      <c r="J28" s="41"/>
      <c r="K28" s="42">
        <f>J28-M28</f>
        <v>0</v>
      </c>
      <c r="L28" s="39" t="s">
        <v>22</v>
      </c>
      <c r="M28" s="43">
        <f>J28-N28</f>
        <v>0</v>
      </c>
      <c r="N28" s="43"/>
      <c r="O28" s="72">
        <f>M28+N28</f>
        <v>0</v>
      </c>
      <c r="P28" s="29"/>
      <c r="Q28" s="40"/>
      <c r="R28" s="44"/>
      <c r="S28" s="87">
        <f>R28+O28</f>
        <v>0</v>
      </c>
      <c r="T28" s="87">
        <f>S28/0.7</f>
        <v>0</v>
      </c>
      <c r="U28" s="88">
        <f>T28/0.875</f>
        <v>0</v>
      </c>
      <c r="V28" s="89" t="e">
        <f>(U28-T28)/U28</f>
        <v>#DIV/0!</v>
      </c>
      <c r="W28" s="88">
        <f>(ROUNDUP((U28/100),0))*100</f>
        <v>0</v>
      </c>
      <c r="X28" s="90" t="e">
        <f>(T28-O28)/T28</f>
        <v>#DIV/0!</v>
      </c>
      <c r="Y28" s="57"/>
      <c r="Z28" s="58"/>
      <c r="AA28" s="59"/>
    </row>
    <row r="29" spans="2:27" s="2" customFormat="1" ht="14.4" customHeight="1">
      <c r="B29" s="40">
        <v>451</v>
      </c>
      <c r="C29" s="40" t="s">
        <v>1144</v>
      </c>
      <c r="D29" s="39" t="str">
        <f>REPLACE(C29,1,3, )</f>
        <v xml:space="preserve"> 216</v>
      </c>
      <c r="E29" s="40" t="s">
        <v>1144</v>
      </c>
      <c r="F29" s="39">
        <f>IF(C29=E29,0,1)</f>
        <v>0</v>
      </c>
      <c r="G29" s="82" t="s">
        <v>340</v>
      </c>
      <c r="H29" s="82" t="s">
        <v>1072</v>
      </c>
      <c r="I29" s="82" t="s">
        <v>1145</v>
      </c>
      <c r="J29" s="41"/>
      <c r="K29" s="42">
        <f>J29-M29</f>
        <v>0</v>
      </c>
      <c r="L29" s="39" t="s">
        <v>22</v>
      </c>
      <c r="M29" s="43">
        <f>J29-N29</f>
        <v>0</v>
      </c>
      <c r="N29" s="43"/>
      <c r="O29" s="72">
        <f>M29+N29</f>
        <v>0</v>
      </c>
      <c r="P29" s="29"/>
      <c r="Q29" s="40"/>
      <c r="R29" s="44"/>
      <c r="S29" s="87">
        <f>R29+O29</f>
        <v>0</v>
      </c>
      <c r="T29" s="87">
        <f>S29/0.7</f>
        <v>0</v>
      </c>
      <c r="U29" s="88">
        <f>T29/0.875</f>
        <v>0</v>
      </c>
      <c r="V29" s="89" t="e">
        <f>(U29-T29)/U29</f>
        <v>#DIV/0!</v>
      </c>
      <c r="W29" s="88">
        <f>(ROUNDUP((U29/100),0))*100</f>
        <v>0</v>
      </c>
      <c r="X29" s="90" t="e">
        <f>(T29-O29)/T29</f>
        <v>#DIV/0!</v>
      </c>
      <c r="Y29" s="57">
        <v>94850</v>
      </c>
      <c r="Z29" s="58">
        <f>T29-Y29</f>
        <v>-94850</v>
      </c>
      <c r="AA29" s="59">
        <f>Z29/Y29</f>
        <v>-1</v>
      </c>
    </row>
    <row r="30" spans="2:27" s="2" customFormat="1" ht="14.4" customHeight="1">
      <c r="B30" s="80">
        <v>438</v>
      </c>
      <c r="C30" s="40" t="s">
        <v>1338</v>
      </c>
      <c r="D30" s="39" t="str">
        <f>REPLACE(C30,1,3, )</f>
        <v xml:space="preserve"> 268</v>
      </c>
      <c r="E30" s="40" t="s">
        <v>1338</v>
      </c>
      <c r="F30" s="39">
        <f>IF(C30=E30,0,1)</f>
        <v>0</v>
      </c>
      <c r="G30" s="82" t="s">
        <v>335</v>
      </c>
      <c r="H30" s="82" t="s">
        <v>1068</v>
      </c>
      <c r="I30" s="82" t="s">
        <v>1339</v>
      </c>
      <c r="J30" s="41"/>
      <c r="K30" s="42">
        <f>J30-M30</f>
        <v>0</v>
      </c>
      <c r="L30" s="39" t="s">
        <v>22</v>
      </c>
      <c r="M30" s="43">
        <f>J30-N30</f>
        <v>0</v>
      </c>
      <c r="N30" s="43"/>
      <c r="O30" s="72">
        <f>M30+N30</f>
        <v>0</v>
      </c>
      <c r="P30" s="29"/>
      <c r="Q30" s="40"/>
      <c r="R30" s="44"/>
      <c r="S30" s="87">
        <f>R30+O30</f>
        <v>0</v>
      </c>
      <c r="T30" s="87">
        <f>S30/0.7</f>
        <v>0</v>
      </c>
      <c r="U30" s="88">
        <f>T30/0.875</f>
        <v>0</v>
      </c>
      <c r="V30" s="89" t="e">
        <f>(U30-T30)/U30</f>
        <v>#DIV/0!</v>
      </c>
      <c r="W30" s="88">
        <f>(ROUNDUP((U30/100),0))*100</f>
        <v>0</v>
      </c>
      <c r="X30" s="90" t="e">
        <f>(T30-O30)/T30</f>
        <v>#DIV/0!</v>
      </c>
      <c r="Y30" s="57"/>
      <c r="Z30" s="58"/>
      <c r="AA30" s="59"/>
    </row>
    <row r="31" spans="2:27" s="2" customFormat="1" ht="14.4" customHeight="1">
      <c r="B31" s="80">
        <v>476</v>
      </c>
      <c r="C31" s="40" t="s">
        <v>1205</v>
      </c>
      <c r="D31" s="39" t="str">
        <f>REPLACE(C31,1,3, )</f>
        <v xml:space="preserve"> 765</v>
      </c>
      <c r="E31" s="40" t="s">
        <v>1205</v>
      </c>
      <c r="F31" s="39">
        <f>IF(C31=E31,0,1)</f>
        <v>0</v>
      </c>
      <c r="G31" s="82" t="s">
        <v>335</v>
      </c>
      <c r="H31" s="82" t="s">
        <v>1183</v>
      </c>
      <c r="I31" s="82" t="s">
        <v>1206</v>
      </c>
      <c r="J31" s="41">
        <f>M31</f>
        <v>68000</v>
      </c>
      <c r="K31" s="91">
        <f>J31-M31</f>
        <v>0</v>
      </c>
      <c r="L31" s="92" t="s">
        <v>1365</v>
      </c>
      <c r="M31" s="93">
        <v>68000</v>
      </c>
      <c r="N31" s="49">
        <f>2000+200+250+600+1000+3600+450</f>
        <v>8100</v>
      </c>
      <c r="O31" s="72">
        <f>M31+N31</f>
        <v>76100</v>
      </c>
      <c r="P31" s="105"/>
      <c r="Q31" s="106" t="s">
        <v>1390</v>
      </c>
      <c r="R31" s="44"/>
      <c r="S31" s="87">
        <f>R31+O31</f>
        <v>76100</v>
      </c>
      <c r="T31" s="87">
        <f>S31/0.7</f>
        <v>108714.28571428572</v>
      </c>
      <c r="U31" s="88">
        <f>T31/0.875</f>
        <v>124244.89795918368</v>
      </c>
      <c r="V31" s="89">
        <f>(U31-T31)/U31</f>
        <v>0.12499999999999999</v>
      </c>
      <c r="W31" s="88">
        <f>(ROUNDUP((U31/100),0))*100</f>
        <v>124300</v>
      </c>
      <c r="X31" s="90">
        <f>(T31-O31)/T31</f>
        <v>0.30000000000000004</v>
      </c>
      <c r="Y31" s="57"/>
      <c r="Z31" s="58"/>
      <c r="AA31" s="59"/>
    </row>
    <row r="32" spans="2:27" s="2" customFormat="1" ht="14.4" customHeight="1">
      <c r="B32" s="40">
        <v>432</v>
      </c>
      <c r="C32" s="40" t="s">
        <v>1099</v>
      </c>
      <c r="D32" s="39" t="str">
        <f>REPLACE(C32,1,3, )</f>
        <v xml:space="preserve"> 938</v>
      </c>
      <c r="E32" s="40" t="s">
        <v>1099</v>
      </c>
      <c r="F32" s="39">
        <f>IF(C32=E32,0,1)</f>
        <v>0</v>
      </c>
      <c r="G32" s="82" t="s">
        <v>335</v>
      </c>
      <c r="H32" s="82" t="s">
        <v>1068</v>
      </c>
      <c r="I32" s="82" t="s">
        <v>1100</v>
      </c>
      <c r="J32" s="41"/>
      <c r="K32" s="42">
        <f>J32-M32</f>
        <v>0</v>
      </c>
      <c r="L32" s="39" t="s">
        <v>22</v>
      </c>
      <c r="M32" s="43">
        <f>J32-N32</f>
        <v>0</v>
      </c>
      <c r="N32" s="49"/>
      <c r="O32" s="72">
        <f>M32+N32</f>
        <v>0</v>
      </c>
      <c r="P32" s="29"/>
      <c r="Q32" s="40"/>
      <c r="R32" s="44"/>
      <c r="S32" s="87">
        <f>R32+O32</f>
        <v>0</v>
      </c>
      <c r="T32" s="87">
        <f>S32/0.7</f>
        <v>0</v>
      </c>
      <c r="U32" s="88">
        <f>T32/0.875</f>
        <v>0</v>
      </c>
      <c r="V32" s="89" t="e">
        <f>(U32-T32)/U32</f>
        <v>#DIV/0!</v>
      </c>
      <c r="W32" s="88">
        <f>(ROUNDUP((U32/100),0))*100</f>
        <v>0</v>
      </c>
      <c r="X32" s="90" t="e">
        <f>(T32-O32)/T32</f>
        <v>#DIV/0!</v>
      </c>
      <c r="Y32" s="48"/>
      <c r="Z32" s="48"/>
      <c r="AA32" s="50"/>
    </row>
    <row r="33" spans="2:27" s="2" customFormat="1" ht="14.4" customHeight="1">
      <c r="B33" s="40">
        <v>439</v>
      </c>
      <c r="C33" s="40" t="s">
        <v>1115</v>
      </c>
      <c r="D33" s="39" t="str">
        <f>REPLACE(C33,1,3, )</f>
        <v xml:space="preserve"> 390</v>
      </c>
      <c r="E33" s="40" t="s">
        <v>1115</v>
      </c>
      <c r="F33" s="39">
        <f>IF(C33=E33,0,1)</f>
        <v>0</v>
      </c>
      <c r="G33" s="82" t="s">
        <v>335</v>
      </c>
      <c r="H33" s="82" t="s">
        <v>1068</v>
      </c>
      <c r="I33" s="82" t="s">
        <v>1100</v>
      </c>
      <c r="J33" s="41"/>
      <c r="K33" s="42">
        <f>J33-M33</f>
        <v>0</v>
      </c>
      <c r="L33" s="39" t="s">
        <v>22</v>
      </c>
      <c r="M33" s="43">
        <f>J33-N33</f>
        <v>0</v>
      </c>
      <c r="N33" s="43"/>
      <c r="O33" s="72">
        <f>M33+N33</f>
        <v>0</v>
      </c>
      <c r="P33" s="29"/>
      <c r="Q33" s="40"/>
      <c r="R33" s="44"/>
      <c r="S33" s="87">
        <f>R33+O33</f>
        <v>0</v>
      </c>
      <c r="T33" s="87">
        <f>S33/0.7</f>
        <v>0</v>
      </c>
      <c r="U33" s="88">
        <f>T33/0.875</f>
        <v>0</v>
      </c>
      <c r="V33" s="89" t="e">
        <f>(U33-T33)/U33</f>
        <v>#DIV/0!</v>
      </c>
      <c r="W33" s="88">
        <f>(ROUNDUP((U33/100),0))*100</f>
        <v>0</v>
      </c>
      <c r="X33" s="90" t="e">
        <f>(T33-O33)/T33</f>
        <v>#DIV/0!</v>
      </c>
      <c r="Y33" s="57"/>
      <c r="Z33" s="58"/>
      <c r="AA33" s="59"/>
    </row>
    <row r="34" spans="2:27" s="2" customFormat="1" ht="14.4" customHeight="1">
      <c r="B34" s="40">
        <v>441</v>
      </c>
      <c r="C34" s="40" t="s">
        <v>1120</v>
      </c>
      <c r="D34" s="39" t="str">
        <f>REPLACE(C34,1,3, )</f>
        <v xml:space="preserve"> 886</v>
      </c>
      <c r="E34" s="40" t="s">
        <v>1120</v>
      </c>
      <c r="F34" s="39">
        <f>IF(C34=E34,0,1)</f>
        <v>0</v>
      </c>
      <c r="G34" s="82" t="s">
        <v>335</v>
      </c>
      <c r="H34" s="82" t="s">
        <v>1068</v>
      </c>
      <c r="I34" s="82" t="s">
        <v>1100</v>
      </c>
      <c r="J34" s="41"/>
      <c r="K34" s="42">
        <f>J34-M34</f>
        <v>0</v>
      </c>
      <c r="L34" s="39" t="s">
        <v>22</v>
      </c>
      <c r="M34" s="43">
        <f>J34-N34</f>
        <v>0</v>
      </c>
      <c r="N34" s="43"/>
      <c r="O34" s="72">
        <f>M34+N34</f>
        <v>0</v>
      </c>
      <c r="P34" s="29"/>
      <c r="Q34" s="40"/>
      <c r="R34" s="44"/>
      <c r="S34" s="87">
        <f>R34+O34</f>
        <v>0</v>
      </c>
      <c r="T34" s="87">
        <f>S34/0.7</f>
        <v>0</v>
      </c>
      <c r="U34" s="88">
        <f>T34/0.875</f>
        <v>0</v>
      </c>
      <c r="V34" s="89" t="e">
        <f>(U34-T34)/U34</f>
        <v>#DIV/0!</v>
      </c>
      <c r="W34" s="88">
        <f>(ROUNDUP((U34/100),0))*100</f>
        <v>0</v>
      </c>
      <c r="X34" s="90" t="e">
        <f>(T34-O34)/T34</f>
        <v>#DIV/0!</v>
      </c>
      <c r="Y34" s="57"/>
      <c r="Z34" s="58"/>
      <c r="AA34" s="59"/>
    </row>
    <row r="35" spans="2:27" s="2" customFormat="1" ht="14.4" customHeight="1">
      <c r="B35" s="80">
        <v>450</v>
      </c>
      <c r="C35" s="40" t="s">
        <v>1356</v>
      </c>
      <c r="D35" s="39" t="str">
        <f>REPLACE(C35,1,3, )</f>
        <v xml:space="preserve"> 121</v>
      </c>
      <c r="E35" s="40" t="s">
        <v>1356</v>
      </c>
      <c r="F35" s="39">
        <f>IF(C35=E35,0,1)</f>
        <v>0</v>
      </c>
      <c r="G35" s="82" t="s">
        <v>340</v>
      </c>
      <c r="H35" s="82" t="s">
        <v>1072</v>
      </c>
      <c r="I35" s="82" t="s">
        <v>1100</v>
      </c>
      <c r="J35" s="41"/>
      <c r="K35" s="42">
        <f>J35-M35</f>
        <v>0</v>
      </c>
      <c r="L35" s="39" t="s">
        <v>22</v>
      </c>
      <c r="M35" s="43">
        <f>J35-N35</f>
        <v>0</v>
      </c>
      <c r="N35" s="43"/>
      <c r="O35" s="72">
        <f>M35+N35</f>
        <v>0</v>
      </c>
      <c r="P35" s="29"/>
      <c r="Q35" s="40"/>
      <c r="R35" s="44"/>
      <c r="S35" s="87">
        <f>R35+O35</f>
        <v>0</v>
      </c>
      <c r="T35" s="87">
        <f>S35/0.7</f>
        <v>0</v>
      </c>
      <c r="U35" s="88">
        <f>T35/0.875</f>
        <v>0</v>
      </c>
      <c r="V35" s="89" t="e">
        <f>(U35-T35)/U35</f>
        <v>#DIV/0!</v>
      </c>
      <c r="W35" s="88">
        <f>(ROUNDUP((U35/100),0))*100</f>
        <v>0</v>
      </c>
      <c r="X35" s="90" t="e">
        <f>(T35-O35)/T35</f>
        <v>#DIV/0!</v>
      </c>
      <c r="Y35" s="57">
        <v>97213</v>
      </c>
      <c r="Z35" s="58">
        <f>T35-Y35</f>
        <v>-97213</v>
      </c>
      <c r="AA35" s="59">
        <f>Z35/Y35</f>
        <v>-1</v>
      </c>
    </row>
    <row r="36" spans="2:27" s="2" customFormat="1" ht="14.4" customHeight="1">
      <c r="B36" s="39">
        <v>444</v>
      </c>
      <c r="C36" s="80" t="s">
        <v>1128</v>
      </c>
      <c r="D36" s="39" t="str">
        <f>REPLACE(C36,1,3, )</f>
        <v xml:space="preserve"> 812</v>
      </c>
      <c r="E36" s="80" t="s">
        <v>1128</v>
      </c>
      <c r="F36" s="80">
        <f>SUM(F37:F58)</f>
        <v>0</v>
      </c>
      <c r="G36" s="82" t="s">
        <v>1321</v>
      </c>
      <c r="H36" s="82" t="s">
        <v>1068</v>
      </c>
      <c r="I36" s="82" t="s">
        <v>1129</v>
      </c>
      <c r="J36" s="41">
        <v>80000</v>
      </c>
      <c r="K36" s="42">
        <f>J36-M36</f>
        <v>7150</v>
      </c>
      <c r="L36" s="39" t="s">
        <v>22</v>
      </c>
      <c r="M36" s="43">
        <f>J36-N36</f>
        <v>72850</v>
      </c>
      <c r="N36" s="43">
        <v>7150</v>
      </c>
      <c r="O36" s="72">
        <f>M36+N36</f>
        <v>80000</v>
      </c>
      <c r="P36" s="29"/>
      <c r="Q36" s="40" t="s">
        <v>1328</v>
      </c>
      <c r="R36" s="44"/>
      <c r="S36" s="87">
        <f>R36+O36</f>
        <v>80000</v>
      </c>
      <c r="T36" s="87">
        <f>S36/0.7</f>
        <v>114285.71428571429</v>
      </c>
      <c r="U36" s="88">
        <f>T36/0.875</f>
        <v>130612.24489795919</v>
      </c>
      <c r="V36" s="89">
        <f>(U36-T36)/U36</f>
        <v>0.12499999999999999</v>
      </c>
      <c r="W36" s="88">
        <f>(ROUNDUP((U36/100),0))*100</f>
        <v>130700</v>
      </c>
      <c r="X36" s="90">
        <f>(T36-O36)/T36</f>
        <v>0.30000000000000004</v>
      </c>
      <c r="Y36" s="57"/>
      <c r="Z36" s="58"/>
      <c r="AA36" s="59"/>
    </row>
    <row r="37" spans="2:27" s="2" customFormat="1" ht="14.4" customHeight="1">
      <c r="B37" s="39">
        <v>445</v>
      </c>
      <c r="C37" s="80" t="s">
        <v>1131</v>
      </c>
      <c r="D37" s="39" t="str">
        <f>REPLACE(C37,1,3, )</f>
        <v xml:space="preserve"> 118</v>
      </c>
      <c r="E37" s="80" t="s">
        <v>1131</v>
      </c>
      <c r="F37" s="80">
        <f>SUM(F38:F58)</f>
        <v>0</v>
      </c>
      <c r="G37" s="82" t="s">
        <v>1321</v>
      </c>
      <c r="H37" s="82" t="s">
        <v>1068</v>
      </c>
      <c r="I37" s="82" t="s">
        <v>1129</v>
      </c>
      <c r="J37" s="41">
        <v>85000</v>
      </c>
      <c r="K37" s="42">
        <f>J37-M37</f>
        <v>6550</v>
      </c>
      <c r="L37" s="39" t="s">
        <v>22</v>
      </c>
      <c r="M37" s="43">
        <f>J37-N37</f>
        <v>78450</v>
      </c>
      <c r="N37" s="43">
        <v>6550</v>
      </c>
      <c r="O37" s="72">
        <f>M37+N37</f>
        <v>85000</v>
      </c>
      <c r="P37" s="29"/>
      <c r="Q37" s="40" t="s">
        <v>1329</v>
      </c>
      <c r="R37" s="44"/>
      <c r="S37" s="87">
        <f>R37+O37</f>
        <v>85000</v>
      </c>
      <c r="T37" s="87">
        <f>S37/0.7</f>
        <v>121428.57142857143</v>
      </c>
      <c r="U37" s="88">
        <f>T37/0.875</f>
        <v>138775.51020408163</v>
      </c>
      <c r="V37" s="89">
        <f>(U37-T37)/U37</f>
        <v>0.12499999999999992</v>
      </c>
      <c r="W37" s="88">
        <f>(ROUNDUP((U37/100),0))*100</f>
        <v>138800</v>
      </c>
      <c r="X37" s="90">
        <f>(T37-O37)/T37</f>
        <v>0.30000000000000004</v>
      </c>
      <c r="Y37" s="57"/>
      <c r="Z37" s="58"/>
      <c r="AA37" s="59"/>
    </row>
    <row r="38" spans="2:27" s="2" customFormat="1" ht="14.4" customHeight="1">
      <c r="B38" s="80">
        <v>466</v>
      </c>
      <c r="C38" s="40" t="s">
        <v>1179</v>
      </c>
      <c r="D38" s="39" t="str">
        <f>REPLACE(C38,1,3, )</f>
        <v xml:space="preserve"> 549</v>
      </c>
      <c r="E38" s="40" t="s">
        <v>1179</v>
      </c>
      <c r="F38" s="39">
        <f>IF(C38=E38,0,1)</f>
        <v>0</v>
      </c>
      <c r="G38" s="82" t="s">
        <v>335</v>
      </c>
      <c r="H38" s="82" t="s">
        <v>1072</v>
      </c>
      <c r="I38" s="82" t="s">
        <v>1180</v>
      </c>
      <c r="J38" s="41"/>
      <c r="K38" s="42">
        <f>J38-M38</f>
        <v>0</v>
      </c>
      <c r="L38" s="39" t="s">
        <v>22</v>
      </c>
      <c r="M38" s="43">
        <f>J38-N38</f>
        <v>0</v>
      </c>
      <c r="N38" s="43"/>
      <c r="O38" s="72">
        <f>M38+N38</f>
        <v>0</v>
      </c>
      <c r="P38" s="29"/>
      <c r="Q38" s="40"/>
      <c r="R38" s="44"/>
      <c r="S38" s="87">
        <f>R38+O38</f>
        <v>0</v>
      </c>
      <c r="T38" s="87">
        <f>S38/0.7</f>
        <v>0</v>
      </c>
      <c r="U38" s="88">
        <f>T38/0.875</f>
        <v>0</v>
      </c>
      <c r="V38" s="89" t="e">
        <f>(U38-T38)/U38</f>
        <v>#DIV/0!</v>
      </c>
      <c r="W38" s="88">
        <f>(ROUNDUP((U38/100),0))*100</f>
        <v>0</v>
      </c>
      <c r="X38" s="90" t="e">
        <f>(T38-O38)/T38</f>
        <v>#DIV/0!</v>
      </c>
      <c r="Y38" s="57"/>
      <c r="Z38" s="58"/>
      <c r="AA38" s="59"/>
    </row>
    <row r="39" spans="2:27" s="2" customFormat="1" ht="14.4" customHeight="1">
      <c r="B39" s="39">
        <v>431</v>
      </c>
      <c r="C39" s="80" t="s">
        <v>1096</v>
      </c>
      <c r="D39" s="39" t="str">
        <f>REPLACE(C39,1,3, )</f>
        <v xml:space="preserve"> 695</v>
      </c>
      <c r="E39" s="80" t="s">
        <v>1096</v>
      </c>
      <c r="F39" s="80">
        <f>SUM(F40:F62)</f>
        <v>0</v>
      </c>
      <c r="G39" s="82" t="s">
        <v>1321</v>
      </c>
      <c r="H39" s="82" t="s">
        <v>1068</v>
      </c>
      <c r="I39" s="82" t="s">
        <v>1097</v>
      </c>
      <c r="J39" s="41">
        <v>68000</v>
      </c>
      <c r="K39" s="42">
        <f>J39-M39</f>
        <v>6900</v>
      </c>
      <c r="L39" s="39" t="s">
        <v>22</v>
      </c>
      <c r="M39" s="43">
        <f>J39-N39</f>
        <v>61100</v>
      </c>
      <c r="N39" s="43">
        <v>6900</v>
      </c>
      <c r="O39" s="72">
        <f>M39+N39</f>
        <v>68000</v>
      </c>
      <c r="P39" s="29"/>
      <c r="Q39" s="40" t="s">
        <v>1327</v>
      </c>
      <c r="R39" s="44"/>
      <c r="S39" s="87">
        <f>R39+O39</f>
        <v>68000</v>
      </c>
      <c r="T39" s="87">
        <f>S39/0.7</f>
        <v>97142.857142857145</v>
      </c>
      <c r="U39" s="88">
        <f>T39/0.875</f>
        <v>111020.40816326531</v>
      </c>
      <c r="V39" s="89">
        <f>(U39-T39)/U39</f>
        <v>0.12500000000000003</v>
      </c>
      <c r="W39" s="88">
        <f>(ROUNDUP((U39/100),0))*100</f>
        <v>111100</v>
      </c>
      <c r="X39" s="90">
        <f>(T39-O39)/T39</f>
        <v>0.3</v>
      </c>
      <c r="Y39" s="48"/>
      <c r="Z39" s="48"/>
      <c r="AA39" s="50"/>
    </row>
    <row r="40" spans="2:27" s="2" customFormat="1" ht="14.4" customHeight="1">
      <c r="B40" s="80">
        <v>456</v>
      </c>
      <c r="C40" s="40" t="s">
        <v>1156</v>
      </c>
      <c r="D40" s="39" t="str">
        <f>REPLACE(C40,1,3, )</f>
        <v xml:space="preserve"> 431</v>
      </c>
      <c r="E40" s="40" t="s">
        <v>1156</v>
      </c>
      <c r="F40" s="39">
        <f>IF(C40=E40,0,1)</f>
        <v>0</v>
      </c>
      <c r="G40" s="82" t="s">
        <v>340</v>
      </c>
      <c r="H40" s="82" t="s">
        <v>1072</v>
      </c>
      <c r="I40" s="82" t="s">
        <v>1097</v>
      </c>
      <c r="J40" s="41"/>
      <c r="K40" s="42">
        <f>J40-M40</f>
        <v>0</v>
      </c>
      <c r="L40" s="39" t="s">
        <v>22</v>
      </c>
      <c r="M40" s="43">
        <f>J40-N40</f>
        <v>0</v>
      </c>
      <c r="N40" s="43"/>
      <c r="O40" s="72">
        <f>M40+N40</f>
        <v>0</v>
      </c>
      <c r="P40" s="29"/>
      <c r="Q40" s="40"/>
      <c r="R40" s="44"/>
      <c r="S40" s="87">
        <f>R40+O40</f>
        <v>0</v>
      </c>
      <c r="T40" s="87">
        <f>S40/0.7</f>
        <v>0</v>
      </c>
      <c r="U40" s="88">
        <f>T40/0.875</f>
        <v>0</v>
      </c>
      <c r="V40" s="89" t="e">
        <f>(U40-T40)/U40</f>
        <v>#DIV/0!</v>
      </c>
      <c r="W40" s="88">
        <f>(ROUNDUP((U40/100),0))*100</f>
        <v>0</v>
      </c>
      <c r="X40" s="90" t="e">
        <f>(T40-O40)/T40</f>
        <v>#DIV/0!</v>
      </c>
      <c r="Y40" s="57">
        <v>65800</v>
      </c>
      <c r="Z40" s="58">
        <f>T40-Y40</f>
        <v>-65800</v>
      </c>
      <c r="AA40" s="59">
        <f>Z40/Y40</f>
        <v>-1</v>
      </c>
    </row>
    <row r="41" spans="2:27" s="2" customFormat="1" ht="14.4" customHeight="1">
      <c r="B41" s="40">
        <v>459</v>
      </c>
      <c r="C41" s="40" t="s">
        <v>1163</v>
      </c>
      <c r="D41" s="39" t="str">
        <f>REPLACE(C41,1,3, )</f>
        <v xml:space="preserve"> 411</v>
      </c>
      <c r="E41" s="40" t="s">
        <v>1163</v>
      </c>
      <c r="F41" s="39">
        <f>IF(C41=E41,0,1)</f>
        <v>0</v>
      </c>
      <c r="G41" s="82" t="s">
        <v>340</v>
      </c>
      <c r="H41" s="82" t="s">
        <v>1153</v>
      </c>
      <c r="I41" s="82" t="s">
        <v>1256</v>
      </c>
      <c r="J41" s="98">
        <v>34000</v>
      </c>
      <c r="K41" s="101">
        <f>J41-M41</f>
        <v>0</v>
      </c>
      <c r="L41" s="100" t="s">
        <v>1384</v>
      </c>
      <c r="M41" s="95">
        <f>J41</f>
        <v>34000</v>
      </c>
      <c r="N41" s="102">
        <f>2000+1750+800+200</f>
        <v>4750</v>
      </c>
      <c r="O41" s="103">
        <f>N41+M41</f>
        <v>38750</v>
      </c>
      <c r="P41" s="104"/>
      <c r="Q41" s="77" t="s">
        <v>1379</v>
      </c>
      <c r="R41" s="44"/>
      <c r="S41" s="87">
        <f>R41+O41</f>
        <v>38750</v>
      </c>
      <c r="T41" s="87">
        <f>S41/0.7</f>
        <v>55357.142857142862</v>
      </c>
      <c r="U41" s="88">
        <f>T41/0.875</f>
        <v>63265.306122448987</v>
      </c>
      <c r="V41" s="89">
        <f>(U41-T41)/U41</f>
        <v>0.12500000000000003</v>
      </c>
      <c r="W41" s="88">
        <f>(ROUNDUP((U41/100),0))*100</f>
        <v>63300</v>
      </c>
      <c r="X41" s="90">
        <f>(T41-O41)/T41</f>
        <v>0.30000000000000004</v>
      </c>
      <c r="Y41" s="57">
        <v>56788</v>
      </c>
      <c r="Z41" s="58">
        <f>T41-Y41</f>
        <v>-1430.8571428571377</v>
      </c>
      <c r="AA41" s="59">
        <f>Z41/Y41</f>
        <v>-2.519647007919169E-2</v>
      </c>
    </row>
    <row r="42" spans="2:27" s="2" customFormat="1" ht="14.4" customHeight="1">
      <c r="B42" s="40">
        <v>497</v>
      </c>
      <c r="C42" s="40" t="s">
        <v>1357</v>
      </c>
      <c r="D42" s="39" t="str">
        <f>REPLACE(C42,1,3, )</f>
        <v xml:space="preserve"> 160</v>
      </c>
      <c r="E42" s="40" t="s">
        <v>1357</v>
      </c>
      <c r="F42" s="39">
        <f>IF(C42=E42,0,1)</f>
        <v>0</v>
      </c>
      <c r="G42" s="82" t="s">
        <v>340</v>
      </c>
      <c r="H42" s="82" t="s">
        <v>1253</v>
      </c>
      <c r="I42" s="82" t="s">
        <v>1256</v>
      </c>
      <c r="J42" s="98">
        <v>25000</v>
      </c>
      <c r="K42" s="101">
        <f>J42-M42</f>
        <v>0</v>
      </c>
      <c r="L42" s="100" t="s">
        <v>1384</v>
      </c>
      <c r="M42" s="95">
        <f>J42</f>
        <v>25000</v>
      </c>
      <c r="N42" s="102">
        <f>2000+1600+800+200</f>
        <v>4600</v>
      </c>
      <c r="O42" s="103">
        <f>N42+M42</f>
        <v>29600</v>
      </c>
      <c r="P42" s="104"/>
      <c r="Q42" s="77" t="s">
        <v>1380</v>
      </c>
      <c r="R42" s="44"/>
      <c r="S42" s="87">
        <f>R42+O42</f>
        <v>29600</v>
      </c>
      <c r="T42" s="87">
        <f>S42/0.7</f>
        <v>42285.71428571429</v>
      </c>
      <c r="U42" s="88">
        <f>T42/0.875</f>
        <v>48326.530612244904</v>
      </c>
      <c r="V42" s="89">
        <f>(U42-T42)/U42</f>
        <v>0.12500000000000003</v>
      </c>
      <c r="W42" s="88">
        <f>(ROUNDUP((U42/100),0))*100</f>
        <v>48400</v>
      </c>
      <c r="X42" s="90">
        <f>(T42-O42)/T42</f>
        <v>0.30000000000000004</v>
      </c>
      <c r="Y42" s="57">
        <v>50925</v>
      </c>
      <c r="Z42" s="58">
        <f>T42-Y42</f>
        <v>-8639.2857142857101</v>
      </c>
      <c r="AA42" s="59">
        <f>Z42/Y42</f>
        <v>-0.16964724033943465</v>
      </c>
    </row>
    <row r="43" spans="2:27" s="2" customFormat="1" ht="14.4" customHeight="1">
      <c r="B43" s="80">
        <v>500</v>
      </c>
      <c r="C43" s="40" t="s">
        <v>1358</v>
      </c>
      <c r="D43" s="39" t="str">
        <f>REPLACE(C43,1,3, )</f>
        <v xml:space="preserve"> 746</v>
      </c>
      <c r="E43" s="40" t="s">
        <v>1358</v>
      </c>
      <c r="F43" s="39">
        <f>IF(C43=E43,0,1)</f>
        <v>0</v>
      </c>
      <c r="G43" s="82" t="s">
        <v>340</v>
      </c>
      <c r="H43" s="82" t="s">
        <v>1253</v>
      </c>
      <c r="I43" s="82" t="s">
        <v>1256</v>
      </c>
      <c r="J43" s="98">
        <v>26000</v>
      </c>
      <c r="K43" s="101">
        <v>0</v>
      </c>
      <c r="L43" s="100" t="s">
        <v>1384</v>
      </c>
      <c r="M43" s="95">
        <f>J43</f>
        <v>26000</v>
      </c>
      <c r="N43" s="102">
        <f>2000+1600+800+200</f>
        <v>4600</v>
      </c>
      <c r="O43" s="99">
        <f>M43+N43</f>
        <v>30600</v>
      </c>
      <c r="P43" s="104"/>
      <c r="Q43" s="77" t="s">
        <v>1380</v>
      </c>
      <c r="R43" s="44"/>
      <c r="S43" s="87">
        <f>R43+O43</f>
        <v>30600</v>
      </c>
      <c r="T43" s="87">
        <f>S43/0.7</f>
        <v>43714.285714285717</v>
      </c>
      <c r="U43" s="88">
        <f>T43/0.875</f>
        <v>49959.183673469393</v>
      </c>
      <c r="V43" s="89">
        <f>(U43-T43)/U43</f>
        <v>0.12500000000000003</v>
      </c>
      <c r="W43" s="88">
        <f>(ROUNDUP((U43/100),0))*100</f>
        <v>50000</v>
      </c>
      <c r="X43" s="90">
        <f>(T43-O43)/T43</f>
        <v>0.30000000000000004</v>
      </c>
      <c r="Y43" s="57">
        <v>52325</v>
      </c>
      <c r="Z43" s="58">
        <f>T43-Y43</f>
        <v>-8610.7142857142826</v>
      </c>
      <c r="AA43" s="59">
        <f>Z43/Y43</f>
        <v>-0.16456214592860549</v>
      </c>
    </row>
    <row r="44" spans="2:27" s="2" customFormat="1" ht="14.4" customHeight="1">
      <c r="B44" s="80">
        <v>502</v>
      </c>
      <c r="C44" s="40" t="s">
        <v>1360</v>
      </c>
      <c r="D44" s="39" t="str">
        <f>REPLACE(C44,1,3, )</f>
        <v xml:space="preserve"> 202</v>
      </c>
      <c r="E44" s="40" t="s">
        <v>1360</v>
      </c>
      <c r="F44" s="39">
        <f>IF(C44=E44,0,1)</f>
        <v>0</v>
      </c>
      <c r="G44" s="82" t="s">
        <v>340</v>
      </c>
      <c r="H44" s="82" t="s">
        <v>1253</v>
      </c>
      <c r="I44" s="82" t="s">
        <v>1256</v>
      </c>
      <c r="J44" s="41"/>
      <c r="K44" s="42">
        <f>J44-M44</f>
        <v>0</v>
      </c>
      <c r="L44" s="39" t="s">
        <v>22</v>
      </c>
      <c r="M44" s="43">
        <f>J44-N44</f>
        <v>0</v>
      </c>
      <c r="N44" s="43"/>
      <c r="O44" s="72">
        <f>M44+N44</f>
        <v>0</v>
      </c>
      <c r="P44" s="29"/>
      <c r="Q44" s="40"/>
      <c r="R44" s="44"/>
      <c r="S44" s="87">
        <f>R44+O44</f>
        <v>0</v>
      </c>
      <c r="T44" s="87">
        <f>S44/0.7</f>
        <v>0</v>
      </c>
      <c r="U44" s="88">
        <f>T44/0.875</f>
        <v>0</v>
      </c>
      <c r="V44" s="89" t="e">
        <f>(U44-T44)/U44</f>
        <v>#DIV/0!</v>
      </c>
      <c r="W44" s="88">
        <f>(ROUNDUP((U44/100),0))*100</f>
        <v>0</v>
      </c>
      <c r="X44" s="90" t="e">
        <f>(T44-O44)/T44</f>
        <v>#DIV/0!</v>
      </c>
      <c r="Y44" s="57">
        <v>44363</v>
      </c>
      <c r="Z44" s="58">
        <f>T44-Y44</f>
        <v>-44363</v>
      </c>
      <c r="AA44" s="59">
        <f>Z44/Y44</f>
        <v>-1</v>
      </c>
    </row>
    <row r="45" spans="2:27" s="2" customFormat="1" ht="14.4" customHeight="1">
      <c r="B45" s="80">
        <v>512</v>
      </c>
      <c r="C45" s="40" t="s">
        <v>1359</v>
      </c>
      <c r="D45" s="39" t="str">
        <f>REPLACE(C45,1,3, )</f>
        <v xml:space="preserve"> 117</v>
      </c>
      <c r="E45" s="40" t="s">
        <v>1359</v>
      </c>
      <c r="F45" s="39">
        <f>IF(C45=E45,0,1)</f>
        <v>0</v>
      </c>
      <c r="G45" s="82" t="s">
        <v>340</v>
      </c>
      <c r="H45" s="82" t="s">
        <v>1253</v>
      </c>
      <c r="I45" s="82" t="s">
        <v>1256</v>
      </c>
      <c r="J45" s="98">
        <v>24000</v>
      </c>
      <c r="K45" s="101">
        <v>0</v>
      </c>
      <c r="L45" s="100" t="s">
        <v>1384</v>
      </c>
      <c r="M45" s="95">
        <f>J45</f>
        <v>24000</v>
      </c>
      <c r="N45" s="102">
        <f>2000+1600+800+200+650</f>
        <v>5250</v>
      </c>
      <c r="O45" s="99">
        <f>N45+M45</f>
        <v>29250</v>
      </c>
      <c r="P45" s="104"/>
      <c r="Q45" s="77" t="s">
        <v>1381</v>
      </c>
      <c r="R45" s="44"/>
      <c r="S45" s="87">
        <f>R45+O45</f>
        <v>29250</v>
      </c>
      <c r="T45" s="87">
        <f>S45/0.7</f>
        <v>41785.71428571429</v>
      </c>
      <c r="U45" s="88">
        <f>T45/0.875</f>
        <v>47755.102040816331</v>
      </c>
      <c r="V45" s="89">
        <f>(U45-T45)/U45</f>
        <v>0.125</v>
      </c>
      <c r="W45" s="88">
        <f>(ROUNDUP((U45/100),0))*100</f>
        <v>47800</v>
      </c>
      <c r="X45" s="90">
        <f>(T45-O45)/T45</f>
        <v>0.30000000000000004</v>
      </c>
      <c r="Y45" s="57">
        <v>46113</v>
      </c>
      <c r="Z45" s="58">
        <f>T45-Y45</f>
        <v>-4327.2857142857101</v>
      </c>
      <c r="AA45" s="59">
        <f>Z45/Y45</f>
        <v>-9.3840906344972358E-2</v>
      </c>
    </row>
    <row r="46" spans="2:27" s="2" customFormat="1" ht="14.4" customHeight="1">
      <c r="B46" s="40">
        <v>499</v>
      </c>
      <c r="C46" s="40" t="s">
        <v>1261</v>
      </c>
      <c r="D46" s="39" t="str">
        <f>REPLACE(C46,1,3, )</f>
        <v xml:space="preserve"> 456</v>
      </c>
      <c r="E46" s="40" t="s">
        <v>1261</v>
      </c>
      <c r="F46" s="39">
        <f>IF(C46=E46,0,1)</f>
        <v>0</v>
      </c>
      <c r="G46" s="82" t="s">
        <v>340</v>
      </c>
      <c r="H46" s="82" t="s">
        <v>1253</v>
      </c>
      <c r="I46" s="82" t="s">
        <v>1262</v>
      </c>
      <c r="J46" s="97">
        <v>27500</v>
      </c>
      <c r="K46" s="101">
        <f>J46-M46</f>
        <v>4600</v>
      </c>
      <c r="L46" s="100" t="s">
        <v>1385</v>
      </c>
      <c r="M46" s="102">
        <f>J46-N46</f>
        <v>22900</v>
      </c>
      <c r="N46" s="102">
        <f>2000+1600+800+200</f>
        <v>4600</v>
      </c>
      <c r="O46" s="99">
        <f>M46+N46</f>
        <v>27500</v>
      </c>
      <c r="P46" s="104"/>
      <c r="Q46" s="77" t="s">
        <v>1380</v>
      </c>
      <c r="R46" s="44"/>
      <c r="S46" s="87">
        <f>R46+O46</f>
        <v>27500</v>
      </c>
      <c r="T46" s="87">
        <f>S46/0.7</f>
        <v>39285.71428571429</v>
      </c>
      <c r="U46" s="88">
        <f>T46/0.875</f>
        <v>44897.959183673476</v>
      </c>
      <c r="V46" s="89">
        <f>(U46-T46)/U46</f>
        <v>0.12500000000000003</v>
      </c>
      <c r="W46" s="88">
        <f>(ROUNDUP((U46/100),0))*100</f>
        <v>44900</v>
      </c>
      <c r="X46" s="90">
        <f>(T46-O46)/T46</f>
        <v>0.3000000000000001</v>
      </c>
      <c r="Y46" s="57">
        <v>46463</v>
      </c>
      <c r="Z46" s="58">
        <f>T46-Y46</f>
        <v>-7177.2857142857101</v>
      </c>
      <c r="AA46" s="59">
        <f>Z46/Y46</f>
        <v>-0.15447314452974861</v>
      </c>
    </row>
    <row r="47" spans="2:27" s="2" customFormat="1" ht="14.4" customHeight="1">
      <c r="B47" s="40">
        <v>467</v>
      </c>
      <c r="C47" s="40" t="s">
        <v>1182</v>
      </c>
      <c r="D47" s="39" t="str">
        <f>REPLACE(C47,1,3, )</f>
        <v xml:space="preserve"> 919</v>
      </c>
      <c r="E47" s="40" t="s">
        <v>1182</v>
      </c>
      <c r="F47" s="39">
        <f>IF(C47=E47,0,1)</f>
        <v>0</v>
      </c>
      <c r="G47" s="82" t="s">
        <v>340</v>
      </c>
      <c r="H47" s="82" t="s">
        <v>1183</v>
      </c>
      <c r="I47" s="82" t="s">
        <v>1184</v>
      </c>
      <c r="J47" s="41">
        <f>M47</f>
        <v>77750</v>
      </c>
      <c r="K47" s="42">
        <f>J47-M47</f>
        <v>0</v>
      </c>
      <c r="L47" s="92" t="s">
        <v>1365</v>
      </c>
      <c r="M47" s="93">
        <v>77750</v>
      </c>
      <c r="N47" s="49">
        <f>2000+600+200+250+650+3600</f>
        <v>7300</v>
      </c>
      <c r="O47" s="72">
        <f>M47+N47</f>
        <v>85050</v>
      </c>
      <c r="P47" s="94"/>
      <c r="Q47" s="40" t="s">
        <v>1369</v>
      </c>
      <c r="R47" s="44"/>
      <c r="S47" s="87">
        <f>R47+O47</f>
        <v>85050</v>
      </c>
      <c r="T47" s="87">
        <f>S47/0.7</f>
        <v>121500.00000000001</v>
      </c>
      <c r="U47" s="88">
        <f>T47/0.875</f>
        <v>138857.14285714287</v>
      </c>
      <c r="V47" s="89">
        <f>(U47-T47)/U47</f>
        <v>0.12499999999999997</v>
      </c>
      <c r="W47" s="88">
        <f>(ROUNDUP((U47/100),0))*100</f>
        <v>138900</v>
      </c>
      <c r="X47" s="90">
        <f>(T47-O47)/T47</f>
        <v>0.3000000000000001</v>
      </c>
      <c r="Y47" s="57">
        <v>118388</v>
      </c>
      <c r="Z47" s="58">
        <f>T47-Y47</f>
        <v>3112.0000000000146</v>
      </c>
      <c r="AA47" s="59">
        <f>Z47/Y47</f>
        <v>2.6286447950805949E-2</v>
      </c>
    </row>
    <row r="48" spans="2:27" s="2" customFormat="1" ht="14.4" customHeight="1">
      <c r="B48" s="80">
        <v>468</v>
      </c>
      <c r="C48" s="40" t="s">
        <v>1186</v>
      </c>
      <c r="D48" s="39" t="str">
        <f>REPLACE(C48,1,3, )</f>
        <v xml:space="preserve"> 141</v>
      </c>
      <c r="E48" s="40" t="s">
        <v>1186</v>
      </c>
      <c r="F48" s="39">
        <f>IF(C48=E48,0,1)</f>
        <v>0</v>
      </c>
      <c r="G48" s="82" t="s">
        <v>340</v>
      </c>
      <c r="H48" s="82" t="s">
        <v>1183</v>
      </c>
      <c r="I48" s="82" t="s">
        <v>1184</v>
      </c>
      <c r="J48" s="41">
        <f>M48</f>
        <v>77750</v>
      </c>
      <c r="K48" s="42">
        <f>J48-M48</f>
        <v>0</v>
      </c>
      <c r="L48" s="92" t="s">
        <v>1365</v>
      </c>
      <c r="M48" s="93">
        <v>77750</v>
      </c>
      <c r="N48" s="49">
        <f>2000+600+200+250+650+3600</f>
        <v>7300</v>
      </c>
      <c r="O48" s="72">
        <f>M48+N48</f>
        <v>85050</v>
      </c>
      <c r="P48" s="94"/>
      <c r="Q48" s="40" t="s">
        <v>1366</v>
      </c>
      <c r="R48" s="44"/>
      <c r="S48" s="87">
        <f>R48+O48</f>
        <v>85050</v>
      </c>
      <c r="T48" s="87">
        <f>S48/0.7</f>
        <v>121500.00000000001</v>
      </c>
      <c r="U48" s="88">
        <f>T48/0.875</f>
        <v>138857.14285714287</v>
      </c>
      <c r="V48" s="89">
        <f>(U48-T48)/U48</f>
        <v>0.12499999999999997</v>
      </c>
      <c r="W48" s="88">
        <f>(ROUNDUP((U48/100),0))*100</f>
        <v>138900</v>
      </c>
      <c r="X48" s="90">
        <f>(T48-O48)/T48</f>
        <v>0.3000000000000001</v>
      </c>
      <c r="Y48" s="57">
        <v>118388</v>
      </c>
      <c r="Z48" s="58">
        <f>T48-Y48</f>
        <v>3112.0000000000146</v>
      </c>
      <c r="AA48" s="59">
        <f>Z48/Y48</f>
        <v>2.6286447950805949E-2</v>
      </c>
    </row>
    <row r="49" spans="2:27" s="2" customFormat="1" ht="14.4" customHeight="1">
      <c r="B49" s="80">
        <v>470</v>
      </c>
      <c r="C49" s="40" t="s">
        <v>1191</v>
      </c>
      <c r="D49" s="39" t="str">
        <f>REPLACE(C49,1,3, )</f>
        <v xml:space="preserve"> 510</v>
      </c>
      <c r="E49" s="40" t="s">
        <v>1191</v>
      </c>
      <c r="F49" s="39">
        <f>IF(C49=E49,0,1)</f>
        <v>0</v>
      </c>
      <c r="G49" s="82" t="s">
        <v>340</v>
      </c>
      <c r="H49" s="82" t="s">
        <v>1183</v>
      </c>
      <c r="I49" s="82" t="s">
        <v>1184</v>
      </c>
      <c r="J49" s="41">
        <f>M49</f>
        <v>65250</v>
      </c>
      <c r="K49" s="42">
        <f>J49-M49</f>
        <v>0</v>
      </c>
      <c r="L49" s="92" t="s">
        <v>1365</v>
      </c>
      <c r="M49" s="93">
        <v>65250</v>
      </c>
      <c r="N49" s="49">
        <f>2000+600+200+250+800+3600</f>
        <v>7450</v>
      </c>
      <c r="O49" s="72">
        <f>M49+N49</f>
        <v>72700</v>
      </c>
      <c r="P49" s="94"/>
      <c r="Q49" s="40" t="s">
        <v>1368</v>
      </c>
      <c r="R49" s="44"/>
      <c r="S49" s="87">
        <f>R49+O49</f>
        <v>72700</v>
      </c>
      <c r="T49" s="87">
        <f>S49/0.7</f>
        <v>103857.14285714287</v>
      </c>
      <c r="U49" s="88">
        <f>T49/0.875</f>
        <v>118693.87755102043</v>
      </c>
      <c r="V49" s="89">
        <f>(U49-T49)/U49</f>
        <v>0.12500000000000006</v>
      </c>
      <c r="W49" s="88">
        <f>(ROUNDUP((U49/100),0))*100</f>
        <v>118700</v>
      </c>
      <c r="X49" s="90">
        <f>(T49-O49)/T49</f>
        <v>0.3000000000000001</v>
      </c>
      <c r="Y49" s="57">
        <v>96513</v>
      </c>
      <c r="Z49" s="58">
        <f>T49-Y49</f>
        <v>7344.1428571428696</v>
      </c>
      <c r="AA49" s="59">
        <f>Z49/Y49</f>
        <v>7.6094856207380032E-2</v>
      </c>
    </row>
    <row r="50" spans="2:27" s="2" customFormat="1" ht="14.4" customHeight="1">
      <c r="B50" s="80">
        <v>472</v>
      </c>
      <c r="C50" s="40" t="s">
        <v>1196</v>
      </c>
      <c r="D50" s="39" t="str">
        <f>REPLACE(C50,1,3, )</f>
        <v xml:space="preserve"> 319</v>
      </c>
      <c r="E50" s="40" t="s">
        <v>1196</v>
      </c>
      <c r="F50" s="39">
        <f>IF(C50=E50,0,1)</f>
        <v>0</v>
      </c>
      <c r="G50" s="82" t="s">
        <v>340</v>
      </c>
      <c r="H50" s="82" t="s">
        <v>1183</v>
      </c>
      <c r="I50" s="82" t="s">
        <v>1184</v>
      </c>
      <c r="J50" s="41">
        <f>M50</f>
        <v>67750</v>
      </c>
      <c r="K50" s="42">
        <f>J50-M50</f>
        <v>0</v>
      </c>
      <c r="L50" s="92" t="s">
        <v>1365</v>
      </c>
      <c r="M50" s="93">
        <v>67750</v>
      </c>
      <c r="N50" s="49">
        <f>2000+600+200+250+700+3600</f>
        <v>7350</v>
      </c>
      <c r="O50" s="72">
        <f>M50+N50</f>
        <v>75100</v>
      </c>
      <c r="P50" s="94"/>
      <c r="Q50" s="40" t="s">
        <v>1372</v>
      </c>
      <c r="R50" s="44"/>
      <c r="S50" s="87">
        <f>R50+O50</f>
        <v>75100</v>
      </c>
      <c r="T50" s="87">
        <f>S50/0.7</f>
        <v>107285.71428571429</v>
      </c>
      <c r="U50" s="88">
        <f>T50/0.875</f>
        <v>122612.24489795919</v>
      </c>
      <c r="V50" s="89">
        <f>(U50-T50)/U50</f>
        <v>0.12499999999999999</v>
      </c>
      <c r="W50" s="88">
        <f>(ROUNDUP((U50/100),0))*100</f>
        <v>122700</v>
      </c>
      <c r="X50" s="90">
        <f>(T50-O50)/T50</f>
        <v>0.30000000000000004</v>
      </c>
      <c r="Y50" s="57">
        <v>102900</v>
      </c>
      <c r="Z50" s="58">
        <f>T50-Y50</f>
        <v>4385.7142857142899</v>
      </c>
      <c r="AA50" s="59">
        <f>Z50/Y50</f>
        <v>4.262113008468698E-2</v>
      </c>
    </row>
    <row r="51" spans="2:27" s="2" customFormat="1" ht="14.4" customHeight="1">
      <c r="B51" s="80">
        <v>474</v>
      </c>
      <c r="C51" s="40" t="s">
        <v>1201</v>
      </c>
      <c r="D51" s="39" t="str">
        <f>REPLACE(C51,1,3, )</f>
        <v xml:space="preserve"> 380</v>
      </c>
      <c r="E51" s="40" t="s">
        <v>1201</v>
      </c>
      <c r="F51" s="39">
        <f>IF(C51=E51,0,1)</f>
        <v>0</v>
      </c>
      <c r="G51" s="82" t="s">
        <v>340</v>
      </c>
      <c r="H51" s="82" t="s">
        <v>1183</v>
      </c>
      <c r="I51" s="82" t="s">
        <v>1184</v>
      </c>
      <c r="J51" s="41">
        <f>M51</f>
        <v>63250</v>
      </c>
      <c r="K51" s="42">
        <f>J51-M51</f>
        <v>0</v>
      </c>
      <c r="L51" s="92" t="s">
        <v>1365</v>
      </c>
      <c r="M51" s="93">
        <v>63250</v>
      </c>
      <c r="N51" s="49">
        <f>2000+600+200+250+800+3600</f>
        <v>7450</v>
      </c>
      <c r="O51" s="72">
        <f>M51+N51</f>
        <v>70700</v>
      </c>
      <c r="P51" s="94"/>
      <c r="Q51" s="40" t="s">
        <v>1368</v>
      </c>
      <c r="R51" s="44"/>
      <c r="S51" s="87">
        <f>R51+O51</f>
        <v>70700</v>
      </c>
      <c r="T51" s="87">
        <f>S51/0.7</f>
        <v>101000</v>
      </c>
      <c r="U51" s="88">
        <f>T51/0.875</f>
        <v>115428.57142857143</v>
      </c>
      <c r="V51" s="89">
        <f>(U51-T51)/U51</f>
        <v>0.12500000000000006</v>
      </c>
      <c r="W51" s="88">
        <f>(ROUNDUP((U51/100),0))*100</f>
        <v>115500</v>
      </c>
      <c r="X51" s="90">
        <f>(T51-O51)/T51</f>
        <v>0.3</v>
      </c>
      <c r="Y51" s="57">
        <v>94325</v>
      </c>
      <c r="Z51" s="58">
        <f>T51-Y51</f>
        <v>6675</v>
      </c>
      <c r="AA51" s="59">
        <f>Z51/Y51</f>
        <v>7.0765968725152395E-2</v>
      </c>
    </row>
    <row r="52" spans="2:27" s="2" customFormat="1" ht="14.4" customHeight="1">
      <c r="B52" s="40">
        <v>475</v>
      </c>
      <c r="C52" s="40" t="s">
        <v>1203</v>
      </c>
      <c r="D52" s="39" t="str">
        <f>REPLACE(C52,1,3, )</f>
        <v xml:space="preserve"> 667</v>
      </c>
      <c r="E52" s="40" t="s">
        <v>1203</v>
      </c>
      <c r="F52" s="39">
        <f>IF(C52=E52,0,1)</f>
        <v>0</v>
      </c>
      <c r="G52" s="82" t="s">
        <v>340</v>
      </c>
      <c r="H52" s="82" t="s">
        <v>1183</v>
      </c>
      <c r="I52" s="82" t="s">
        <v>1184</v>
      </c>
      <c r="J52" s="41">
        <f>M52</f>
        <v>77750</v>
      </c>
      <c r="K52" s="42">
        <f>J52-M52</f>
        <v>0</v>
      </c>
      <c r="L52" s="92" t="s">
        <v>1365</v>
      </c>
      <c r="M52" s="93">
        <v>77750</v>
      </c>
      <c r="N52" s="49">
        <f>2000+600+200+250+650+3600</f>
        <v>7300</v>
      </c>
      <c r="O52" s="72">
        <f>M52+N52</f>
        <v>85050</v>
      </c>
      <c r="P52" s="94"/>
      <c r="Q52" s="40" t="s">
        <v>1370</v>
      </c>
      <c r="R52" s="44"/>
      <c r="S52" s="87">
        <f>R52+O52</f>
        <v>85050</v>
      </c>
      <c r="T52" s="87">
        <f>S52/0.7</f>
        <v>121500.00000000001</v>
      </c>
      <c r="U52" s="88">
        <f>T52/0.875</f>
        <v>138857.14285714287</v>
      </c>
      <c r="V52" s="89">
        <f>(U52-T52)/U52</f>
        <v>0.12499999999999997</v>
      </c>
      <c r="W52" s="88">
        <f>(ROUNDUP((U52/100),0))*100</f>
        <v>138900</v>
      </c>
      <c r="X52" s="90">
        <f>(T52-O52)/T52</f>
        <v>0.3000000000000001</v>
      </c>
      <c r="Y52" s="57">
        <v>111300</v>
      </c>
      <c r="Z52" s="58">
        <f>T52-Y52</f>
        <v>10200.000000000015</v>
      </c>
      <c r="AA52" s="59">
        <f>Z52/Y52</f>
        <v>9.1644204851752148E-2</v>
      </c>
    </row>
    <row r="53" spans="2:27" s="2" customFormat="1" ht="14.4" customHeight="1">
      <c r="B53" s="80">
        <v>478</v>
      </c>
      <c r="C53" s="40" t="s">
        <v>1211</v>
      </c>
      <c r="D53" s="39" t="str">
        <f>REPLACE(C53,1,3, )</f>
        <v xml:space="preserve"> 386</v>
      </c>
      <c r="E53" s="40" t="s">
        <v>1211</v>
      </c>
      <c r="F53" s="39">
        <f>IF(C53=E53,0,1)</f>
        <v>0</v>
      </c>
      <c r="G53" s="82" t="s">
        <v>340</v>
      </c>
      <c r="H53" s="82" t="s">
        <v>1183</v>
      </c>
      <c r="I53" s="82" t="s">
        <v>1184</v>
      </c>
      <c r="J53" s="41">
        <f>M53</f>
        <v>69250</v>
      </c>
      <c r="K53" s="42">
        <f>J53-M53</f>
        <v>0</v>
      </c>
      <c r="L53" s="92" t="s">
        <v>1365</v>
      </c>
      <c r="M53" s="93">
        <v>69250</v>
      </c>
      <c r="N53" s="49">
        <f>2000+600+200+250+400+800+3600</f>
        <v>7850</v>
      </c>
      <c r="O53" s="72">
        <f>M53+N53</f>
        <v>77100</v>
      </c>
      <c r="P53" s="94"/>
      <c r="Q53" s="40" t="s">
        <v>1367</v>
      </c>
      <c r="R53" s="44"/>
      <c r="S53" s="87">
        <f>R53+O53</f>
        <v>77100</v>
      </c>
      <c r="T53" s="87">
        <f>S53/0.7</f>
        <v>110142.85714285714</v>
      </c>
      <c r="U53" s="88">
        <f>T53/0.875</f>
        <v>125877.55102040817</v>
      </c>
      <c r="V53" s="89">
        <f>(U53-T53)/U53</f>
        <v>0.125</v>
      </c>
      <c r="W53" s="88">
        <f>(ROUNDUP((U53/100),0))*100</f>
        <v>125900</v>
      </c>
      <c r="X53" s="90">
        <f>(T53-O53)/T53</f>
        <v>0.3</v>
      </c>
      <c r="Y53" s="57">
        <v>108500</v>
      </c>
      <c r="Z53" s="58">
        <f>T53-Y53</f>
        <v>1642.8571428571449</v>
      </c>
      <c r="AA53" s="59">
        <f>Z53/Y53</f>
        <v>1.5141540487162626E-2</v>
      </c>
    </row>
    <row r="54" spans="2:27" s="2" customFormat="1" ht="14.4" customHeight="1">
      <c r="B54" s="80">
        <v>480</v>
      </c>
      <c r="C54" s="40" t="s">
        <v>1216</v>
      </c>
      <c r="D54" s="39" t="str">
        <f>REPLACE(C54,1,3, )</f>
        <v xml:space="preserve"> 427</v>
      </c>
      <c r="E54" s="40" t="s">
        <v>1216</v>
      </c>
      <c r="F54" s="39">
        <f>IF(C54=E54,0,1)</f>
        <v>0</v>
      </c>
      <c r="G54" s="82" t="s">
        <v>335</v>
      </c>
      <c r="H54" s="82" t="s">
        <v>1183</v>
      </c>
      <c r="I54" s="82" t="s">
        <v>1184</v>
      </c>
      <c r="J54" s="41">
        <f>M54</f>
        <v>0</v>
      </c>
      <c r="K54" s="42">
        <f>J54-M54</f>
        <v>0</v>
      </c>
      <c r="L54" s="92" t="s">
        <v>1365</v>
      </c>
      <c r="M54" s="93">
        <v>0</v>
      </c>
      <c r="N54" s="49">
        <v>0</v>
      </c>
      <c r="O54" s="72">
        <f>M54+N54</f>
        <v>0</v>
      </c>
      <c r="P54" s="94"/>
      <c r="Q54" s="40"/>
      <c r="R54" s="44"/>
      <c r="S54" s="87">
        <f>R54+O54</f>
        <v>0</v>
      </c>
      <c r="T54" s="87">
        <f>S54/0.7</f>
        <v>0</v>
      </c>
      <c r="U54" s="88">
        <f>T54/0.875</f>
        <v>0</v>
      </c>
      <c r="V54" s="89" t="e">
        <f>(U54-T54)/U54</f>
        <v>#DIV/0!</v>
      </c>
      <c r="W54" s="88">
        <f>(ROUNDUP((U54/100),0))*100</f>
        <v>0</v>
      </c>
      <c r="X54" s="90" t="e">
        <f>(T54-O54)/T54</f>
        <v>#DIV/0!</v>
      </c>
      <c r="Y54" s="57"/>
      <c r="Z54" s="58"/>
      <c r="AA54" s="59"/>
    </row>
    <row r="55" spans="2:27" s="2" customFormat="1" ht="14.4" customHeight="1">
      <c r="B55" s="80">
        <v>486</v>
      </c>
      <c r="C55" s="40" t="s">
        <v>1228</v>
      </c>
      <c r="D55" s="39" t="str">
        <f>REPLACE(C55,1,3, )</f>
        <v xml:space="preserve"> 537</v>
      </c>
      <c r="E55" s="40" t="s">
        <v>1228</v>
      </c>
      <c r="F55" s="39">
        <f>IF(C55=E55,0,1)</f>
        <v>0</v>
      </c>
      <c r="G55" s="82" t="s">
        <v>340</v>
      </c>
      <c r="H55" s="82" t="s">
        <v>1183</v>
      </c>
      <c r="I55" s="82" t="s">
        <v>1184</v>
      </c>
      <c r="J55" s="41">
        <f>M55</f>
        <v>71750</v>
      </c>
      <c r="K55" s="91">
        <f>J55-M55</f>
        <v>0</v>
      </c>
      <c r="L55" s="92" t="s">
        <v>1365</v>
      </c>
      <c r="M55" s="93">
        <v>71750</v>
      </c>
      <c r="N55" s="49">
        <f>2000+600+200+250+3600</f>
        <v>6650</v>
      </c>
      <c r="O55" s="72">
        <f>M55+N55</f>
        <v>78400</v>
      </c>
      <c r="P55" s="94"/>
      <c r="Q55" s="40" t="s">
        <v>1371</v>
      </c>
      <c r="R55" s="44"/>
      <c r="S55" s="87">
        <f>R55+O55</f>
        <v>78400</v>
      </c>
      <c r="T55" s="87">
        <f>S55/0.7</f>
        <v>112000</v>
      </c>
      <c r="U55" s="88">
        <f>T55/0.875</f>
        <v>128000</v>
      </c>
      <c r="V55" s="89">
        <f>(U55-T55)/U55</f>
        <v>0.125</v>
      </c>
      <c r="W55" s="88">
        <f>(ROUNDUP((U55/100),0))*100</f>
        <v>128000</v>
      </c>
      <c r="X55" s="90">
        <f>(T55-O55)/T55</f>
        <v>0.3</v>
      </c>
      <c r="Y55" s="57">
        <v>104650</v>
      </c>
      <c r="Z55" s="58">
        <f>T55-Y55</f>
        <v>7350</v>
      </c>
      <c r="AA55" s="59">
        <f>Z55/Y55</f>
        <v>7.0234113712374577E-2</v>
      </c>
    </row>
    <row r="56" spans="2:27" s="2" customFormat="1" ht="14.4" customHeight="1">
      <c r="B56" s="40">
        <v>487</v>
      </c>
      <c r="C56" s="40" t="s">
        <v>1230</v>
      </c>
      <c r="D56" s="39" t="str">
        <f>REPLACE(C56,1,3, )</f>
        <v xml:space="preserve"> 535</v>
      </c>
      <c r="E56" s="40" t="s">
        <v>1230</v>
      </c>
      <c r="F56" s="39">
        <f>IF(C56=E56,0,1)</f>
        <v>0</v>
      </c>
      <c r="G56" s="82" t="s">
        <v>335</v>
      </c>
      <c r="H56" s="82" t="s">
        <v>1072</v>
      </c>
      <c r="I56" s="82" t="s">
        <v>1184</v>
      </c>
      <c r="J56" s="41">
        <f>M56</f>
        <v>35000</v>
      </c>
      <c r="K56" s="91">
        <f>J56-M56</f>
        <v>0</v>
      </c>
      <c r="L56" s="92" t="s">
        <v>1365</v>
      </c>
      <c r="M56" s="93">
        <v>35000</v>
      </c>
      <c r="N56" s="49">
        <f>2000+600+200+250+650+2500</f>
        <v>6200</v>
      </c>
      <c r="O56" s="72">
        <f>M56+N56</f>
        <v>41200</v>
      </c>
      <c r="P56" s="94"/>
      <c r="Q56" s="40" t="s">
        <v>1373</v>
      </c>
      <c r="R56" s="44"/>
      <c r="S56" s="87">
        <f>R56+O56</f>
        <v>41200</v>
      </c>
      <c r="T56" s="87">
        <f>S56/0.7</f>
        <v>58857.142857142862</v>
      </c>
      <c r="U56" s="88">
        <f>T56/0.875</f>
        <v>67265.306122448979</v>
      </c>
      <c r="V56" s="89">
        <f>(U56-T56)/U56</f>
        <v>0.12499999999999992</v>
      </c>
      <c r="W56" s="88">
        <f>(ROUNDUP((U56/100),0))*100</f>
        <v>67300</v>
      </c>
      <c r="X56" s="90">
        <f>(T56-O56)/T56</f>
        <v>0.30000000000000004</v>
      </c>
      <c r="Y56" s="57"/>
      <c r="Z56" s="58"/>
      <c r="AA56" s="59"/>
    </row>
    <row r="57" spans="2:27" s="2" customFormat="1" ht="14.4" customHeight="1">
      <c r="B57" s="80">
        <v>488</v>
      </c>
      <c r="C57" s="40" t="s">
        <v>1232</v>
      </c>
      <c r="D57" s="39" t="str">
        <f>REPLACE(C57,1,3, )</f>
        <v xml:space="preserve"> 817</v>
      </c>
      <c r="E57" s="40" t="s">
        <v>1232</v>
      </c>
      <c r="F57" s="39">
        <f>IF(C57=E57,0,1)</f>
        <v>0</v>
      </c>
      <c r="G57" s="82" t="s">
        <v>335</v>
      </c>
      <c r="H57" s="82" t="s">
        <v>1072</v>
      </c>
      <c r="I57" s="82" t="s">
        <v>1184</v>
      </c>
      <c r="J57" s="41">
        <f>M57</f>
        <v>0</v>
      </c>
      <c r="K57" s="91">
        <f>J57-M57</f>
        <v>0</v>
      </c>
      <c r="L57" s="92" t="s">
        <v>1365</v>
      </c>
      <c r="M57" s="93">
        <v>0</v>
      </c>
      <c r="N57" s="49">
        <v>0</v>
      </c>
      <c r="O57" s="72">
        <f>M57+N57</f>
        <v>0</v>
      </c>
      <c r="P57" s="94"/>
      <c r="Q57" s="40" t="s">
        <v>1375</v>
      </c>
      <c r="R57" s="44"/>
      <c r="S57" s="87">
        <f>R57+O57</f>
        <v>0</v>
      </c>
      <c r="T57" s="87">
        <f>S57/0.7</f>
        <v>0</v>
      </c>
      <c r="U57" s="88">
        <f>T57/0.875</f>
        <v>0</v>
      </c>
      <c r="V57" s="89" t="e">
        <f>(U57-T57)/U57</f>
        <v>#DIV/0!</v>
      </c>
      <c r="W57" s="88">
        <f>(ROUNDUP((U57/100),0))*100</f>
        <v>0</v>
      </c>
      <c r="X57" s="90" t="e">
        <f>(T57-O57)/T57</f>
        <v>#DIV/0!</v>
      </c>
      <c r="Y57" s="57"/>
      <c r="Z57" s="58"/>
      <c r="AA57" s="59"/>
    </row>
    <row r="58" spans="2:27" s="2" customFormat="1" ht="14.4" customHeight="1">
      <c r="B58" s="40">
        <v>493</v>
      </c>
      <c r="C58" s="40" t="s">
        <v>1244</v>
      </c>
      <c r="D58" s="39" t="str">
        <f>REPLACE(C58,1,3, )</f>
        <v xml:space="preserve"> 753</v>
      </c>
      <c r="E58" s="40" t="s">
        <v>1244</v>
      </c>
      <c r="F58" s="39">
        <f>IF(C58=E58,0,1)</f>
        <v>0</v>
      </c>
      <c r="G58" s="82" t="s">
        <v>335</v>
      </c>
      <c r="H58" s="82" t="s">
        <v>1245</v>
      </c>
      <c r="I58" s="82" t="s">
        <v>1184</v>
      </c>
      <c r="J58" s="41">
        <f>M58</f>
        <v>74250</v>
      </c>
      <c r="K58" s="91">
        <f>J58-M58</f>
        <v>0</v>
      </c>
      <c r="L58" s="92" t="s">
        <v>1365</v>
      </c>
      <c r="M58" s="93">
        <v>74250</v>
      </c>
      <c r="N58" s="49">
        <f>2000+600+200+250+1000+3600</f>
        <v>7650</v>
      </c>
      <c r="O58" s="72">
        <f>M58+N58</f>
        <v>81900</v>
      </c>
      <c r="P58" s="94"/>
      <c r="Q58" s="40" t="s">
        <v>1374</v>
      </c>
      <c r="R58" s="44"/>
      <c r="S58" s="87">
        <f>R58+O58</f>
        <v>81900</v>
      </c>
      <c r="T58" s="87">
        <f>S58/0.7</f>
        <v>117000.00000000001</v>
      </c>
      <c r="U58" s="88">
        <f>T58/0.875</f>
        <v>133714.28571428574</v>
      </c>
      <c r="V58" s="89">
        <f>(U58-T58)/U58</f>
        <v>0.12500000000000006</v>
      </c>
      <c r="W58" s="88">
        <f>(ROUNDUP((U58/100),0))*100</f>
        <v>133800</v>
      </c>
      <c r="X58" s="90">
        <f>(T58-O58)/T58</f>
        <v>0.3000000000000001</v>
      </c>
      <c r="Y58" s="57"/>
      <c r="Z58" s="58"/>
      <c r="AA58" s="59"/>
    </row>
    <row r="59" spans="2:27" s="2" customFormat="1" ht="14.4" customHeight="1">
      <c r="B59" s="80">
        <v>494</v>
      </c>
      <c r="C59" s="40" t="s">
        <v>1247</v>
      </c>
      <c r="D59" s="39" t="str">
        <f>REPLACE(C59,1,3, )</f>
        <v xml:space="preserve"> 053</v>
      </c>
      <c r="E59" s="40" t="s">
        <v>1247</v>
      </c>
      <c r="F59" s="39">
        <f>IF(C59=E59,0,1)</f>
        <v>0</v>
      </c>
      <c r="G59" s="82" t="s">
        <v>340</v>
      </c>
      <c r="H59" s="82" t="s">
        <v>1248</v>
      </c>
      <c r="I59" s="82" t="s">
        <v>1184</v>
      </c>
      <c r="J59" s="41">
        <f>M59</f>
        <v>0</v>
      </c>
      <c r="K59" s="91">
        <f>J59-M59</f>
        <v>0</v>
      </c>
      <c r="L59" s="92" t="s">
        <v>1365</v>
      </c>
      <c r="M59" s="93">
        <v>0</v>
      </c>
      <c r="N59" s="49">
        <v>0</v>
      </c>
      <c r="O59" s="72">
        <f>M59+N59</f>
        <v>0</v>
      </c>
      <c r="P59" s="94"/>
      <c r="Q59" s="40"/>
      <c r="R59" s="44"/>
      <c r="S59" s="87">
        <f>R59+O59</f>
        <v>0</v>
      </c>
      <c r="T59" s="87">
        <f>S59/0.7</f>
        <v>0</v>
      </c>
      <c r="U59" s="88">
        <f>T59/0.875</f>
        <v>0</v>
      </c>
      <c r="V59" s="89" t="e">
        <f>(U59-T59)/U59</f>
        <v>#DIV/0!</v>
      </c>
      <c r="W59" s="88">
        <f>(ROUNDUP((U59/100),0))*100</f>
        <v>0</v>
      </c>
      <c r="X59" s="90" t="e">
        <f>(T59-O59)/T59</f>
        <v>#DIV/0!</v>
      </c>
      <c r="Y59" s="57">
        <v>107450</v>
      </c>
      <c r="Z59" s="58">
        <f>T59-Y59</f>
        <v>-107450</v>
      </c>
      <c r="AA59" s="59">
        <f>Z59/Y59</f>
        <v>-1</v>
      </c>
    </row>
    <row r="60" spans="2:27" s="2" customFormat="1" ht="14.4" customHeight="1">
      <c r="B60" s="80">
        <v>436</v>
      </c>
      <c r="C60" s="39" t="s">
        <v>1110</v>
      </c>
      <c r="D60" s="39" t="str">
        <f>REPLACE(C60,1,3, )</f>
        <v xml:space="preserve"> 486</v>
      </c>
      <c r="E60" s="40" t="s">
        <v>1110</v>
      </c>
      <c r="F60" s="39">
        <f>IF(C60=E60,0,1)</f>
        <v>0</v>
      </c>
      <c r="G60" s="82" t="s">
        <v>335</v>
      </c>
      <c r="H60" s="82" t="s">
        <v>1068</v>
      </c>
      <c r="I60" s="82" t="s">
        <v>1111</v>
      </c>
      <c r="J60" s="41">
        <f>M60</f>
        <v>63000</v>
      </c>
      <c r="K60" s="42">
        <f>J60-M60</f>
        <v>0</v>
      </c>
      <c r="L60" s="92" t="s">
        <v>1365</v>
      </c>
      <c r="M60" s="93">
        <v>63000</v>
      </c>
      <c r="N60" s="49">
        <f>2000+300+600+650+3000</f>
        <v>6550</v>
      </c>
      <c r="O60" s="72">
        <f>M60+N60</f>
        <v>69550</v>
      </c>
      <c r="P60" s="29"/>
      <c r="Q60" s="40" t="s">
        <v>1395</v>
      </c>
      <c r="R60" s="44"/>
      <c r="S60" s="87">
        <f>R60+O60</f>
        <v>69550</v>
      </c>
      <c r="T60" s="87">
        <f>S60/0.7</f>
        <v>99357.14285714287</v>
      </c>
      <c r="U60" s="88">
        <f>T60/0.875</f>
        <v>113551.02040816328</v>
      </c>
      <c r="V60" s="89">
        <f>(U60-T60)/U60</f>
        <v>0.12500000000000003</v>
      </c>
      <c r="W60" s="88">
        <f>(ROUNDUP((U60/100),0))*100</f>
        <v>113600</v>
      </c>
      <c r="X60" s="90">
        <f>(T60-O60)/T60</f>
        <v>0.3000000000000001</v>
      </c>
      <c r="Y60" s="57">
        <v>99050</v>
      </c>
      <c r="Z60" s="58">
        <f>T60-Y60</f>
        <v>307.14285714286962</v>
      </c>
      <c r="AA60" s="59">
        <f>Z60/Y60</f>
        <v>3.10088699790883E-3</v>
      </c>
    </row>
    <row r="61" spans="2:27" s="2" customFormat="1" ht="14.4" customHeight="1">
      <c r="B61" s="40">
        <v>447</v>
      </c>
      <c r="C61" s="40" t="s">
        <v>1136</v>
      </c>
      <c r="D61" s="39" t="str">
        <f>REPLACE(C61,1,3, )</f>
        <v xml:space="preserve"> 463</v>
      </c>
      <c r="E61" s="40" t="s">
        <v>1136</v>
      </c>
      <c r="F61" s="39">
        <f>IF(C61=E61,0,1)</f>
        <v>0</v>
      </c>
      <c r="G61" s="82" t="s">
        <v>340</v>
      </c>
      <c r="H61" s="82" t="s">
        <v>1072</v>
      </c>
      <c r="I61" s="82" t="s">
        <v>1111</v>
      </c>
      <c r="J61" s="41">
        <f>M61</f>
        <v>49000</v>
      </c>
      <c r="K61" s="42">
        <f>J61-M61</f>
        <v>0</v>
      </c>
      <c r="L61" s="92" t="s">
        <v>1365</v>
      </c>
      <c r="M61" s="93">
        <v>49000</v>
      </c>
      <c r="N61" s="49">
        <f>2000+2850+800+200+500</f>
        <v>6350</v>
      </c>
      <c r="O61" s="72">
        <f>M61+N61</f>
        <v>55350</v>
      </c>
      <c r="P61" s="29"/>
      <c r="Q61" s="40" t="s">
        <v>1396</v>
      </c>
      <c r="R61" s="44"/>
      <c r="S61" s="87">
        <f>R61+O61</f>
        <v>55350</v>
      </c>
      <c r="T61" s="87">
        <f>S61/0.7</f>
        <v>79071.42857142858</v>
      </c>
      <c r="U61" s="88">
        <f>T61/0.875</f>
        <v>90367.346938775518</v>
      </c>
      <c r="V61" s="89">
        <f>(U61-T61)/U61</f>
        <v>0.12499999999999999</v>
      </c>
      <c r="W61" s="88">
        <f>(ROUNDUP((U61/100),0))*100</f>
        <v>90400</v>
      </c>
      <c r="X61" s="90">
        <f>(T61-O61)/T61</f>
        <v>0.3000000000000001</v>
      </c>
      <c r="Y61" s="57">
        <v>79100</v>
      </c>
      <c r="Z61" s="58">
        <f>T61-Y61</f>
        <v>-28.571428571420256</v>
      </c>
      <c r="AA61" s="59">
        <f>Z61/Y61</f>
        <v>-3.6120642947433954E-4</v>
      </c>
    </row>
    <row r="62" spans="2:27" s="2" customFormat="1" ht="14.4" customHeight="1">
      <c r="B62" s="40">
        <v>469</v>
      </c>
      <c r="C62" s="40" t="s">
        <v>1188</v>
      </c>
      <c r="D62" s="39" t="str">
        <f>REPLACE(C62,1,3, )</f>
        <v xml:space="preserve"> 598</v>
      </c>
      <c r="E62" s="40" t="s">
        <v>1188</v>
      </c>
      <c r="F62" s="39">
        <f>IF(C62=E62,0,1)</f>
        <v>0</v>
      </c>
      <c r="G62" s="82" t="s">
        <v>340</v>
      </c>
      <c r="H62" s="82" t="s">
        <v>1183</v>
      </c>
      <c r="I62" s="82" t="s">
        <v>1189</v>
      </c>
      <c r="J62" s="98">
        <v>72000</v>
      </c>
      <c r="K62" s="42">
        <f>J62-M62</f>
        <v>0</v>
      </c>
      <c r="L62" s="100" t="s">
        <v>1384</v>
      </c>
      <c r="M62" s="96">
        <f>J62</f>
        <v>72000</v>
      </c>
      <c r="N62" s="102">
        <f>2000+3450+800+200+250+400</f>
        <v>7100</v>
      </c>
      <c r="O62" s="102">
        <f>N62+M62</f>
        <v>79100</v>
      </c>
      <c r="P62" s="105"/>
      <c r="Q62" s="76" t="s">
        <v>1382</v>
      </c>
      <c r="R62" s="44"/>
      <c r="S62" s="87">
        <f>R62+O62</f>
        <v>79100</v>
      </c>
      <c r="T62" s="87">
        <f>S62/0.7</f>
        <v>113000</v>
      </c>
      <c r="U62" s="88">
        <f>T62/0.875</f>
        <v>129142.85714285714</v>
      </c>
      <c r="V62" s="89">
        <f>(U62-T62)/U62</f>
        <v>0.12500000000000003</v>
      </c>
      <c r="W62" s="88">
        <f>(ROUNDUP((U62/100),0))*100</f>
        <v>129200</v>
      </c>
      <c r="X62" s="90">
        <f>(T62-O62)/T62</f>
        <v>0.3</v>
      </c>
      <c r="Y62" s="57">
        <v>120225</v>
      </c>
      <c r="Z62" s="58">
        <f>T62-Y62</f>
        <v>-7225</v>
      </c>
      <c r="AA62" s="59">
        <f>Z62/Y62</f>
        <v>-6.0095653982116866E-2</v>
      </c>
    </row>
    <row r="63" spans="2:27" s="2" customFormat="1" ht="14.4" customHeight="1">
      <c r="B63" s="40">
        <v>479</v>
      </c>
      <c r="C63" s="40" t="s">
        <v>1213</v>
      </c>
      <c r="D63" s="39" t="str">
        <f>REPLACE(C63,1,3, )</f>
        <v xml:space="preserve"> 388</v>
      </c>
      <c r="E63" s="40" t="s">
        <v>1213</v>
      </c>
      <c r="F63" s="39">
        <f>IF(C63=E63,0,1)</f>
        <v>0</v>
      </c>
      <c r="G63" s="82" t="s">
        <v>335</v>
      </c>
      <c r="H63" s="82" t="s">
        <v>1183</v>
      </c>
      <c r="I63" s="82" t="s">
        <v>1214</v>
      </c>
      <c r="J63" s="41">
        <f>M63</f>
        <v>75000</v>
      </c>
      <c r="K63" s="42">
        <f>J63-M63</f>
        <v>0</v>
      </c>
      <c r="L63" s="92" t="s">
        <v>1365</v>
      </c>
      <c r="M63" s="93">
        <v>75000</v>
      </c>
      <c r="N63" s="49">
        <f>2000+200+250+600+1000+3600</f>
        <v>7650</v>
      </c>
      <c r="O63" s="72">
        <f>M63+N63</f>
        <v>82650</v>
      </c>
      <c r="P63" s="29"/>
      <c r="Q63" s="40" t="s">
        <v>1398</v>
      </c>
      <c r="R63" s="44"/>
      <c r="S63" s="87">
        <f>R63+O63</f>
        <v>82650</v>
      </c>
      <c r="T63" s="87">
        <f>S63/0.7</f>
        <v>118071.42857142858</v>
      </c>
      <c r="U63" s="88">
        <f>T63/0.875</f>
        <v>134938.77551020408</v>
      </c>
      <c r="V63" s="89">
        <f>(U63-T63)/U63</f>
        <v>0.12499999999999994</v>
      </c>
      <c r="W63" s="88">
        <f>(ROUNDUP((U63/100),0))*100</f>
        <v>135000</v>
      </c>
      <c r="X63" s="90">
        <f>(T63-O63)/T63</f>
        <v>0.30000000000000004</v>
      </c>
      <c r="Y63" s="57"/>
      <c r="Z63" s="58"/>
      <c r="AA63" s="59"/>
    </row>
    <row r="64" spans="2:27" s="2" customFormat="1" ht="14.4" customHeight="1">
      <c r="B64" s="40">
        <v>425</v>
      </c>
      <c r="C64" s="40" t="s">
        <v>1079</v>
      </c>
      <c r="D64" s="39" t="str">
        <f>REPLACE(C64,1,3, )</f>
        <v xml:space="preserve"> 713</v>
      </c>
      <c r="E64" s="40" t="s">
        <v>1079</v>
      </c>
      <c r="F64" s="39">
        <f>IF(C64=E64,0,1)</f>
        <v>0</v>
      </c>
      <c r="G64" s="82" t="s">
        <v>340</v>
      </c>
      <c r="H64" s="82" t="s">
        <v>1072</v>
      </c>
      <c r="I64" s="82" t="s">
        <v>1080</v>
      </c>
      <c r="J64" s="41"/>
      <c r="K64" s="42">
        <f>J64-M64</f>
        <v>0</v>
      </c>
      <c r="L64" s="39" t="s">
        <v>22</v>
      </c>
      <c r="M64" s="43">
        <f>J64-N64</f>
        <v>0</v>
      </c>
      <c r="N64" s="49"/>
      <c r="O64" s="72">
        <f>M64+N64</f>
        <v>0</v>
      </c>
      <c r="P64" s="29"/>
      <c r="Q64" s="40"/>
      <c r="R64" s="44"/>
      <c r="S64" s="87">
        <f>R64+O64</f>
        <v>0</v>
      </c>
      <c r="T64" s="87">
        <f>S64/0.7</f>
        <v>0</v>
      </c>
      <c r="U64" s="88">
        <f>T64/0.875</f>
        <v>0</v>
      </c>
      <c r="V64" s="89" t="e">
        <f>(U64-T64)/U64</f>
        <v>#DIV/0!</v>
      </c>
      <c r="W64" s="88">
        <f>(ROUNDUP((U64/100),0))*100</f>
        <v>0</v>
      </c>
      <c r="X64" s="90" t="e">
        <f>(T64-O64)/T64</f>
        <v>#DIV/0!</v>
      </c>
      <c r="Y64" s="57">
        <v>110075</v>
      </c>
      <c r="Z64" s="58">
        <f>T64-Y64</f>
        <v>-110075</v>
      </c>
      <c r="AA64" s="59">
        <f>Z64/Y64</f>
        <v>-1</v>
      </c>
    </row>
    <row r="65" spans="2:27" s="2" customFormat="1" ht="14.4" customHeight="1">
      <c r="B65" s="40">
        <v>430</v>
      </c>
      <c r="C65" s="40" t="s">
        <v>1093</v>
      </c>
      <c r="D65" s="39" t="str">
        <f>REPLACE(C65,1,3, )</f>
        <v xml:space="preserve"> 951</v>
      </c>
      <c r="E65" s="40" t="s">
        <v>1093</v>
      </c>
      <c r="F65" s="39">
        <f>IF(C65=E65,0,1)</f>
        <v>0</v>
      </c>
      <c r="G65" s="82" t="s">
        <v>340</v>
      </c>
      <c r="H65" s="82" t="s">
        <v>1094</v>
      </c>
      <c r="I65" s="82" t="s">
        <v>1080</v>
      </c>
      <c r="J65" s="41"/>
      <c r="K65" s="42">
        <f>J65-M65</f>
        <v>0</v>
      </c>
      <c r="L65" s="39" t="s">
        <v>22</v>
      </c>
      <c r="M65" s="43">
        <f>J65-N65</f>
        <v>0</v>
      </c>
      <c r="N65" s="49"/>
      <c r="O65" s="72">
        <f>M65+N65</f>
        <v>0</v>
      </c>
      <c r="P65" s="29"/>
      <c r="Q65" s="40"/>
      <c r="R65" s="44"/>
      <c r="S65" s="87">
        <f>R65+O65</f>
        <v>0</v>
      </c>
      <c r="T65" s="87">
        <f>S65/0.7</f>
        <v>0</v>
      </c>
      <c r="U65" s="88">
        <f>T65/0.875</f>
        <v>0</v>
      </c>
      <c r="V65" s="89" t="e">
        <f>(U65-T65)/U65</f>
        <v>#DIV/0!</v>
      </c>
      <c r="W65" s="88">
        <f>(ROUNDUP((U65/100),0))*100</f>
        <v>0</v>
      </c>
      <c r="X65" s="90" t="e">
        <f>(T65-O65)/T65</f>
        <v>#DIV/0!</v>
      </c>
      <c r="Y65" s="57">
        <v>97213</v>
      </c>
      <c r="Z65" s="58">
        <f>T65-Y65</f>
        <v>-97213</v>
      </c>
      <c r="AA65" s="59">
        <f>Z65/Y65</f>
        <v>-1</v>
      </c>
    </row>
    <row r="66" spans="2:27" s="2" customFormat="1" ht="14.4" customHeight="1">
      <c r="B66" s="80">
        <v>498</v>
      </c>
      <c r="C66" s="40" t="s">
        <v>1258</v>
      </c>
      <c r="D66" s="39" t="str">
        <f>REPLACE(C66,1,3, )</f>
        <v xml:space="preserve"> 552</v>
      </c>
      <c r="E66" s="40" t="s">
        <v>1258</v>
      </c>
      <c r="F66" s="39">
        <f>IF(C66=E66,0,1)</f>
        <v>0</v>
      </c>
      <c r="G66" s="82" t="s">
        <v>335</v>
      </c>
      <c r="H66" s="82" t="s">
        <v>1253</v>
      </c>
      <c r="I66" s="82" t="s">
        <v>1259</v>
      </c>
      <c r="J66" s="41"/>
      <c r="K66" s="42">
        <f>J66-M66</f>
        <v>0</v>
      </c>
      <c r="L66" s="39" t="s">
        <v>22</v>
      </c>
      <c r="M66" s="43">
        <f>J66-N66</f>
        <v>0</v>
      </c>
      <c r="N66" s="43"/>
      <c r="O66" s="72">
        <f>M66+N66</f>
        <v>0</v>
      </c>
      <c r="P66" s="29"/>
      <c r="Q66" s="40"/>
      <c r="R66" s="44"/>
      <c r="S66" s="87">
        <f>R66+O66</f>
        <v>0</v>
      </c>
      <c r="T66" s="87">
        <f>S66/0.7</f>
        <v>0</v>
      </c>
      <c r="U66" s="88">
        <f>T66/0.875</f>
        <v>0</v>
      </c>
      <c r="V66" s="89" t="e">
        <f>(U66-T66)/U66</f>
        <v>#DIV/0!</v>
      </c>
      <c r="W66" s="88">
        <f>(ROUNDUP((U66/100),0))*100</f>
        <v>0</v>
      </c>
      <c r="X66" s="90" t="e">
        <f>(T66-O66)/T66</f>
        <v>#DIV/0!</v>
      </c>
      <c r="Y66" s="57"/>
      <c r="Z66" s="58"/>
      <c r="AA66" s="59"/>
    </row>
    <row r="67" spans="2:27" s="2" customFormat="1" ht="14.4" customHeight="1">
      <c r="B67" s="40">
        <v>507</v>
      </c>
      <c r="C67" s="40" t="s">
        <v>1280</v>
      </c>
      <c r="D67" s="39" t="str">
        <f>REPLACE(C67,1,3, )</f>
        <v xml:space="preserve"> 315</v>
      </c>
      <c r="E67" s="40" t="s">
        <v>1280</v>
      </c>
      <c r="F67" s="39">
        <f>IF(C67=E67,0,1)</f>
        <v>0</v>
      </c>
      <c r="G67" s="82" t="s">
        <v>335</v>
      </c>
      <c r="H67" s="82" t="s">
        <v>1253</v>
      </c>
      <c r="I67" s="82" t="s">
        <v>1259</v>
      </c>
      <c r="J67" s="41"/>
      <c r="K67" s="42">
        <f>J67-M67</f>
        <v>0</v>
      </c>
      <c r="L67" s="39" t="s">
        <v>22</v>
      </c>
      <c r="M67" s="43">
        <f>J67-N67</f>
        <v>0</v>
      </c>
      <c r="N67" s="43"/>
      <c r="O67" s="72">
        <f>M67+N67</f>
        <v>0</v>
      </c>
      <c r="P67" s="29"/>
      <c r="Q67" s="40"/>
      <c r="R67" s="44"/>
      <c r="S67" s="87">
        <f>R67+O67</f>
        <v>0</v>
      </c>
      <c r="T67" s="87">
        <f>S67/0.7</f>
        <v>0</v>
      </c>
      <c r="U67" s="88">
        <f>T67/0.875</f>
        <v>0</v>
      </c>
      <c r="V67" s="89" t="e">
        <f>(U67-T67)/U67</f>
        <v>#DIV/0!</v>
      </c>
      <c r="W67" s="88">
        <f>(ROUNDUP((U67/100),0))*100</f>
        <v>0</v>
      </c>
      <c r="X67" s="90" t="e">
        <f>(T67-O67)/T67</f>
        <v>#DIV/0!</v>
      </c>
      <c r="Y67" s="57"/>
      <c r="Z67" s="58"/>
      <c r="AA67" s="59"/>
    </row>
    <row r="68" spans="2:27" s="2" customFormat="1" ht="14.4" customHeight="1">
      <c r="B68" s="40">
        <v>428</v>
      </c>
      <c r="C68" s="40" t="s">
        <v>1088</v>
      </c>
      <c r="D68" s="39" t="str">
        <f>REPLACE(C68,1,3, )</f>
        <v xml:space="preserve"> 369</v>
      </c>
      <c r="E68" s="40" t="s">
        <v>1088</v>
      </c>
      <c r="F68" s="39">
        <f>IF(C68=E68,0,1)</f>
        <v>0</v>
      </c>
      <c r="G68" s="82" t="s">
        <v>340</v>
      </c>
      <c r="H68" s="82" t="s">
        <v>1072</v>
      </c>
      <c r="I68" s="82" t="s">
        <v>1089</v>
      </c>
      <c r="J68" s="41"/>
      <c r="K68" s="42">
        <f>J68-M68</f>
        <v>0</v>
      </c>
      <c r="L68" s="39" t="s">
        <v>22</v>
      </c>
      <c r="M68" s="43">
        <f>J68-N68</f>
        <v>0</v>
      </c>
      <c r="N68" s="49"/>
      <c r="O68" s="72">
        <f>M68+N68</f>
        <v>0</v>
      </c>
      <c r="P68" s="29"/>
      <c r="Q68" s="40"/>
      <c r="R68" s="44"/>
      <c r="S68" s="87">
        <f>R68+O68</f>
        <v>0</v>
      </c>
      <c r="T68" s="87">
        <f>S68/0.7</f>
        <v>0</v>
      </c>
      <c r="U68" s="88">
        <f>T68/0.875</f>
        <v>0</v>
      </c>
      <c r="V68" s="89" t="e">
        <f>(U68-T68)/U68</f>
        <v>#DIV/0!</v>
      </c>
      <c r="W68" s="88">
        <f>(ROUNDUP((U68/100),0))*100</f>
        <v>0</v>
      </c>
      <c r="X68" s="90" t="e">
        <f>(T68-O68)/T68</f>
        <v>#DIV/0!</v>
      </c>
      <c r="Y68" s="57">
        <v>105788</v>
      </c>
      <c r="Z68" s="58">
        <f>T68-Y68</f>
        <v>-105788</v>
      </c>
      <c r="AA68" s="59">
        <f>Z68/Y68</f>
        <v>-1</v>
      </c>
    </row>
    <row r="69" spans="2:27" s="2" customFormat="1" ht="14.4" customHeight="1">
      <c r="B69" s="39">
        <v>448</v>
      </c>
      <c r="C69" s="80" t="s">
        <v>1138</v>
      </c>
      <c r="D69" s="39" t="str">
        <f>REPLACE(C69,1,3, )</f>
        <v xml:space="preserve"> 321</v>
      </c>
      <c r="E69" s="80" t="s">
        <v>1138</v>
      </c>
      <c r="F69" s="80">
        <f>SUM(F70:F89)</f>
        <v>0</v>
      </c>
      <c r="G69" s="82" t="s">
        <v>1321</v>
      </c>
      <c r="H69" s="82" t="s">
        <v>1068</v>
      </c>
      <c r="I69" s="82" t="s">
        <v>1089</v>
      </c>
      <c r="J69" s="41">
        <v>62000</v>
      </c>
      <c r="K69" s="42">
        <f>J69-M69</f>
        <v>6900</v>
      </c>
      <c r="L69" s="39" t="s">
        <v>22</v>
      </c>
      <c r="M69" s="43">
        <f>J69-N69</f>
        <v>55100</v>
      </c>
      <c r="N69" s="43">
        <v>6900</v>
      </c>
      <c r="O69" s="72">
        <f>M69+N69</f>
        <v>62000</v>
      </c>
      <c r="P69" s="30"/>
      <c r="Q69" s="40" t="s">
        <v>1327</v>
      </c>
      <c r="R69" s="44"/>
      <c r="S69" s="87">
        <f>R69+O69</f>
        <v>62000</v>
      </c>
      <c r="T69" s="87">
        <f>S69/0.7</f>
        <v>88571.42857142858</v>
      </c>
      <c r="U69" s="88">
        <f>T69/0.875</f>
        <v>101224.48979591837</v>
      </c>
      <c r="V69" s="89">
        <f>(U69-T69)/U69</f>
        <v>0.12499999999999996</v>
      </c>
      <c r="W69" s="88">
        <f>(ROUNDUP((U69/100),0))*100</f>
        <v>101300</v>
      </c>
      <c r="X69" s="90">
        <f>(T69-O69)/T69</f>
        <v>0.30000000000000004</v>
      </c>
      <c r="Y69" s="57"/>
      <c r="Z69" s="58"/>
      <c r="AA69" s="59"/>
    </row>
    <row r="70" spans="2:27" s="2" customFormat="1" ht="14.4" customHeight="1">
      <c r="B70" s="39">
        <v>421</v>
      </c>
      <c r="C70" s="80" t="s">
        <v>1067</v>
      </c>
      <c r="D70" s="39" t="str">
        <f>REPLACE(C70,1,3, )</f>
        <v xml:space="preserve"> 821</v>
      </c>
      <c r="E70" s="80" t="s">
        <v>1067</v>
      </c>
      <c r="F70" s="80">
        <f>SUM(F71:F102)</f>
        <v>0</v>
      </c>
      <c r="G70" s="82" t="s">
        <v>1321</v>
      </c>
      <c r="H70" s="82" t="s">
        <v>1068</v>
      </c>
      <c r="I70" s="82" t="s">
        <v>1069</v>
      </c>
      <c r="J70" s="52">
        <v>97000</v>
      </c>
      <c r="K70" s="42">
        <f>J70-M70</f>
        <v>7150</v>
      </c>
      <c r="L70" s="39" t="s">
        <v>22</v>
      </c>
      <c r="M70" s="43">
        <f>J70-N70</f>
        <v>89850</v>
      </c>
      <c r="N70" s="52">
        <v>7150</v>
      </c>
      <c r="O70" s="72">
        <f>M70+N70</f>
        <v>97000</v>
      </c>
      <c r="P70" s="29"/>
      <c r="Q70" s="43" t="s">
        <v>1322</v>
      </c>
      <c r="R70" s="44"/>
      <c r="S70" s="87">
        <f>R70+O70</f>
        <v>97000</v>
      </c>
      <c r="T70" s="87">
        <f>S70/0.7</f>
        <v>138571.42857142858</v>
      </c>
      <c r="U70" s="88">
        <f>T70/0.875</f>
        <v>158367.34693877553</v>
      </c>
      <c r="V70" s="89">
        <f>(U70-T70)/U70</f>
        <v>0.12500000000000006</v>
      </c>
      <c r="W70" s="88">
        <f>(ROUNDUP((U70/100),0))*100</f>
        <v>158400</v>
      </c>
      <c r="X70" s="90">
        <f>(T70-O70)/T70</f>
        <v>0.30000000000000004</v>
      </c>
      <c r="Y70" s="48"/>
      <c r="Z70" s="48"/>
      <c r="AA70" s="50"/>
    </row>
    <row r="71" spans="2:27" s="2" customFormat="1" ht="14.4" customHeight="1">
      <c r="B71" s="39">
        <v>423</v>
      </c>
      <c r="C71" s="80" t="s">
        <v>1075</v>
      </c>
      <c r="D71" s="39" t="str">
        <f>REPLACE(C71,1,3, )</f>
        <v xml:space="preserve"> 661</v>
      </c>
      <c r="E71" s="80" t="s">
        <v>1075</v>
      </c>
      <c r="F71" s="80">
        <f>SUM(F72:F104)</f>
        <v>0</v>
      </c>
      <c r="G71" s="82" t="s">
        <v>1321</v>
      </c>
      <c r="H71" s="82" t="s">
        <v>1068</v>
      </c>
      <c r="I71" s="82" t="s">
        <v>1069</v>
      </c>
      <c r="J71" s="41">
        <v>85000</v>
      </c>
      <c r="K71" s="42">
        <f>J71-M71</f>
        <v>7150</v>
      </c>
      <c r="L71" s="39" t="s">
        <v>22</v>
      </c>
      <c r="M71" s="43">
        <f>J71-N71</f>
        <v>77850</v>
      </c>
      <c r="N71" s="43">
        <v>7150</v>
      </c>
      <c r="O71" s="72">
        <f>M71+N71</f>
        <v>85000</v>
      </c>
      <c r="P71" s="29"/>
      <c r="Q71" s="43" t="s">
        <v>1322</v>
      </c>
      <c r="R71" s="44"/>
      <c r="S71" s="87">
        <f>R71+O71</f>
        <v>85000</v>
      </c>
      <c r="T71" s="87">
        <f>S71/0.7</f>
        <v>121428.57142857143</v>
      </c>
      <c r="U71" s="88">
        <f>T71/0.875</f>
        <v>138775.51020408163</v>
      </c>
      <c r="V71" s="89">
        <f>(U71-T71)/U71</f>
        <v>0.12499999999999992</v>
      </c>
      <c r="W71" s="88">
        <f>(ROUNDUP((U71/100),0))*100</f>
        <v>138800</v>
      </c>
      <c r="X71" s="90">
        <f>(T71-O71)/T71</f>
        <v>0.30000000000000004</v>
      </c>
      <c r="Y71" s="48"/>
      <c r="Z71" s="48"/>
      <c r="AA71" s="50"/>
    </row>
    <row r="72" spans="2:27" s="2" customFormat="1" ht="14.4" customHeight="1">
      <c r="B72" s="39">
        <v>424</v>
      </c>
      <c r="C72" s="80" t="s">
        <v>1077</v>
      </c>
      <c r="D72" s="39" t="str">
        <f>REPLACE(C72,1,3, )</f>
        <v xml:space="preserve"> 782</v>
      </c>
      <c r="E72" s="80" t="s">
        <v>1077</v>
      </c>
      <c r="F72" s="80">
        <f>SUM(F73:F106)</f>
        <v>0</v>
      </c>
      <c r="G72" s="82" t="s">
        <v>1321</v>
      </c>
      <c r="H72" s="82" t="s">
        <v>1068</v>
      </c>
      <c r="I72" s="82" t="s">
        <v>1069</v>
      </c>
      <c r="J72" s="41">
        <v>80000</v>
      </c>
      <c r="K72" s="42">
        <f>J72-M72</f>
        <v>7150</v>
      </c>
      <c r="L72" s="39" t="s">
        <v>22</v>
      </c>
      <c r="M72" s="43">
        <f>J72-N72</f>
        <v>72850</v>
      </c>
      <c r="N72" s="49">
        <v>7150</v>
      </c>
      <c r="O72" s="72">
        <f>M72+N72</f>
        <v>80000</v>
      </c>
      <c r="P72" s="29"/>
      <c r="Q72" s="43" t="s">
        <v>1322</v>
      </c>
      <c r="R72" s="44"/>
      <c r="S72" s="87">
        <f>R72+O72</f>
        <v>80000</v>
      </c>
      <c r="T72" s="87">
        <f>S72/0.7</f>
        <v>114285.71428571429</v>
      </c>
      <c r="U72" s="88">
        <f>T72/0.875</f>
        <v>130612.24489795919</v>
      </c>
      <c r="V72" s="89">
        <f>(U72-T72)/U72</f>
        <v>0.12499999999999999</v>
      </c>
      <c r="W72" s="88">
        <f>(ROUNDUP((U72/100),0))*100</f>
        <v>130700</v>
      </c>
      <c r="X72" s="90">
        <f>(T72-O72)/T72</f>
        <v>0.30000000000000004</v>
      </c>
      <c r="Y72" s="48"/>
      <c r="Z72" s="48"/>
      <c r="AA72" s="50"/>
    </row>
    <row r="73" spans="2:27" s="2" customFormat="1" ht="14.4" customHeight="1">
      <c r="B73" s="80">
        <v>440</v>
      </c>
      <c r="C73" s="40" t="s">
        <v>1117</v>
      </c>
      <c r="D73" s="39" t="str">
        <f>REPLACE(C73,1,3, )</f>
        <v xml:space="preserve"> 515</v>
      </c>
      <c r="E73" s="40" t="s">
        <v>1117</v>
      </c>
      <c r="F73" s="39">
        <f>IF(C73=E73,0,1)</f>
        <v>0</v>
      </c>
      <c r="G73" s="82" t="s">
        <v>335</v>
      </c>
      <c r="H73" s="82" t="s">
        <v>1118</v>
      </c>
      <c r="I73" s="82" t="s">
        <v>1069</v>
      </c>
      <c r="J73" s="41"/>
      <c r="K73" s="42">
        <f>J73-M73</f>
        <v>0</v>
      </c>
      <c r="L73" s="39" t="s">
        <v>22</v>
      </c>
      <c r="M73" s="43">
        <f>J73-N73</f>
        <v>0</v>
      </c>
      <c r="N73" s="43"/>
      <c r="O73" s="72">
        <f>M73+N73</f>
        <v>0</v>
      </c>
      <c r="P73" s="29"/>
      <c r="Q73" s="40"/>
      <c r="R73" s="44"/>
      <c r="S73" s="87">
        <f>R73+O73</f>
        <v>0</v>
      </c>
      <c r="T73" s="87">
        <f>S73/0.7</f>
        <v>0</v>
      </c>
      <c r="U73" s="88">
        <f>T73/0.875</f>
        <v>0</v>
      </c>
      <c r="V73" s="89" t="e">
        <f>(U73-T73)/U73</f>
        <v>#DIV/0!</v>
      </c>
      <c r="W73" s="88">
        <f>(ROUNDUP((U73/100),0))*100</f>
        <v>0</v>
      </c>
      <c r="X73" s="90" t="e">
        <f>(T73-O73)/T73</f>
        <v>#DIV/0!</v>
      </c>
      <c r="Y73" s="57"/>
      <c r="Z73" s="58"/>
      <c r="AA73" s="59"/>
    </row>
    <row r="74" spans="2:27" s="2" customFormat="1" ht="14.4" customHeight="1">
      <c r="B74" s="40">
        <v>455</v>
      </c>
      <c r="C74" s="40" t="s">
        <v>1152</v>
      </c>
      <c r="D74" s="39" t="str">
        <f>REPLACE(C74,1,3, )</f>
        <v xml:space="preserve"> 659</v>
      </c>
      <c r="E74" s="40" t="s">
        <v>1152</v>
      </c>
      <c r="F74" s="39">
        <f>IF(C74=E74,0,1)</f>
        <v>0</v>
      </c>
      <c r="G74" s="82" t="s">
        <v>340</v>
      </c>
      <c r="H74" s="82" t="s">
        <v>1153</v>
      </c>
      <c r="I74" s="82" t="s">
        <v>1154</v>
      </c>
      <c r="J74" s="97">
        <v>35000</v>
      </c>
      <c r="K74" s="101">
        <v>0</v>
      </c>
      <c r="L74" s="100" t="s">
        <v>1384</v>
      </c>
      <c r="M74" s="96">
        <f>J74</f>
        <v>35000</v>
      </c>
      <c r="N74" s="102">
        <f>2000+1750+800+300+650</f>
        <v>5500</v>
      </c>
      <c r="O74" s="99">
        <f>M74+N74</f>
        <v>40500</v>
      </c>
      <c r="P74" s="104"/>
      <c r="Q74" s="77" t="s">
        <v>1383</v>
      </c>
      <c r="R74" s="44"/>
      <c r="S74" s="87">
        <f>R74+O74</f>
        <v>40500</v>
      </c>
      <c r="T74" s="87">
        <f>S74/0.7</f>
        <v>57857.142857142862</v>
      </c>
      <c r="U74" s="88">
        <f>T74/0.875</f>
        <v>66122.448979591849</v>
      </c>
      <c r="V74" s="89">
        <f>(U74-T74)/U74</f>
        <v>0.12500000000000008</v>
      </c>
      <c r="W74" s="88">
        <f>(ROUNDUP((U74/100),0))*100</f>
        <v>66200</v>
      </c>
      <c r="X74" s="90">
        <f>(T74-O74)/T74</f>
        <v>0.30000000000000004</v>
      </c>
      <c r="Y74" s="57">
        <v>59325</v>
      </c>
      <c r="Z74" s="58">
        <f>T74-Y74</f>
        <v>-1467.8571428571377</v>
      </c>
      <c r="AA74" s="59">
        <f>Z74/Y74</f>
        <v>-2.474264041899937E-2</v>
      </c>
    </row>
    <row r="75" spans="2:27" s="2" customFormat="1" ht="14.4" customHeight="1">
      <c r="B75" s="40">
        <v>422</v>
      </c>
      <c r="C75" s="40" t="s">
        <v>1354</v>
      </c>
      <c r="D75" s="39" t="str">
        <f>REPLACE(C75,1,3, )</f>
        <v xml:space="preserve"> 953</v>
      </c>
      <c r="E75" s="40" t="s">
        <v>1354</v>
      </c>
      <c r="F75" s="39">
        <f>IF(C75=E75,0,1)</f>
        <v>0</v>
      </c>
      <c r="G75" s="82" t="s">
        <v>340</v>
      </c>
      <c r="H75" s="82" t="s">
        <v>1072</v>
      </c>
      <c r="I75" s="82" t="s">
        <v>1073</v>
      </c>
      <c r="J75" s="41"/>
      <c r="K75" s="42">
        <f>J75-M75</f>
        <v>0</v>
      </c>
      <c r="L75" s="39" t="s">
        <v>22</v>
      </c>
      <c r="M75" s="43">
        <f>J75-N75</f>
        <v>0</v>
      </c>
      <c r="N75" s="49"/>
      <c r="O75" s="72">
        <f>M75+N75</f>
        <v>0</v>
      </c>
      <c r="P75" s="29"/>
      <c r="Q75" s="40"/>
      <c r="R75" s="44"/>
      <c r="S75" s="87">
        <f>R75+O75</f>
        <v>0</v>
      </c>
      <c r="T75" s="87">
        <f>S75/0.7</f>
        <v>0</v>
      </c>
      <c r="U75" s="88">
        <f>T75/0.875</f>
        <v>0</v>
      </c>
      <c r="V75" s="89" t="e">
        <f>(U75-T75)/U75</f>
        <v>#DIV/0!</v>
      </c>
      <c r="W75" s="88">
        <f>(ROUNDUP((U75/100),0))*100</f>
        <v>0</v>
      </c>
      <c r="X75" s="90" t="e">
        <f>(T75-O75)/T75</f>
        <v>#DIV/0!</v>
      </c>
      <c r="Y75" s="57">
        <v>147175</v>
      </c>
      <c r="Z75" s="58">
        <f>T75-Y75</f>
        <v>-147175</v>
      </c>
      <c r="AA75" s="59">
        <f>Z75/Y75</f>
        <v>-1</v>
      </c>
    </row>
    <row r="76" spans="2:27" s="2" customFormat="1" ht="14.4" customHeight="1">
      <c r="B76" s="40">
        <v>435</v>
      </c>
      <c r="C76" s="40" t="s">
        <v>1355</v>
      </c>
      <c r="D76" s="39" t="str">
        <f>REPLACE(C76,1,3, )</f>
        <v xml:space="preserve"> 223</v>
      </c>
      <c r="E76" s="40" t="s">
        <v>1355</v>
      </c>
      <c r="F76" s="39">
        <f>IF(C76=E76,0,1)</f>
        <v>0</v>
      </c>
      <c r="G76" s="82" t="s">
        <v>340</v>
      </c>
      <c r="H76" s="82" t="s">
        <v>1072</v>
      </c>
      <c r="I76" s="82" t="s">
        <v>1073</v>
      </c>
      <c r="J76" s="41"/>
      <c r="K76" s="42">
        <f>J76-M76</f>
        <v>0</v>
      </c>
      <c r="L76" s="39" t="s">
        <v>22</v>
      </c>
      <c r="M76" s="43">
        <f>J76-N76</f>
        <v>0</v>
      </c>
      <c r="N76" s="49"/>
      <c r="O76" s="72">
        <f>M76+N76</f>
        <v>0</v>
      </c>
      <c r="P76" s="29"/>
      <c r="Q76" s="40"/>
      <c r="R76" s="44"/>
      <c r="S76" s="87">
        <f>R76+O76</f>
        <v>0</v>
      </c>
      <c r="T76" s="87">
        <f>S76/0.7</f>
        <v>0</v>
      </c>
      <c r="U76" s="88">
        <f>T76/0.875</f>
        <v>0</v>
      </c>
      <c r="V76" s="89" t="e">
        <f>(U76-T76)/U76</f>
        <v>#DIV/0!</v>
      </c>
      <c r="W76" s="88">
        <f>(ROUNDUP((U76/100),0))*100</f>
        <v>0</v>
      </c>
      <c r="X76" s="90" t="e">
        <f>(T76-O76)/T76</f>
        <v>#DIV/0!</v>
      </c>
      <c r="Y76" s="57">
        <v>136500</v>
      </c>
      <c r="Z76" s="58">
        <f>T76-Y76</f>
        <v>-136500</v>
      </c>
      <c r="AA76" s="59">
        <f>Z76/Y76</f>
        <v>-1</v>
      </c>
    </row>
    <row r="77" spans="2:27" s="2" customFormat="1" ht="14.4" customHeight="1">
      <c r="B77" s="80">
        <v>442</v>
      </c>
      <c r="C77" s="40" t="s">
        <v>1122</v>
      </c>
      <c r="D77" s="39" t="str">
        <f>REPLACE(C77,1,3, )</f>
        <v xml:space="preserve"> 754</v>
      </c>
      <c r="E77" s="40" t="s">
        <v>1122</v>
      </c>
      <c r="F77" s="39">
        <f>IF(C77=E77,0,1)</f>
        <v>0</v>
      </c>
      <c r="G77" s="82" t="s">
        <v>340</v>
      </c>
      <c r="H77" s="82" t="s">
        <v>1072</v>
      </c>
      <c r="I77" s="82" t="s">
        <v>1073</v>
      </c>
      <c r="J77" s="41"/>
      <c r="K77" s="42">
        <f>J77-M77</f>
        <v>0</v>
      </c>
      <c r="L77" s="39" t="s">
        <v>22</v>
      </c>
      <c r="M77" s="43">
        <f>J77-N77</f>
        <v>0</v>
      </c>
      <c r="N77" s="43"/>
      <c r="O77" s="72">
        <f>M77+N77</f>
        <v>0</v>
      </c>
      <c r="P77" s="29"/>
      <c r="Q77" s="40"/>
      <c r="R77" s="44"/>
      <c r="S77" s="87">
        <f>R77+O77</f>
        <v>0</v>
      </c>
      <c r="T77" s="87">
        <f>S77/0.7</f>
        <v>0</v>
      </c>
      <c r="U77" s="88">
        <f>T77/0.875</f>
        <v>0</v>
      </c>
      <c r="V77" s="89" t="e">
        <f>(U77-T77)/U77</f>
        <v>#DIV/0!</v>
      </c>
      <c r="W77" s="88">
        <f>(ROUNDUP((U77/100),0))*100</f>
        <v>0</v>
      </c>
      <c r="X77" s="90" t="e">
        <f>(T77-O77)/T77</f>
        <v>#DIV/0!</v>
      </c>
      <c r="Y77" s="57">
        <v>102900</v>
      </c>
      <c r="Z77" s="58">
        <f>T77-Y77</f>
        <v>-102900</v>
      </c>
      <c r="AA77" s="59">
        <f>Z77/Y77</f>
        <v>-1</v>
      </c>
    </row>
    <row r="78" spans="2:27" s="2" customFormat="1" ht="14.4" customHeight="1">
      <c r="B78" s="40">
        <v>473</v>
      </c>
      <c r="C78" s="40" t="s">
        <v>1198</v>
      </c>
      <c r="D78" s="39" t="str">
        <f>REPLACE(C78,1,3, )</f>
        <v xml:space="preserve"> 669</v>
      </c>
      <c r="E78" s="40" t="s">
        <v>1198</v>
      </c>
      <c r="F78" s="39">
        <f>IF(C78=E78,0,1)</f>
        <v>0</v>
      </c>
      <c r="G78" s="82" t="s">
        <v>335</v>
      </c>
      <c r="H78" s="82" t="s">
        <v>1118</v>
      </c>
      <c r="I78" s="82" t="s">
        <v>1199</v>
      </c>
      <c r="J78" s="41">
        <f>M78</f>
        <v>69000</v>
      </c>
      <c r="K78" s="91">
        <f>J78-M78</f>
        <v>0</v>
      </c>
      <c r="L78" s="92" t="s">
        <v>1365</v>
      </c>
      <c r="M78" s="93">
        <v>69000</v>
      </c>
      <c r="N78" s="49">
        <f>2000+200+250+600+1000+3600+450</f>
        <v>8100</v>
      </c>
      <c r="O78" s="72">
        <f>M78+N78</f>
        <v>77100</v>
      </c>
      <c r="P78" s="29"/>
      <c r="Q78" s="40" t="s">
        <v>1386</v>
      </c>
      <c r="R78" s="44"/>
      <c r="S78" s="87">
        <f>R78+O78</f>
        <v>77100</v>
      </c>
      <c r="T78" s="87">
        <f>S78/0.7</f>
        <v>110142.85714285714</v>
      </c>
      <c r="U78" s="88">
        <f>T78/0.875</f>
        <v>125877.55102040817</v>
      </c>
      <c r="V78" s="89">
        <f>(U78-T78)/U78</f>
        <v>0.125</v>
      </c>
      <c r="W78" s="88">
        <f>(ROUNDUP((U78/100),0))*100</f>
        <v>125900</v>
      </c>
      <c r="X78" s="90">
        <f>(T78-O78)/T78</f>
        <v>0.3</v>
      </c>
      <c r="Y78" s="57"/>
      <c r="Z78" s="58"/>
      <c r="AA78" s="59"/>
    </row>
    <row r="79" spans="2:27" s="2" customFormat="1" ht="14.4" customHeight="1">
      <c r="B79" s="80">
        <v>482</v>
      </c>
      <c r="C79" s="40" t="s">
        <v>1220</v>
      </c>
      <c r="D79" s="39" t="str">
        <f>REPLACE(C79,1,3, )</f>
        <v xml:space="preserve"> 641</v>
      </c>
      <c r="E79" s="40" t="s">
        <v>1220</v>
      </c>
      <c r="F79" s="39">
        <f>IF(C79=E79,0,1)</f>
        <v>0</v>
      </c>
      <c r="G79" s="82" t="s">
        <v>335</v>
      </c>
      <c r="H79" s="82" t="s">
        <v>1118</v>
      </c>
      <c r="I79" s="82" t="s">
        <v>1199</v>
      </c>
      <c r="J79" s="41">
        <f>M79</f>
        <v>69000</v>
      </c>
      <c r="K79" s="91">
        <f>J79-M79</f>
        <v>0</v>
      </c>
      <c r="L79" s="92" t="s">
        <v>1365</v>
      </c>
      <c r="M79" s="93">
        <v>69000</v>
      </c>
      <c r="N79" s="49">
        <f>2000+200+250+600+1000+3600+450</f>
        <v>8100</v>
      </c>
      <c r="O79" s="72">
        <f>M79+N79</f>
        <v>77100</v>
      </c>
      <c r="P79" s="29"/>
      <c r="Q79" s="40" t="s">
        <v>1386</v>
      </c>
      <c r="R79" s="44"/>
      <c r="S79" s="87">
        <f>R79+O79</f>
        <v>77100</v>
      </c>
      <c r="T79" s="87">
        <f>S79/0.7</f>
        <v>110142.85714285714</v>
      </c>
      <c r="U79" s="88">
        <f>T79/0.875</f>
        <v>125877.55102040817</v>
      </c>
      <c r="V79" s="89">
        <f>(U79-T79)/U79</f>
        <v>0.125</v>
      </c>
      <c r="W79" s="88">
        <f>(ROUNDUP((U79/100),0))*100</f>
        <v>125900</v>
      </c>
      <c r="X79" s="90">
        <f>(T79-O79)/T79</f>
        <v>0.3</v>
      </c>
      <c r="Y79" s="57"/>
      <c r="Z79" s="58"/>
      <c r="AA79" s="59"/>
    </row>
    <row r="80" spans="2:27" s="2" customFormat="1" ht="14.4" customHeight="1">
      <c r="B80" s="40">
        <v>483</v>
      </c>
      <c r="C80" s="40" t="s">
        <v>1222</v>
      </c>
      <c r="D80" s="39" t="str">
        <f>REPLACE(C80,1,3, )</f>
        <v xml:space="preserve"> 100</v>
      </c>
      <c r="E80" s="40" t="s">
        <v>1222</v>
      </c>
      <c r="F80" s="39">
        <f>IF(C80=E80,0,1)</f>
        <v>0</v>
      </c>
      <c r="G80" s="82" t="s">
        <v>335</v>
      </c>
      <c r="H80" s="82" t="s">
        <v>1118</v>
      </c>
      <c r="I80" s="82" t="s">
        <v>1199</v>
      </c>
      <c r="J80" s="41">
        <f>M80</f>
        <v>0</v>
      </c>
      <c r="K80" s="91">
        <f>J80-M80</f>
        <v>0</v>
      </c>
      <c r="L80" s="92" t="s">
        <v>1365</v>
      </c>
      <c r="M80" s="93">
        <v>0</v>
      </c>
      <c r="N80" s="49">
        <f>2000+200+250+600+1000+3600+450</f>
        <v>8100</v>
      </c>
      <c r="O80" s="72">
        <f>M80+N80</f>
        <v>8100</v>
      </c>
      <c r="P80" s="29"/>
      <c r="Q80" s="40"/>
      <c r="R80" s="44"/>
      <c r="S80" s="87">
        <f>R80+O80</f>
        <v>8100</v>
      </c>
      <c r="T80" s="87">
        <f>S80/0.7</f>
        <v>11571.428571428572</v>
      </c>
      <c r="U80" s="88">
        <f>T80/0.875</f>
        <v>13224.489795918369</v>
      </c>
      <c r="V80" s="89">
        <f>(U80-T80)/U80</f>
        <v>0.12500000000000003</v>
      </c>
      <c r="W80" s="88">
        <f>(ROUNDUP((U80/100),0))*100</f>
        <v>13300</v>
      </c>
      <c r="X80" s="90">
        <f>(T80-O80)/T80</f>
        <v>0.30000000000000004</v>
      </c>
      <c r="Y80" s="57"/>
      <c r="Z80" s="58"/>
      <c r="AA80" s="59"/>
    </row>
    <row r="81" spans="2:27" s="2" customFormat="1" ht="14.4" customHeight="1">
      <c r="B81" s="80">
        <v>484</v>
      </c>
      <c r="C81" s="40" t="s">
        <v>1224</v>
      </c>
      <c r="D81" s="39" t="str">
        <f>REPLACE(C81,1,3, )</f>
        <v xml:space="preserve"> 539</v>
      </c>
      <c r="E81" s="40" t="s">
        <v>1224</v>
      </c>
      <c r="F81" s="39">
        <f>IF(C81=E81,0,1)</f>
        <v>0</v>
      </c>
      <c r="G81" s="82" t="s">
        <v>335</v>
      </c>
      <c r="H81" s="82" t="s">
        <v>1118</v>
      </c>
      <c r="I81" s="82" t="s">
        <v>1199</v>
      </c>
      <c r="J81" s="41">
        <f>M81</f>
        <v>69000</v>
      </c>
      <c r="K81" s="91">
        <f>J81-M81</f>
        <v>0</v>
      </c>
      <c r="L81" s="92" t="s">
        <v>1365</v>
      </c>
      <c r="M81" s="93">
        <v>69000</v>
      </c>
      <c r="N81" s="49">
        <f>2000+200+250+600+1000+3600+450</f>
        <v>8100</v>
      </c>
      <c r="O81" s="72">
        <f>M81+N81</f>
        <v>77100</v>
      </c>
      <c r="P81" s="29"/>
      <c r="Q81" s="40" t="s">
        <v>1386</v>
      </c>
      <c r="R81" s="44"/>
      <c r="S81" s="87">
        <f>R81+O81</f>
        <v>77100</v>
      </c>
      <c r="T81" s="87">
        <f>S81/0.7</f>
        <v>110142.85714285714</v>
      </c>
      <c r="U81" s="88">
        <f>T81/0.875</f>
        <v>125877.55102040817</v>
      </c>
      <c r="V81" s="89">
        <f>(U81-T81)/U81</f>
        <v>0.125</v>
      </c>
      <c r="W81" s="88">
        <f>(ROUNDUP((U81/100),0))*100</f>
        <v>125900</v>
      </c>
      <c r="X81" s="90">
        <f>(T81-O81)/T81</f>
        <v>0.3</v>
      </c>
      <c r="Y81" s="57"/>
      <c r="Z81" s="58"/>
      <c r="AA81" s="59"/>
    </row>
    <row r="82" spans="2:27" s="2" customFormat="1" ht="14.4" customHeight="1">
      <c r="B82" s="40">
        <v>485</v>
      </c>
      <c r="C82" s="40" t="s">
        <v>1226</v>
      </c>
      <c r="D82" s="39" t="str">
        <f>REPLACE(C82,1,3, )</f>
        <v xml:space="preserve"> 415</v>
      </c>
      <c r="E82" s="40" t="s">
        <v>1226</v>
      </c>
      <c r="F82" s="39">
        <f>IF(C82=E82,0,1)</f>
        <v>0</v>
      </c>
      <c r="G82" s="82" t="s">
        <v>335</v>
      </c>
      <c r="H82" s="82" t="s">
        <v>1118</v>
      </c>
      <c r="I82" s="82" t="s">
        <v>1199</v>
      </c>
      <c r="J82" s="41">
        <f>M82</f>
        <v>69000</v>
      </c>
      <c r="K82" s="91">
        <f>J82-M82</f>
        <v>0</v>
      </c>
      <c r="L82" s="92" t="s">
        <v>1365</v>
      </c>
      <c r="M82" s="93">
        <v>69000</v>
      </c>
      <c r="N82" s="49">
        <f>2000+200+250+600+1000+3600+450</f>
        <v>8100</v>
      </c>
      <c r="O82" s="72">
        <f>M82+N82</f>
        <v>77100</v>
      </c>
      <c r="P82" s="29"/>
      <c r="Q82" s="40" t="s">
        <v>1386</v>
      </c>
      <c r="R82" s="44"/>
      <c r="S82" s="87">
        <f>R82+O82</f>
        <v>77100</v>
      </c>
      <c r="T82" s="87">
        <f>S82/0.7</f>
        <v>110142.85714285714</v>
      </c>
      <c r="U82" s="88">
        <f>T82/0.875</f>
        <v>125877.55102040817</v>
      </c>
      <c r="V82" s="89">
        <f>(U82-T82)/U82</f>
        <v>0.125</v>
      </c>
      <c r="W82" s="88">
        <f>(ROUNDUP((U82/100),0))*100</f>
        <v>125900</v>
      </c>
      <c r="X82" s="90">
        <f>(T82-O82)/T82</f>
        <v>0.3</v>
      </c>
      <c r="Y82" s="57"/>
      <c r="Z82" s="58"/>
      <c r="AA82" s="59"/>
    </row>
    <row r="83" spans="2:27" s="2" customFormat="1" ht="14.4" customHeight="1">
      <c r="B83" s="80">
        <v>446</v>
      </c>
      <c r="C83" s="40" t="s">
        <v>1133</v>
      </c>
      <c r="D83" s="39" t="str">
        <f>REPLACE(C83,1,3, )</f>
        <v xml:space="preserve"> 929</v>
      </c>
      <c r="E83" s="40" t="s">
        <v>1133</v>
      </c>
      <c r="F83" s="39">
        <f>IF(C83=E83,0,1)</f>
        <v>0</v>
      </c>
      <c r="G83" s="82" t="s">
        <v>335</v>
      </c>
      <c r="H83" s="82" t="s">
        <v>1118</v>
      </c>
      <c r="I83" s="82" t="s">
        <v>1134</v>
      </c>
      <c r="J83" s="41">
        <v>87500</v>
      </c>
      <c r="K83" s="42">
        <f>J83-M83</f>
        <v>7400</v>
      </c>
      <c r="L83" s="39" t="s">
        <v>22</v>
      </c>
      <c r="M83" s="43">
        <f>J83-N83</f>
        <v>80100</v>
      </c>
      <c r="N83" s="43">
        <f>2000+200+600+1000+3600</f>
        <v>7400</v>
      </c>
      <c r="O83" s="72">
        <f>M83+N83</f>
        <v>87500</v>
      </c>
      <c r="P83" s="29"/>
      <c r="Q83" s="40" t="s">
        <v>1346</v>
      </c>
      <c r="R83" s="44"/>
      <c r="S83" s="87">
        <f>R83+O83</f>
        <v>87500</v>
      </c>
      <c r="T83" s="87">
        <f>S83/0.7</f>
        <v>125000.00000000001</v>
      </c>
      <c r="U83" s="88">
        <f>T83/0.875</f>
        <v>142857.14285714287</v>
      </c>
      <c r="V83" s="89">
        <f>(U83-T83)/U83</f>
        <v>0.12499999999999997</v>
      </c>
      <c r="W83" s="88">
        <f>(ROUNDUP((U83/100),0))*100</f>
        <v>142900</v>
      </c>
      <c r="X83" s="90">
        <f>(T83-O83)/T83</f>
        <v>0.3000000000000001</v>
      </c>
      <c r="Y83" s="57"/>
      <c r="Z83" s="58"/>
      <c r="AA83" s="59"/>
    </row>
    <row r="84" spans="2:27" s="2" customFormat="1" ht="14.4" customHeight="1">
      <c r="B84" s="40">
        <v>461</v>
      </c>
      <c r="C84" s="40" t="s">
        <v>1168</v>
      </c>
      <c r="D84" s="39" t="str">
        <f>REPLACE(C84,1,3, )</f>
        <v xml:space="preserve"> 228</v>
      </c>
      <c r="E84" s="40" t="s">
        <v>1168</v>
      </c>
      <c r="F84" s="39">
        <f>IF(C84=E84,0,1)</f>
        <v>0</v>
      </c>
      <c r="G84" s="82" t="s">
        <v>335</v>
      </c>
      <c r="H84" s="82" t="s">
        <v>1153</v>
      </c>
      <c r="I84" s="82" t="s">
        <v>1169</v>
      </c>
      <c r="J84" s="41"/>
      <c r="K84" s="42">
        <f>J84-M84</f>
        <v>0</v>
      </c>
      <c r="L84" s="39" t="s">
        <v>22</v>
      </c>
      <c r="M84" s="43">
        <f>J84-N84</f>
        <v>0</v>
      </c>
      <c r="N84" s="43"/>
      <c r="O84" s="72">
        <f>M84+N84</f>
        <v>0</v>
      </c>
      <c r="P84" s="29"/>
      <c r="Q84" s="40"/>
      <c r="R84" s="44"/>
      <c r="S84" s="87">
        <f>R84+O84</f>
        <v>0</v>
      </c>
      <c r="T84" s="87">
        <f>S84/0.7</f>
        <v>0</v>
      </c>
      <c r="U84" s="88">
        <f>T84/0.875</f>
        <v>0</v>
      </c>
      <c r="V84" s="89" t="e">
        <f>(U84-T84)/U84</f>
        <v>#DIV/0!</v>
      </c>
      <c r="W84" s="88">
        <f>(ROUNDUP((U84/100),0))*100</f>
        <v>0</v>
      </c>
      <c r="X84" s="90" t="e">
        <f>(T84-O84)/T84</f>
        <v>#DIV/0!</v>
      </c>
      <c r="Y84" s="57"/>
      <c r="Z84" s="58"/>
      <c r="AA84" s="59"/>
    </row>
    <row r="85" spans="2:27" s="2" customFormat="1" ht="14.4" customHeight="1">
      <c r="B85" s="80">
        <v>462</v>
      </c>
      <c r="C85" s="40" t="s">
        <v>1171</v>
      </c>
      <c r="D85" s="39" t="str">
        <f>REPLACE(C85,1,3, )</f>
        <v xml:space="preserve"> 792</v>
      </c>
      <c r="E85" s="40" t="s">
        <v>1171</v>
      </c>
      <c r="F85" s="39">
        <f>IF(C85=E85,0,1)</f>
        <v>0</v>
      </c>
      <c r="G85" s="82" t="s">
        <v>335</v>
      </c>
      <c r="H85" s="82" t="s">
        <v>1153</v>
      </c>
      <c r="I85" s="82" t="s">
        <v>1169</v>
      </c>
      <c r="J85" s="41"/>
      <c r="K85" s="42">
        <f>J85-M85</f>
        <v>0</v>
      </c>
      <c r="L85" s="39" t="s">
        <v>22</v>
      </c>
      <c r="M85" s="43">
        <f>J85-N85</f>
        <v>0</v>
      </c>
      <c r="N85" s="43"/>
      <c r="O85" s="72">
        <f>M85+N85</f>
        <v>0</v>
      </c>
      <c r="P85" s="29"/>
      <c r="Q85" s="40"/>
      <c r="R85" s="44"/>
      <c r="S85" s="87">
        <f>R85+O85</f>
        <v>0</v>
      </c>
      <c r="T85" s="87">
        <f>S85/0.7</f>
        <v>0</v>
      </c>
      <c r="U85" s="88">
        <f>T85/0.875</f>
        <v>0</v>
      </c>
      <c r="V85" s="89" t="e">
        <f>(U85-T85)/U85</f>
        <v>#DIV/0!</v>
      </c>
      <c r="W85" s="88">
        <f>(ROUNDUP((U85/100),0))*100</f>
        <v>0</v>
      </c>
      <c r="X85" s="90" t="e">
        <f>(T85-O85)/T85</f>
        <v>#DIV/0!</v>
      </c>
      <c r="Y85" s="57"/>
      <c r="Z85" s="58"/>
      <c r="AA85" s="59"/>
    </row>
    <row r="86" spans="2:27" s="2" customFormat="1" ht="14.4" customHeight="1">
      <c r="B86" s="80">
        <v>464</v>
      </c>
      <c r="C86" s="40" t="s">
        <v>1175</v>
      </c>
      <c r="D86" s="39" t="str">
        <f>REPLACE(C86,1,3, )</f>
        <v xml:space="preserve"> 786</v>
      </c>
      <c r="E86" s="40" t="s">
        <v>1175</v>
      </c>
      <c r="F86" s="39">
        <f>IF(C86=E86,0,1)</f>
        <v>0</v>
      </c>
      <c r="G86" s="82" t="s">
        <v>335</v>
      </c>
      <c r="H86" s="82" t="s">
        <v>1153</v>
      </c>
      <c r="I86" s="82" t="s">
        <v>1169</v>
      </c>
      <c r="J86" s="41"/>
      <c r="K86" s="42">
        <f>J86-M86</f>
        <v>0</v>
      </c>
      <c r="L86" s="39" t="s">
        <v>22</v>
      </c>
      <c r="M86" s="43">
        <f>J86-N86</f>
        <v>0</v>
      </c>
      <c r="N86" s="43"/>
      <c r="O86" s="72">
        <f>M86+N86</f>
        <v>0</v>
      </c>
      <c r="P86" s="29"/>
      <c r="Q86" s="40"/>
      <c r="R86" s="44"/>
      <c r="S86" s="87">
        <f>R86+O86</f>
        <v>0</v>
      </c>
      <c r="T86" s="87">
        <f>S86/0.7</f>
        <v>0</v>
      </c>
      <c r="U86" s="88">
        <f>T86/0.875</f>
        <v>0</v>
      </c>
      <c r="V86" s="89" t="e">
        <f>(U86-T86)/U86</f>
        <v>#DIV/0!</v>
      </c>
      <c r="W86" s="88">
        <f>(ROUNDUP((U86/100),0))*100</f>
        <v>0</v>
      </c>
      <c r="X86" s="90" t="e">
        <f>(T86-O86)/T86</f>
        <v>#DIV/0!</v>
      </c>
      <c r="Y86" s="57"/>
      <c r="Z86" s="58"/>
      <c r="AA86" s="59"/>
    </row>
    <row r="87" spans="2:27" s="2" customFormat="1" ht="14.4" customHeight="1">
      <c r="B87" s="40">
        <v>426</v>
      </c>
      <c r="C87" s="40" t="s">
        <v>1140</v>
      </c>
      <c r="D87" s="39" t="str">
        <f>REPLACE(C87,1,3, )</f>
        <v xml:space="preserve"> 562</v>
      </c>
      <c r="E87" s="40" t="s">
        <v>1140</v>
      </c>
      <c r="F87" s="39">
        <f>IF(C87=E87,0,1)</f>
        <v>0</v>
      </c>
      <c r="G87" s="82" t="s">
        <v>340</v>
      </c>
      <c r="H87" s="82" t="s">
        <v>1072</v>
      </c>
      <c r="I87" s="82" t="s">
        <v>1083</v>
      </c>
      <c r="J87" s="41"/>
      <c r="K87" s="42">
        <f>J87-M87</f>
        <v>0</v>
      </c>
      <c r="L87" s="39" t="s">
        <v>22</v>
      </c>
      <c r="M87" s="43">
        <f>J87-N87</f>
        <v>0</v>
      </c>
      <c r="N87" s="49"/>
      <c r="O87" s="72">
        <f>M87+N87</f>
        <v>0</v>
      </c>
      <c r="P87" s="29"/>
      <c r="Q87" s="40"/>
      <c r="R87" s="44"/>
      <c r="S87" s="87">
        <f>R87+O87</f>
        <v>0</v>
      </c>
      <c r="T87" s="87">
        <f>S87/0.7</f>
        <v>0</v>
      </c>
      <c r="U87" s="88">
        <f>T87/0.875</f>
        <v>0</v>
      </c>
      <c r="V87" s="89" t="e">
        <f>(U87-T87)/U87</f>
        <v>#DIV/0!</v>
      </c>
      <c r="W87" s="88">
        <f>(ROUNDUP((U87/100),0))*100</f>
        <v>0</v>
      </c>
      <c r="X87" s="90" t="e">
        <f>(T87-O87)/T87</f>
        <v>#DIV/0!</v>
      </c>
      <c r="Y87" s="57">
        <v>100800</v>
      </c>
      <c r="Z87" s="58">
        <f>T87-Y87</f>
        <v>-100800</v>
      </c>
      <c r="AA87" s="59">
        <f>Z87/Y87</f>
        <v>-1</v>
      </c>
    </row>
    <row r="88" spans="2:27" s="2" customFormat="1" ht="14.4" customHeight="1">
      <c r="B88" s="40">
        <v>449</v>
      </c>
      <c r="C88" s="40" t="s">
        <v>1140</v>
      </c>
      <c r="D88" s="39" t="str">
        <f>REPLACE(C88,1,3, )</f>
        <v xml:space="preserve"> 562</v>
      </c>
      <c r="E88" s="40" t="s">
        <v>1140</v>
      </c>
      <c r="F88" s="39">
        <f>IF(C88=E88,0,1)</f>
        <v>0</v>
      </c>
      <c r="G88" s="82" t="s">
        <v>340</v>
      </c>
      <c r="H88" s="82" t="s">
        <v>1072</v>
      </c>
      <c r="I88" s="82" t="s">
        <v>1083</v>
      </c>
      <c r="J88" s="41"/>
      <c r="K88" s="42">
        <f>J88-M88</f>
        <v>0</v>
      </c>
      <c r="L88" s="39" t="s">
        <v>22</v>
      </c>
      <c r="M88" s="43">
        <f>J88-N88</f>
        <v>0</v>
      </c>
      <c r="N88" s="43"/>
      <c r="O88" s="72">
        <f>M88+N88</f>
        <v>0</v>
      </c>
      <c r="P88" s="29"/>
      <c r="Q88" s="40"/>
      <c r="R88" s="44"/>
      <c r="S88" s="87">
        <f>R88+O88</f>
        <v>0</v>
      </c>
      <c r="T88" s="87">
        <f>S88/0.7</f>
        <v>0</v>
      </c>
      <c r="U88" s="88">
        <f>T88/0.875</f>
        <v>0</v>
      </c>
      <c r="V88" s="89" t="e">
        <f>(U88-T88)/U88</f>
        <v>#DIV/0!</v>
      </c>
      <c r="W88" s="88">
        <f>(ROUNDUP((U88/100),0))*100</f>
        <v>0</v>
      </c>
      <c r="X88" s="90" t="e">
        <f>(T88-O88)/T88</f>
        <v>#DIV/0!</v>
      </c>
      <c r="Y88" s="57"/>
      <c r="Z88" s="58">
        <f>T88-Y88</f>
        <v>0</v>
      </c>
      <c r="AA88" s="59" t="e">
        <f>Z88/Y88</f>
        <v>#DIV/0!</v>
      </c>
    </row>
    <row r="89" spans="2:27" s="2" customFormat="1" ht="14.4" customHeight="1">
      <c r="B89" s="80">
        <v>492</v>
      </c>
      <c r="C89" s="40" t="s">
        <v>1242</v>
      </c>
      <c r="D89" s="39" t="str">
        <f>REPLACE(C89,1,3, )</f>
        <v xml:space="preserve"> 579</v>
      </c>
      <c r="E89" s="40" t="s">
        <v>1242</v>
      </c>
      <c r="F89" s="39">
        <f>IF(C89=E89,0,1)</f>
        <v>0</v>
      </c>
      <c r="G89" s="82" t="s">
        <v>335</v>
      </c>
      <c r="H89" s="82" t="s">
        <v>1072</v>
      </c>
      <c r="I89" s="82" t="s">
        <v>1083</v>
      </c>
      <c r="J89" s="41"/>
      <c r="K89" s="42">
        <f>J89-M89</f>
        <v>0</v>
      </c>
      <c r="L89" s="39" t="s">
        <v>22</v>
      </c>
      <c r="M89" s="43">
        <f>J89-N89</f>
        <v>0</v>
      </c>
      <c r="N89" s="43"/>
      <c r="O89" s="72">
        <f>M89+N89</f>
        <v>0</v>
      </c>
      <c r="P89" s="29"/>
      <c r="Q89" s="40"/>
      <c r="R89" s="44"/>
      <c r="S89" s="87">
        <f>R89+O89</f>
        <v>0</v>
      </c>
      <c r="T89" s="87">
        <f>S89/0.7</f>
        <v>0</v>
      </c>
      <c r="U89" s="88">
        <f>T89/0.875</f>
        <v>0</v>
      </c>
      <c r="V89" s="89" t="e">
        <f>(U89-T89)/U89</f>
        <v>#DIV/0!</v>
      </c>
      <c r="W89" s="88">
        <f>(ROUNDUP((U89/100),0))*100</f>
        <v>0</v>
      </c>
      <c r="X89" s="90" t="e">
        <f>(T89-O89)/T89</f>
        <v>#DIV/0!</v>
      </c>
      <c r="Y89" s="57"/>
      <c r="Z89" s="58"/>
      <c r="AA89" s="59"/>
    </row>
    <row r="90" spans="2:27" s="2" customFormat="1" ht="14.4" customHeight="1">
      <c r="B90" s="39">
        <v>458</v>
      </c>
      <c r="C90" s="80" t="s">
        <v>1160</v>
      </c>
      <c r="D90" s="39" t="str">
        <f>REPLACE(C90,1,3, )</f>
        <v xml:space="preserve"> 101</v>
      </c>
      <c r="E90" s="80" t="s">
        <v>1160</v>
      </c>
      <c r="F90" s="80">
        <f>SUM(F91:F121)</f>
        <v>0</v>
      </c>
      <c r="G90" s="82" t="s">
        <v>1321</v>
      </c>
      <c r="H90" s="82" t="s">
        <v>1153</v>
      </c>
      <c r="I90" s="82" t="s">
        <v>1161</v>
      </c>
      <c r="J90" s="41">
        <v>41900</v>
      </c>
      <c r="K90" s="42">
        <f>J90-M90</f>
        <v>5900</v>
      </c>
      <c r="L90" s="39" t="s">
        <v>22</v>
      </c>
      <c r="M90" s="43">
        <f>J90-N90</f>
        <v>36000</v>
      </c>
      <c r="N90" s="43">
        <v>5900</v>
      </c>
      <c r="O90" s="72">
        <f>M90+N90</f>
        <v>41900</v>
      </c>
      <c r="P90" s="29"/>
      <c r="Q90" s="40" t="s">
        <v>1323</v>
      </c>
      <c r="R90" s="44"/>
      <c r="S90" s="87">
        <f>R90+O90</f>
        <v>41900</v>
      </c>
      <c r="T90" s="87">
        <f>S90/0.7</f>
        <v>59857.142857142862</v>
      </c>
      <c r="U90" s="88">
        <f>T90/0.875</f>
        <v>68408.163265306124</v>
      </c>
      <c r="V90" s="89">
        <f>(U90-T90)/U90</f>
        <v>0.12499999999999994</v>
      </c>
      <c r="W90" s="88">
        <f>(ROUNDUP((U90/100),0))*100</f>
        <v>68500</v>
      </c>
      <c r="X90" s="90">
        <f>(T90-O90)/T90</f>
        <v>0.30000000000000004</v>
      </c>
      <c r="Y90" s="57"/>
      <c r="Z90" s="58"/>
      <c r="AA90" s="59"/>
    </row>
    <row r="91" spans="2:27" s="2" customFormat="1" ht="14.4" customHeight="1">
      <c r="B91" s="39">
        <v>460</v>
      </c>
      <c r="C91" s="80" t="s">
        <v>1166</v>
      </c>
      <c r="D91" s="39" t="str">
        <f>REPLACE(C91,1,3, )</f>
        <v xml:space="preserve"> 581</v>
      </c>
      <c r="E91" s="80" t="s">
        <v>1166</v>
      </c>
      <c r="F91" s="80">
        <f>SUM(F92:F121)</f>
        <v>0</v>
      </c>
      <c r="G91" s="82" t="s">
        <v>1321</v>
      </c>
      <c r="H91" s="82" t="s">
        <v>1153</v>
      </c>
      <c r="I91" s="82" t="s">
        <v>1161</v>
      </c>
      <c r="J91" s="52">
        <v>41900</v>
      </c>
      <c r="K91" s="42">
        <f>J91-M91</f>
        <v>5900</v>
      </c>
      <c r="L91" s="39" t="s">
        <v>22</v>
      </c>
      <c r="M91" s="43">
        <f>J91-N91</f>
        <v>36000</v>
      </c>
      <c r="N91" s="52">
        <v>5900</v>
      </c>
      <c r="O91" s="72">
        <f>M91+N91</f>
        <v>41900</v>
      </c>
      <c r="P91" s="29"/>
      <c r="Q91" s="40" t="s">
        <v>1323</v>
      </c>
      <c r="R91" s="44"/>
      <c r="S91" s="87">
        <f>R91+O91</f>
        <v>41900</v>
      </c>
      <c r="T91" s="87">
        <f>S91/0.7</f>
        <v>59857.142857142862</v>
      </c>
      <c r="U91" s="88">
        <f>T91/0.875</f>
        <v>68408.163265306124</v>
      </c>
      <c r="V91" s="89">
        <f>(U91-T91)/U91</f>
        <v>0.12499999999999994</v>
      </c>
      <c r="W91" s="88">
        <f>(ROUNDUP((U91/100),0))*100</f>
        <v>68500</v>
      </c>
      <c r="X91" s="90">
        <f>(T91-O91)/T91</f>
        <v>0.30000000000000004</v>
      </c>
      <c r="Y91" s="57"/>
      <c r="Z91" s="58"/>
      <c r="AA91" s="59"/>
    </row>
    <row r="92" spans="2:27" s="2" customFormat="1" ht="14.4" customHeight="1">
      <c r="B92" s="39">
        <v>463</v>
      </c>
      <c r="C92" s="80" t="s">
        <v>1173</v>
      </c>
      <c r="D92" s="39" t="str">
        <f>REPLACE(C92,1,3, )</f>
        <v xml:space="preserve"> 728</v>
      </c>
      <c r="E92" s="80" t="s">
        <v>1173</v>
      </c>
      <c r="F92" s="80">
        <f>SUM(F93:F121)</f>
        <v>0</v>
      </c>
      <c r="G92" s="82" t="s">
        <v>1321</v>
      </c>
      <c r="H92" s="82" t="s">
        <v>1153</v>
      </c>
      <c r="I92" s="82" t="s">
        <v>1161</v>
      </c>
      <c r="J92" s="52">
        <v>39900</v>
      </c>
      <c r="K92" s="42">
        <f>J92-M92</f>
        <v>4900</v>
      </c>
      <c r="L92" s="39" t="s">
        <v>22</v>
      </c>
      <c r="M92" s="43">
        <f>J92-N92</f>
        <v>35000</v>
      </c>
      <c r="N92" s="52">
        <v>4900</v>
      </c>
      <c r="O92" s="72">
        <f>M92+N92</f>
        <v>39900</v>
      </c>
      <c r="P92" s="29"/>
      <c r="Q92" s="40" t="s">
        <v>1324</v>
      </c>
      <c r="R92" s="44"/>
      <c r="S92" s="87">
        <f>R92+O92</f>
        <v>39900</v>
      </c>
      <c r="T92" s="87">
        <f>S92/0.7</f>
        <v>57000</v>
      </c>
      <c r="U92" s="88">
        <f>T92/0.875</f>
        <v>65142.857142857145</v>
      </c>
      <c r="V92" s="89">
        <f>(U92-T92)/U92</f>
        <v>0.12500000000000003</v>
      </c>
      <c r="W92" s="88">
        <f>(ROUNDUP((U92/100),0))*100</f>
        <v>65200</v>
      </c>
      <c r="X92" s="90">
        <f>(T92-O92)/T92</f>
        <v>0.3</v>
      </c>
      <c r="Y92" s="57"/>
      <c r="Z92" s="58"/>
      <c r="AA92" s="59"/>
    </row>
    <row r="93" spans="2:27" s="2" customFormat="1" ht="14.4" customHeight="1">
      <c r="B93" s="80">
        <v>504</v>
      </c>
      <c r="C93" s="40" t="s">
        <v>1274</v>
      </c>
      <c r="D93" s="39" t="str">
        <f>REPLACE(C93,1,3, )</f>
        <v xml:space="preserve"> 494</v>
      </c>
      <c r="E93" s="40" t="s">
        <v>1274</v>
      </c>
      <c r="F93" s="39">
        <f>IF(C93=E93,0,1)</f>
        <v>0</v>
      </c>
      <c r="G93" s="82" t="s">
        <v>340</v>
      </c>
      <c r="H93" s="82" t="s">
        <v>1253</v>
      </c>
      <c r="I93" s="82" t="s">
        <v>1161</v>
      </c>
      <c r="J93" s="41"/>
      <c r="K93" s="42">
        <f>J93-M93</f>
        <v>0</v>
      </c>
      <c r="L93" s="39" t="s">
        <v>22</v>
      </c>
      <c r="M93" s="43">
        <f>J93-N93</f>
        <v>0</v>
      </c>
      <c r="N93" s="43"/>
      <c r="O93" s="72">
        <f>M93+N93</f>
        <v>0</v>
      </c>
      <c r="P93" s="29"/>
      <c r="Q93" s="40"/>
      <c r="R93" s="44"/>
      <c r="S93" s="87">
        <f>R93+O93</f>
        <v>0</v>
      </c>
      <c r="T93" s="87">
        <f>S93/0.7</f>
        <v>0</v>
      </c>
      <c r="U93" s="88">
        <f>T93/0.875</f>
        <v>0</v>
      </c>
      <c r="V93" s="89" t="e">
        <f>(U93-T93)/U93</f>
        <v>#DIV/0!</v>
      </c>
      <c r="W93" s="88">
        <f>(ROUNDUP((U93/100),0))*100</f>
        <v>0</v>
      </c>
      <c r="X93" s="90" t="e">
        <f>(T93-O93)/T93</f>
        <v>#DIV/0!</v>
      </c>
      <c r="Y93" s="57">
        <v>42875</v>
      </c>
      <c r="Z93" s="58">
        <f>T93-Y93</f>
        <v>-42875</v>
      </c>
      <c r="AA93" s="59">
        <f>Z93/Y93</f>
        <v>-1</v>
      </c>
    </row>
    <row r="94" spans="2:27" s="2" customFormat="1" ht="14.4" customHeight="1">
      <c r="B94" s="40">
        <v>477</v>
      </c>
      <c r="C94" s="40" t="s">
        <v>1208</v>
      </c>
      <c r="D94" s="39" t="str">
        <f>REPLACE(C94,1,3, )</f>
        <v xml:space="preserve"> 666</v>
      </c>
      <c r="E94" s="40" t="s">
        <v>1208</v>
      </c>
      <c r="F94" s="39">
        <f>IF(C94=E94,0,1)</f>
        <v>0</v>
      </c>
      <c r="G94" s="82" t="s">
        <v>335</v>
      </c>
      <c r="H94" s="82" t="s">
        <v>1183</v>
      </c>
      <c r="I94" s="82" t="s">
        <v>1209</v>
      </c>
      <c r="J94" s="41"/>
      <c r="K94" s="42">
        <f>J94-M94</f>
        <v>0</v>
      </c>
      <c r="L94" s="39" t="s">
        <v>22</v>
      </c>
      <c r="M94" s="43">
        <f>J94-N94</f>
        <v>0</v>
      </c>
      <c r="N94" s="43"/>
      <c r="O94" s="72">
        <f>M94+N94</f>
        <v>0</v>
      </c>
      <c r="P94" s="29"/>
      <c r="Q94" s="40"/>
      <c r="R94" s="44"/>
      <c r="S94" s="87">
        <f>R94+O94</f>
        <v>0</v>
      </c>
      <c r="T94" s="87">
        <f>S94/0.7</f>
        <v>0</v>
      </c>
      <c r="U94" s="88">
        <f>T94/0.875</f>
        <v>0</v>
      </c>
      <c r="V94" s="89" t="e">
        <f>(U94-T94)/U94</f>
        <v>#DIV/0!</v>
      </c>
      <c r="W94" s="88">
        <f>(ROUNDUP((U94/100),0))*100</f>
        <v>0</v>
      </c>
      <c r="X94" s="90" t="e">
        <f>(T94-O94)/T94</f>
        <v>#DIV/0!</v>
      </c>
      <c r="Y94" s="57"/>
      <c r="Z94" s="58"/>
      <c r="AA94" s="59"/>
    </row>
    <row r="95" spans="2:27" s="2" customFormat="1" ht="14.4" customHeight="1">
      <c r="B95" s="40">
        <v>481</v>
      </c>
      <c r="C95" s="40" t="s">
        <v>1218</v>
      </c>
      <c r="D95" s="39" t="str">
        <f>REPLACE(C95,1,3, )</f>
        <v xml:space="preserve"> 409</v>
      </c>
      <c r="E95" s="40" t="s">
        <v>1218</v>
      </c>
      <c r="F95" s="39">
        <f>IF(C95=E95,0,1)</f>
        <v>0</v>
      </c>
      <c r="G95" s="82" t="s">
        <v>335</v>
      </c>
      <c r="H95" s="82" t="s">
        <v>1183</v>
      </c>
      <c r="I95" s="82" t="s">
        <v>1209</v>
      </c>
      <c r="J95" s="41"/>
      <c r="K95" s="42">
        <f>J95-M95</f>
        <v>0</v>
      </c>
      <c r="L95" s="39" t="s">
        <v>22</v>
      </c>
      <c r="M95" s="43">
        <f>J95-N95</f>
        <v>0</v>
      </c>
      <c r="N95" s="43"/>
      <c r="O95" s="72">
        <f>M95+N95</f>
        <v>0</v>
      </c>
      <c r="P95" s="29"/>
      <c r="Q95" s="40"/>
      <c r="R95" s="44"/>
      <c r="S95" s="87">
        <f>R95+O95</f>
        <v>0</v>
      </c>
      <c r="T95" s="87">
        <f>S95/0.7</f>
        <v>0</v>
      </c>
      <c r="U95" s="88">
        <f>T95/0.875</f>
        <v>0</v>
      </c>
      <c r="V95" s="89" t="e">
        <f>(U95-T95)/U95</f>
        <v>#DIV/0!</v>
      </c>
      <c r="W95" s="88">
        <f>(ROUNDUP((U95/100),0))*100</f>
        <v>0</v>
      </c>
      <c r="X95" s="90" t="e">
        <f>(T95-O95)/T95</f>
        <v>#DIV/0!</v>
      </c>
      <c r="Y95" s="57"/>
      <c r="Z95" s="58"/>
      <c r="AA95" s="59"/>
    </row>
    <row r="96" spans="2:27" s="2" customFormat="1" ht="14.4" customHeight="1">
      <c r="B96" s="80">
        <v>452</v>
      </c>
      <c r="C96" s="40" t="s">
        <v>379</v>
      </c>
      <c r="D96" s="39" t="str">
        <f>REPLACE(C96,1,3, )</f>
        <v/>
      </c>
      <c r="E96" s="40" t="s">
        <v>379</v>
      </c>
      <c r="F96" s="39">
        <f>IF(C96=E96,0,1)</f>
        <v>0</v>
      </c>
      <c r="G96" s="82"/>
      <c r="H96" s="82"/>
      <c r="I96" s="82"/>
      <c r="J96" s="41"/>
      <c r="K96" s="42">
        <f>J96-M96</f>
        <v>0</v>
      </c>
      <c r="L96" s="39" t="s">
        <v>22</v>
      </c>
      <c r="M96" s="43">
        <f>J96-N96</f>
        <v>0</v>
      </c>
      <c r="N96" s="43"/>
      <c r="O96" s="72">
        <f>M96+N96</f>
        <v>0</v>
      </c>
      <c r="P96" s="29"/>
      <c r="Q96" s="40"/>
      <c r="R96" s="44"/>
      <c r="S96" s="87">
        <f>R96+O96</f>
        <v>0</v>
      </c>
      <c r="T96" s="87">
        <f>S96/0.7</f>
        <v>0</v>
      </c>
      <c r="U96" s="88">
        <f>T96/0.875</f>
        <v>0</v>
      </c>
      <c r="V96" s="89" t="e">
        <f>(U96-T96)/U96</f>
        <v>#DIV/0!</v>
      </c>
      <c r="W96" s="88">
        <f>(ROUNDUP((U96/100),0))*100</f>
        <v>0</v>
      </c>
      <c r="X96" s="90" t="e">
        <f>(T96-O96)/T96</f>
        <v>#DIV/0!</v>
      </c>
      <c r="Y96" s="57"/>
      <c r="Z96" s="58"/>
      <c r="AA96" s="59"/>
    </row>
  </sheetData>
  <autoFilter ref="B3:AA96">
    <filterColumn colId="5"/>
    <filterColumn colId="7"/>
    <sortState ref="B4:AA96">
      <sortCondition ref="I3:I96"/>
    </sortState>
  </autoFilter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2018-11-14T09:45:13Z</dcterms:modified>
</cp:coreProperties>
</file>