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8192" windowHeight="7488" activeTab="1"/>
  </bookViews>
  <sheets>
    <sheet name="BCL 2018" sheetId="4" r:id="rId1"/>
    <sheet name="Sheet1" sheetId="5" r:id="rId2"/>
  </sheets>
  <definedNames>
    <definedName name="_xlnm._FilterDatabase" localSheetId="0" hidden="1">'BCL 2018'!$A$6:$FG$426</definedName>
    <definedName name="_xlnm._FilterDatabase" localSheetId="1" hidden="1">Sheet1!$B$3:$AA$96</definedName>
  </definedNames>
  <calcPr calcId="124519"/>
</workbook>
</file>

<file path=xl/calcChain.xml><?xml version="1.0" encoding="utf-8"?>
<calcChain xmlns="http://schemas.openxmlformats.org/spreadsheetml/2006/main">
  <c r="N90" i="5"/>
  <c r="N81"/>
  <c r="N47" l="1"/>
  <c r="N58" l="1"/>
  <c r="N77"/>
  <c r="N55"/>
  <c r="N53"/>
  <c r="N69"/>
  <c r="N61"/>
  <c r="N51"/>
  <c r="N50"/>
  <c r="N57"/>
  <c r="N76"/>
  <c r="N71"/>
  <c r="N63"/>
  <c r="J63"/>
  <c r="M96"/>
  <c r="K96" s="1"/>
  <c r="F96"/>
  <c r="D96"/>
  <c r="N95"/>
  <c r="M95"/>
  <c r="O95" s="1"/>
  <c r="S95" s="1"/>
  <c r="T95" s="1"/>
  <c r="F95"/>
  <c r="D95"/>
  <c r="N94"/>
  <c r="M94" s="1"/>
  <c r="F94"/>
  <c r="F93" s="1"/>
  <c r="F92" s="1"/>
  <c r="D94"/>
  <c r="O93"/>
  <c r="S93" s="1"/>
  <c r="T93" s="1"/>
  <c r="M93"/>
  <c r="K93" s="1"/>
  <c r="D93"/>
  <c r="M92"/>
  <c r="K92" s="1"/>
  <c r="D92"/>
  <c r="M91"/>
  <c r="O91" s="1"/>
  <c r="S91" s="1"/>
  <c r="T91" s="1"/>
  <c r="K91"/>
  <c r="F91"/>
  <c r="D91"/>
  <c r="M90"/>
  <c r="O90" s="1"/>
  <c r="S90" s="1"/>
  <c r="T90" s="1"/>
  <c r="F90"/>
  <c r="D90"/>
  <c r="N89"/>
  <c r="M89" s="1"/>
  <c r="O89" s="1"/>
  <c r="S89" s="1"/>
  <c r="T89" s="1"/>
  <c r="F89"/>
  <c r="D89"/>
  <c r="M88"/>
  <c r="K88" s="1"/>
  <c r="D88"/>
  <c r="M87"/>
  <c r="K87" s="1"/>
  <c r="F87"/>
  <c r="D87"/>
  <c r="M86"/>
  <c r="K86" s="1"/>
  <c r="D86"/>
  <c r="M85"/>
  <c r="K85" s="1"/>
  <c r="F85"/>
  <c r="D85"/>
  <c r="N84"/>
  <c r="M84" s="1"/>
  <c r="F84"/>
  <c r="D84"/>
  <c r="N83"/>
  <c r="M83"/>
  <c r="O83" s="1"/>
  <c r="S83" s="1"/>
  <c r="T83" s="1"/>
  <c r="F83"/>
  <c r="D83"/>
  <c r="N82"/>
  <c r="M82"/>
  <c r="K82" s="1"/>
  <c r="F82"/>
  <c r="D82"/>
  <c r="M81"/>
  <c r="O81" s="1"/>
  <c r="S81" s="1"/>
  <c r="T81" s="1"/>
  <c r="F81"/>
  <c r="D81"/>
  <c r="N80"/>
  <c r="M80"/>
  <c r="K80" s="1"/>
  <c r="F80"/>
  <c r="D80"/>
  <c r="N79"/>
  <c r="M79"/>
  <c r="O79" s="1"/>
  <c r="S79" s="1"/>
  <c r="T79" s="1"/>
  <c r="F79"/>
  <c r="D79"/>
  <c r="N78"/>
  <c r="O78" s="1"/>
  <c r="S78" s="1"/>
  <c r="T78" s="1"/>
  <c r="M78"/>
  <c r="K78" s="1"/>
  <c r="F78"/>
  <c r="D78"/>
  <c r="O77"/>
  <c r="S77" s="1"/>
  <c r="T77" s="1"/>
  <c r="J77"/>
  <c r="K77" s="1"/>
  <c r="F77"/>
  <c r="D77"/>
  <c r="O76"/>
  <c r="S76" s="1"/>
  <c r="T76" s="1"/>
  <c r="J76"/>
  <c r="K76" s="1"/>
  <c r="F76"/>
  <c r="D76"/>
  <c r="O75"/>
  <c r="S75" s="1"/>
  <c r="T75" s="1"/>
  <c r="M75"/>
  <c r="K75" s="1"/>
  <c r="F75"/>
  <c r="D75"/>
  <c r="N74"/>
  <c r="M74"/>
  <c r="O74" s="1"/>
  <c r="S74" s="1"/>
  <c r="T74" s="1"/>
  <c r="F74"/>
  <c r="D74"/>
  <c r="O73"/>
  <c r="S73" s="1"/>
  <c r="T73" s="1"/>
  <c r="N73"/>
  <c r="J73"/>
  <c r="K73" s="1"/>
  <c r="F73"/>
  <c r="D73"/>
  <c r="M72"/>
  <c r="K72" s="1"/>
  <c r="F72"/>
  <c r="D72"/>
  <c r="O71"/>
  <c r="S71" s="1"/>
  <c r="T71" s="1"/>
  <c r="J71"/>
  <c r="K71" s="1"/>
  <c r="F71"/>
  <c r="D71"/>
  <c r="N70"/>
  <c r="O70" s="1"/>
  <c r="S70" s="1"/>
  <c r="T70" s="1"/>
  <c r="J70"/>
  <c r="K70" s="1"/>
  <c r="F70"/>
  <c r="D70"/>
  <c r="O69"/>
  <c r="S69" s="1"/>
  <c r="T69" s="1"/>
  <c r="J69"/>
  <c r="K69" s="1"/>
  <c r="F69"/>
  <c r="D69"/>
  <c r="O68"/>
  <c r="S68" s="1"/>
  <c r="T68" s="1"/>
  <c r="N68"/>
  <c r="J68"/>
  <c r="K68" s="1"/>
  <c r="F68"/>
  <c r="D68"/>
  <c r="O67"/>
  <c r="S67" s="1"/>
  <c r="T67" s="1"/>
  <c r="N67"/>
  <c r="J67"/>
  <c r="K67" s="1"/>
  <c r="F67"/>
  <c r="D67"/>
  <c r="O66"/>
  <c r="S66" s="1"/>
  <c r="T66" s="1"/>
  <c r="N66"/>
  <c r="J66"/>
  <c r="K66" s="1"/>
  <c r="F66"/>
  <c r="D66"/>
  <c r="O65"/>
  <c r="S65" s="1"/>
  <c r="T65" s="1"/>
  <c r="N65"/>
  <c r="J65"/>
  <c r="K65" s="1"/>
  <c r="F65"/>
  <c r="D65"/>
  <c r="M64"/>
  <c r="O64" s="1"/>
  <c r="S64" s="1"/>
  <c r="T64" s="1"/>
  <c r="F64"/>
  <c r="D64"/>
  <c r="O63"/>
  <c r="S63" s="1"/>
  <c r="T63" s="1"/>
  <c r="K63"/>
  <c r="F63"/>
  <c r="D63"/>
  <c r="N62"/>
  <c r="O62" s="1"/>
  <c r="S62" s="1"/>
  <c r="T62" s="1"/>
  <c r="J62"/>
  <c r="K62" s="1"/>
  <c r="F62"/>
  <c r="D62"/>
  <c r="O61"/>
  <c r="S61" s="1"/>
  <c r="T61" s="1"/>
  <c r="J61"/>
  <c r="K61" s="1"/>
  <c r="F61"/>
  <c r="D61"/>
  <c r="M60"/>
  <c r="O60" s="1"/>
  <c r="S60" s="1"/>
  <c r="T60" s="1"/>
  <c r="F60"/>
  <c r="D60"/>
  <c r="O59"/>
  <c r="S59" s="1"/>
  <c r="T59" s="1"/>
  <c r="N59"/>
  <c r="J59"/>
  <c r="K59" s="1"/>
  <c r="F59"/>
  <c r="D59"/>
  <c r="O58"/>
  <c r="S58" s="1"/>
  <c r="T58" s="1"/>
  <c r="J58"/>
  <c r="K58" s="1"/>
  <c r="F58"/>
  <c r="D58"/>
  <c r="O57"/>
  <c r="S57" s="1"/>
  <c r="T57" s="1"/>
  <c r="J57"/>
  <c r="K57" s="1"/>
  <c r="F57"/>
  <c r="D57"/>
  <c r="O56"/>
  <c r="S56" s="1"/>
  <c r="T56" s="1"/>
  <c r="N56"/>
  <c r="J56"/>
  <c r="K56" s="1"/>
  <c r="F56"/>
  <c r="D56"/>
  <c r="O55"/>
  <c r="S55" s="1"/>
  <c r="T55" s="1"/>
  <c r="J55"/>
  <c r="K55" s="1"/>
  <c r="F55"/>
  <c r="D55"/>
  <c r="M54"/>
  <c r="K54" s="1"/>
  <c r="F54"/>
  <c r="D54"/>
  <c r="O53"/>
  <c r="S53" s="1"/>
  <c r="T53" s="1"/>
  <c r="J53"/>
  <c r="K53" s="1"/>
  <c r="F53"/>
  <c r="D53"/>
  <c r="N52"/>
  <c r="M52"/>
  <c r="K52" s="1"/>
  <c r="F52"/>
  <c r="D52"/>
  <c r="O51"/>
  <c r="S51" s="1"/>
  <c r="T51" s="1"/>
  <c r="J51"/>
  <c r="K51" s="1"/>
  <c r="F51"/>
  <c r="D51"/>
  <c r="O50"/>
  <c r="S50" s="1"/>
  <c r="T50" s="1"/>
  <c r="J50"/>
  <c r="K50" s="1"/>
  <c r="F50"/>
  <c r="D50"/>
  <c r="M49"/>
  <c r="K49" s="1"/>
  <c r="F49"/>
  <c r="D49"/>
  <c r="M48"/>
  <c r="O48" s="1"/>
  <c r="S48" s="1"/>
  <c r="T48" s="1"/>
  <c r="D48"/>
  <c r="M47"/>
  <c r="O47" s="1"/>
  <c r="S47" s="1"/>
  <c r="T47" s="1"/>
  <c r="F47"/>
  <c r="D47"/>
  <c r="M46"/>
  <c r="K46" s="1"/>
  <c r="D46"/>
  <c r="M45"/>
  <c r="K45" s="1"/>
  <c r="F45"/>
  <c r="D45"/>
  <c r="M44"/>
  <c r="O44" s="1"/>
  <c r="S44" s="1"/>
  <c r="T44" s="1"/>
  <c r="F44"/>
  <c r="D44"/>
  <c r="M43"/>
  <c r="O43" s="1"/>
  <c r="S43" s="1"/>
  <c r="T43" s="1"/>
  <c r="D43"/>
  <c r="N42"/>
  <c r="M42"/>
  <c r="K42" s="1"/>
  <c r="F42"/>
  <c r="D42"/>
  <c r="M41"/>
  <c r="O41" s="1"/>
  <c r="S41" s="1"/>
  <c r="T41" s="1"/>
  <c r="D41"/>
  <c r="M40"/>
  <c r="K40" s="1"/>
  <c r="D40"/>
  <c r="M39"/>
  <c r="O39" s="1"/>
  <c r="S39" s="1"/>
  <c r="T39" s="1"/>
  <c r="F39"/>
  <c r="D39"/>
  <c r="N38"/>
  <c r="M38"/>
  <c r="F38"/>
  <c r="D38"/>
  <c r="M37"/>
  <c r="K37" s="1"/>
  <c r="D37"/>
  <c r="M36"/>
  <c r="O36" s="1"/>
  <c r="S36" s="1"/>
  <c r="T36" s="1"/>
  <c r="D36"/>
  <c r="M35"/>
  <c r="K35" s="1"/>
  <c r="F35"/>
  <c r="D35"/>
  <c r="M34"/>
  <c r="O34" s="1"/>
  <c r="S34" s="1"/>
  <c r="T34" s="1"/>
  <c r="F34"/>
  <c r="D34"/>
  <c r="M33"/>
  <c r="O33" s="1"/>
  <c r="S33" s="1"/>
  <c r="T33" s="1"/>
  <c r="F33"/>
  <c r="D33"/>
  <c r="M32"/>
  <c r="K32" s="1"/>
  <c r="F32"/>
  <c r="D32"/>
  <c r="M31"/>
  <c r="O31" s="1"/>
  <c r="S31" s="1"/>
  <c r="T31" s="1"/>
  <c r="D31"/>
  <c r="N30"/>
  <c r="O30" s="1"/>
  <c r="S30" s="1"/>
  <c r="T30" s="1"/>
  <c r="J30"/>
  <c r="K30" s="1"/>
  <c r="F30"/>
  <c r="D30"/>
  <c r="N29"/>
  <c r="M29" s="1"/>
  <c r="F29"/>
  <c r="D29"/>
  <c r="M28"/>
  <c r="K28" s="1"/>
  <c r="D28"/>
  <c r="M27"/>
  <c r="O27" s="1"/>
  <c r="S27" s="1"/>
  <c r="T27" s="1"/>
  <c r="D27"/>
  <c r="O26"/>
  <c r="S26" s="1"/>
  <c r="T26" s="1"/>
  <c r="J26"/>
  <c r="K26" s="1"/>
  <c r="F26"/>
  <c r="D26"/>
  <c r="M25"/>
  <c r="O25" s="1"/>
  <c r="S25" s="1"/>
  <c r="T25" s="1"/>
  <c r="F25"/>
  <c r="D25"/>
  <c r="M24"/>
  <c r="K24" s="1"/>
  <c r="F24"/>
  <c r="D24"/>
  <c r="M23"/>
  <c r="K23" s="1"/>
  <c r="F23"/>
  <c r="D23"/>
  <c r="M22"/>
  <c r="K22" s="1"/>
  <c r="F22"/>
  <c r="D22"/>
  <c r="M21"/>
  <c r="O21" s="1"/>
  <c r="S21" s="1"/>
  <c r="T21" s="1"/>
  <c r="F21"/>
  <c r="D21"/>
  <c r="M20"/>
  <c r="K20" s="1"/>
  <c r="F20"/>
  <c r="D20"/>
  <c r="O19"/>
  <c r="S19" s="1"/>
  <c r="T19" s="1"/>
  <c r="N19"/>
  <c r="J19"/>
  <c r="K19" s="1"/>
  <c r="F19"/>
  <c r="D19"/>
  <c r="M18"/>
  <c r="O18" s="1"/>
  <c r="S18" s="1"/>
  <c r="T18" s="1"/>
  <c r="F18"/>
  <c r="D18"/>
  <c r="M17"/>
  <c r="K17" s="1"/>
  <c r="F17"/>
  <c r="D17"/>
  <c r="M16"/>
  <c r="O16" s="1"/>
  <c r="S16" s="1"/>
  <c r="T16" s="1"/>
  <c r="D16"/>
  <c r="M15"/>
  <c r="O15" s="1"/>
  <c r="S15" s="1"/>
  <c r="T15" s="1"/>
  <c r="F15"/>
  <c r="D15"/>
  <c r="M14"/>
  <c r="K14" s="1"/>
  <c r="D14"/>
  <c r="M13"/>
  <c r="K13" s="1"/>
  <c r="F13"/>
  <c r="D13"/>
  <c r="N12"/>
  <c r="M12"/>
  <c r="K12" s="1"/>
  <c r="J12"/>
  <c r="F12"/>
  <c r="D12"/>
  <c r="O11"/>
  <c r="S11" s="1"/>
  <c r="T11" s="1"/>
  <c r="M11"/>
  <c r="K11"/>
  <c r="F11"/>
  <c r="D11"/>
  <c r="N10"/>
  <c r="M10"/>
  <c r="K10" s="1"/>
  <c r="J10"/>
  <c r="F10"/>
  <c r="D10"/>
  <c r="M9"/>
  <c r="O9" s="1"/>
  <c r="S9" s="1"/>
  <c r="T9" s="1"/>
  <c r="F9"/>
  <c r="D9"/>
  <c r="M8"/>
  <c r="O8" s="1"/>
  <c r="S8" s="1"/>
  <c r="T8" s="1"/>
  <c r="F8"/>
  <c r="D8"/>
  <c r="M7"/>
  <c r="K7" s="1"/>
  <c r="D7"/>
  <c r="M6"/>
  <c r="K6" s="1"/>
  <c r="D6"/>
  <c r="M5"/>
  <c r="K5" s="1"/>
  <c r="F5"/>
  <c r="D5"/>
  <c r="M4"/>
  <c r="K4" s="1"/>
  <c r="D4"/>
  <c r="O40" l="1"/>
  <c r="S40" s="1"/>
  <c r="T40" s="1"/>
  <c r="K60"/>
  <c r="K64"/>
  <c r="K74"/>
  <c r="K90"/>
  <c r="O4"/>
  <c r="S4" s="1"/>
  <c r="T4" s="1"/>
  <c r="U4" s="1"/>
  <c r="K15"/>
  <c r="K47"/>
  <c r="K36"/>
  <c r="K18"/>
  <c r="K21"/>
  <c r="K31"/>
  <c r="K43"/>
  <c r="K44"/>
  <c r="O54"/>
  <c r="S54" s="1"/>
  <c r="T54" s="1"/>
  <c r="U54" s="1"/>
  <c r="K81"/>
  <c r="O85"/>
  <c r="S85" s="1"/>
  <c r="T85" s="1"/>
  <c r="X85" s="1"/>
  <c r="O35"/>
  <c r="S35" s="1"/>
  <c r="T35" s="1"/>
  <c r="X35" s="1"/>
  <c r="O42"/>
  <c r="S42" s="1"/>
  <c r="T42" s="1"/>
  <c r="X42" s="1"/>
  <c r="O52"/>
  <c r="S52" s="1"/>
  <c r="T52" s="1"/>
  <c r="Z52" s="1"/>
  <c r="AA52" s="1"/>
  <c r="O72"/>
  <c r="S72" s="1"/>
  <c r="T72" s="1"/>
  <c r="U72" s="1"/>
  <c r="O23"/>
  <c r="S23" s="1"/>
  <c r="T23" s="1"/>
  <c r="X23" s="1"/>
  <c r="O37"/>
  <c r="S37" s="1"/>
  <c r="T37" s="1"/>
  <c r="U37" s="1"/>
  <c r="O38"/>
  <c r="S38" s="1"/>
  <c r="T38" s="1"/>
  <c r="U38" s="1"/>
  <c r="O87"/>
  <c r="S87" s="1"/>
  <c r="T87" s="1"/>
  <c r="U87" s="1"/>
  <c r="O5"/>
  <c r="S5" s="1"/>
  <c r="T5" s="1"/>
  <c r="U5" s="1"/>
  <c r="O6"/>
  <c r="S6" s="1"/>
  <c r="T6" s="1"/>
  <c r="X6" s="1"/>
  <c r="O7"/>
  <c r="S7" s="1"/>
  <c r="T7" s="1"/>
  <c r="U7" s="1"/>
  <c r="K8"/>
  <c r="K9"/>
  <c r="O13"/>
  <c r="S13" s="1"/>
  <c r="T13" s="1"/>
  <c r="Z13" s="1"/>
  <c r="AA13" s="1"/>
  <c r="O14"/>
  <c r="S14" s="1"/>
  <c r="T14" s="1"/>
  <c r="U14" s="1"/>
  <c r="K16"/>
  <c r="O24"/>
  <c r="S24" s="1"/>
  <c r="T24" s="1"/>
  <c r="X24" s="1"/>
  <c r="K25"/>
  <c r="K27"/>
  <c r="K33"/>
  <c r="K34"/>
  <c r="F48"/>
  <c r="F46" s="1"/>
  <c r="F43" s="1"/>
  <c r="F41" s="1"/>
  <c r="F40" s="1"/>
  <c r="F37" s="1"/>
  <c r="F36" s="1"/>
  <c r="F31" s="1"/>
  <c r="F28" s="1"/>
  <c r="F27" s="1"/>
  <c r="F16" s="1"/>
  <c r="F14" s="1"/>
  <c r="F7" s="1"/>
  <c r="F6" s="1"/>
  <c r="F4" s="1"/>
  <c r="O80"/>
  <c r="S80" s="1"/>
  <c r="T80" s="1"/>
  <c r="Z80" s="1"/>
  <c r="AA80" s="1"/>
  <c r="O96"/>
  <c r="S96" s="1"/>
  <c r="T96" s="1"/>
  <c r="U96" s="1"/>
  <c r="K39"/>
  <c r="K41"/>
  <c r="O46"/>
  <c r="S46" s="1"/>
  <c r="T46" s="1"/>
  <c r="U46" s="1"/>
  <c r="K48"/>
  <c r="K79"/>
  <c r="U6"/>
  <c r="X14"/>
  <c r="X18"/>
  <c r="Z18"/>
  <c r="AA18" s="1"/>
  <c r="U18"/>
  <c r="X21"/>
  <c r="U21"/>
  <c r="X36"/>
  <c r="Z36"/>
  <c r="AA36" s="1"/>
  <c r="U36"/>
  <c r="X40"/>
  <c r="U40"/>
  <c r="X43"/>
  <c r="U43"/>
  <c r="X44"/>
  <c r="U44"/>
  <c r="X47"/>
  <c r="U47"/>
  <c r="X55"/>
  <c r="Z55"/>
  <c r="AA55" s="1"/>
  <c r="U55"/>
  <c r="U59"/>
  <c r="X59"/>
  <c r="X61"/>
  <c r="Z61"/>
  <c r="AA61" s="1"/>
  <c r="U61"/>
  <c r="X64"/>
  <c r="U64"/>
  <c r="X66"/>
  <c r="U66"/>
  <c r="X68"/>
  <c r="U68"/>
  <c r="U71"/>
  <c r="X71"/>
  <c r="X73"/>
  <c r="U73"/>
  <c r="X74"/>
  <c r="Z74"/>
  <c r="AA74" s="1"/>
  <c r="U74"/>
  <c r="X81"/>
  <c r="U81"/>
  <c r="X90"/>
  <c r="U90"/>
  <c r="X91"/>
  <c r="U91"/>
  <c r="O94"/>
  <c r="S94" s="1"/>
  <c r="T94" s="1"/>
  <c r="K94"/>
  <c r="X96"/>
  <c r="X9"/>
  <c r="Z9"/>
  <c r="AA9" s="1"/>
  <c r="U9"/>
  <c r="X30"/>
  <c r="Z30"/>
  <c r="AA30" s="1"/>
  <c r="U30"/>
  <c r="X34"/>
  <c r="Z34"/>
  <c r="AA34" s="1"/>
  <c r="U34"/>
  <c r="X37"/>
  <c r="X39"/>
  <c r="Z39"/>
  <c r="AA39" s="1"/>
  <c r="U39"/>
  <c r="X41"/>
  <c r="U41"/>
  <c r="X48"/>
  <c r="U48"/>
  <c r="X50"/>
  <c r="Z50"/>
  <c r="AA50" s="1"/>
  <c r="U50"/>
  <c r="X53"/>
  <c r="Z53"/>
  <c r="AA53" s="1"/>
  <c r="U53"/>
  <c r="X58"/>
  <c r="Z58"/>
  <c r="AA58" s="1"/>
  <c r="U58"/>
  <c r="X70"/>
  <c r="U70"/>
  <c r="X77"/>
  <c r="Z77"/>
  <c r="AA77" s="1"/>
  <c r="U77"/>
  <c r="X78"/>
  <c r="Z78"/>
  <c r="AA78" s="1"/>
  <c r="U78"/>
  <c r="X79"/>
  <c r="Z79"/>
  <c r="AA79" s="1"/>
  <c r="U79"/>
  <c r="X83"/>
  <c r="Z83"/>
  <c r="AA83" s="1"/>
  <c r="U83"/>
  <c r="O84"/>
  <c r="S84" s="1"/>
  <c r="T84" s="1"/>
  <c r="K84"/>
  <c r="Z85"/>
  <c r="AA85" s="1"/>
  <c r="X95"/>
  <c r="Z95"/>
  <c r="AA95" s="1"/>
  <c r="U95"/>
  <c r="X11"/>
  <c r="Z11"/>
  <c r="AA11" s="1"/>
  <c r="U11"/>
  <c r="X15"/>
  <c r="U15"/>
  <c r="X26"/>
  <c r="U26"/>
  <c r="O29"/>
  <c r="S29" s="1"/>
  <c r="T29" s="1"/>
  <c r="K29"/>
  <c r="X31"/>
  <c r="U31"/>
  <c r="Z57"/>
  <c r="AA57" s="1"/>
  <c r="U57"/>
  <c r="X57"/>
  <c r="X60"/>
  <c r="U60"/>
  <c r="U63"/>
  <c r="X63"/>
  <c r="X65"/>
  <c r="U65"/>
  <c r="X67"/>
  <c r="U67"/>
  <c r="X69"/>
  <c r="Z69"/>
  <c r="AA69" s="1"/>
  <c r="U69"/>
  <c r="X72"/>
  <c r="U76"/>
  <c r="X76"/>
  <c r="U89"/>
  <c r="X89"/>
  <c r="X5"/>
  <c r="X8"/>
  <c r="Z8"/>
  <c r="AA8" s="1"/>
  <c r="U8"/>
  <c r="U13"/>
  <c r="X16"/>
  <c r="U16"/>
  <c r="Z19"/>
  <c r="AA19" s="1"/>
  <c r="U19"/>
  <c r="X19"/>
  <c r="U24"/>
  <c r="X25"/>
  <c r="Z25"/>
  <c r="AA25" s="1"/>
  <c r="U25"/>
  <c r="X27"/>
  <c r="U27"/>
  <c r="X33"/>
  <c r="Z33"/>
  <c r="AA33" s="1"/>
  <c r="U33"/>
  <c r="X51"/>
  <c r="Z51"/>
  <c r="AA51" s="1"/>
  <c r="U51"/>
  <c r="X52"/>
  <c r="U56"/>
  <c r="X56"/>
  <c r="X62"/>
  <c r="U62"/>
  <c r="U75"/>
  <c r="X75"/>
  <c r="Z87"/>
  <c r="AA87" s="1"/>
  <c r="X87"/>
  <c r="U93"/>
  <c r="X93"/>
  <c r="F88"/>
  <c r="F86" s="1"/>
  <c r="O10"/>
  <c r="S10" s="1"/>
  <c r="T10" s="1"/>
  <c r="O12"/>
  <c r="S12" s="1"/>
  <c r="T12" s="1"/>
  <c r="O82"/>
  <c r="S82" s="1"/>
  <c r="T82" s="1"/>
  <c r="O17"/>
  <c r="S17" s="1"/>
  <c r="T17" s="1"/>
  <c r="O20"/>
  <c r="S20" s="1"/>
  <c r="T20" s="1"/>
  <c r="O22"/>
  <c r="S22" s="1"/>
  <c r="T22" s="1"/>
  <c r="O28"/>
  <c r="S28" s="1"/>
  <c r="T28" s="1"/>
  <c r="O32"/>
  <c r="S32" s="1"/>
  <c r="T32" s="1"/>
  <c r="O45"/>
  <c r="S45" s="1"/>
  <c r="T45" s="1"/>
  <c r="O49"/>
  <c r="S49" s="1"/>
  <c r="T49" s="1"/>
  <c r="O86"/>
  <c r="S86" s="1"/>
  <c r="T86" s="1"/>
  <c r="O88"/>
  <c r="S88" s="1"/>
  <c r="T88" s="1"/>
  <c r="O92"/>
  <c r="S92" s="1"/>
  <c r="T92" s="1"/>
  <c r="Z5" l="1"/>
  <c r="AA5" s="1"/>
  <c r="Z54"/>
  <c r="AA54" s="1"/>
  <c r="U35"/>
  <c r="U23"/>
  <c r="X4"/>
  <c r="X38"/>
  <c r="U52"/>
  <c r="V52" s="1"/>
  <c r="X46"/>
  <c r="U85"/>
  <c r="W85" s="1"/>
  <c r="Z38"/>
  <c r="AA38" s="1"/>
  <c r="U80"/>
  <c r="X7"/>
  <c r="X13"/>
  <c r="X54"/>
  <c r="Z42"/>
  <c r="AA42" s="1"/>
  <c r="Z37"/>
  <c r="AA37" s="1"/>
  <c r="U42"/>
  <c r="V42" s="1"/>
  <c r="F3"/>
  <c r="X80"/>
  <c r="X88"/>
  <c r="U88"/>
  <c r="X32"/>
  <c r="Z32"/>
  <c r="AA32" s="1"/>
  <c r="U32"/>
  <c r="X17"/>
  <c r="Z17"/>
  <c r="AA17" s="1"/>
  <c r="U17"/>
  <c r="V93"/>
  <c r="W93"/>
  <c r="W33"/>
  <c r="V33"/>
  <c r="V24"/>
  <c r="W24"/>
  <c r="V72"/>
  <c r="W72"/>
  <c r="V15"/>
  <c r="W15"/>
  <c r="V78"/>
  <c r="W78"/>
  <c r="W58"/>
  <c r="V58"/>
  <c r="V54"/>
  <c r="W54"/>
  <c r="W48"/>
  <c r="V48"/>
  <c r="V96"/>
  <c r="W96"/>
  <c r="V74"/>
  <c r="W74"/>
  <c r="W21"/>
  <c r="V21"/>
  <c r="V6"/>
  <c r="W6"/>
  <c r="X92"/>
  <c r="U92"/>
  <c r="X45"/>
  <c r="U45"/>
  <c r="X20"/>
  <c r="Z20"/>
  <c r="AA20" s="1"/>
  <c r="U20"/>
  <c r="X10"/>
  <c r="Z10"/>
  <c r="AA10" s="1"/>
  <c r="U10"/>
  <c r="W27"/>
  <c r="V27"/>
  <c r="V19"/>
  <c r="W19"/>
  <c r="V13"/>
  <c r="W13"/>
  <c r="V5"/>
  <c r="W5"/>
  <c r="V76"/>
  <c r="W76"/>
  <c r="V65"/>
  <c r="W65"/>
  <c r="V60"/>
  <c r="W60"/>
  <c r="V77"/>
  <c r="W77"/>
  <c r="W39"/>
  <c r="V39"/>
  <c r="W91"/>
  <c r="V91"/>
  <c r="W81"/>
  <c r="V81"/>
  <c r="V73"/>
  <c r="W73"/>
  <c r="V68"/>
  <c r="W68"/>
  <c r="V64"/>
  <c r="W64"/>
  <c r="W44"/>
  <c r="V44"/>
  <c r="V40"/>
  <c r="W40"/>
  <c r="X86"/>
  <c r="U86"/>
  <c r="X49"/>
  <c r="U49"/>
  <c r="X22"/>
  <c r="U22"/>
  <c r="X12"/>
  <c r="Z12"/>
  <c r="AA12" s="1"/>
  <c r="U12"/>
  <c r="V87"/>
  <c r="W87"/>
  <c r="V62"/>
  <c r="W62"/>
  <c r="W52"/>
  <c r="W8"/>
  <c r="V8"/>
  <c r="V69"/>
  <c r="W69"/>
  <c r="V63"/>
  <c r="W63"/>
  <c r="V57"/>
  <c r="W57"/>
  <c r="W31"/>
  <c r="V31"/>
  <c r="V26"/>
  <c r="W26"/>
  <c r="V11"/>
  <c r="W11"/>
  <c r="V95"/>
  <c r="W95"/>
  <c r="V83"/>
  <c r="W83"/>
  <c r="V70"/>
  <c r="W70"/>
  <c r="V53"/>
  <c r="W53"/>
  <c r="V38"/>
  <c r="W38"/>
  <c r="V37"/>
  <c r="W37"/>
  <c r="V34"/>
  <c r="W34"/>
  <c r="V9"/>
  <c r="W9"/>
  <c r="V4"/>
  <c r="W4"/>
  <c r="U94"/>
  <c r="X94"/>
  <c r="V71"/>
  <c r="W71"/>
  <c r="W55"/>
  <c r="V55"/>
  <c r="W18"/>
  <c r="V18"/>
  <c r="V14"/>
  <c r="W14"/>
  <c r="X28"/>
  <c r="U28"/>
  <c r="X82"/>
  <c r="Z82"/>
  <c r="AA82" s="1"/>
  <c r="U82"/>
  <c r="V75"/>
  <c r="W75"/>
  <c r="V56"/>
  <c r="W56"/>
  <c r="V51"/>
  <c r="W51"/>
  <c r="W25"/>
  <c r="V25"/>
  <c r="W16"/>
  <c r="V16"/>
  <c r="V7"/>
  <c r="W7"/>
  <c r="V89"/>
  <c r="W89"/>
  <c r="V67"/>
  <c r="W67"/>
  <c r="V46"/>
  <c r="W46"/>
  <c r="X29"/>
  <c r="U29"/>
  <c r="X84"/>
  <c r="U84"/>
  <c r="V79"/>
  <c r="W79"/>
  <c r="V50"/>
  <c r="W50"/>
  <c r="W41"/>
  <c r="V41"/>
  <c r="V35"/>
  <c r="W35"/>
  <c r="V30"/>
  <c r="W30"/>
  <c r="V23"/>
  <c r="W23"/>
  <c r="V90"/>
  <c r="W90"/>
  <c r="V80"/>
  <c r="W80"/>
  <c r="V66"/>
  <c r="W66"/>
  <c r="V61"/>
  <c r="W61"/>
  <c r="V59"/>
  <c r="W59"/>
  <c r="V47"/>
  <c r="W47"/>
  <c r="V43"/>
  <c r="W43"/>
  <c r="V36"/>
  <c r="W36"/>
  <c r="W42" l="1"/>
  <c r="V85"/>
  <c r="W12"/>
  <c r="V12"/>
  <c r="V20"/>
  <c r="W20"/>
  <c r="V32"/>
  <c r="W32"/>
  <c r="V29"/>
  <c r="W29"/>
  <c r="W82"/>
  <c r="V82"/>
  <c r="V22"/>
  <c r="W22"/>
  <c r="V86"/>
  <c r="W86"/>
  <c r="V45"/>
  <c r="W45"/>
  <c r="V88"/>
  <c r="W88"/>
  <c r="V28"/>
  <c r="W28"/>
  <c r="V84"/>
  <c r="W84"/>
  <c r="V94"/>
  <c r="W94"/>
  <c r="V49"/>
  <c r="W49"/>
  <c r="W10"/>
  <c r="V10"/>
  <c r="V92"/>
  <c r="W92"/>
  <c r="V17"/>
  <c r="W17"/>
  <c r="AD54" i="4" l="1"/>
  <c r="AF359"/>
  <c r="AF134"/>
  <c r="AF360"/>
  <c r="AF55"/>
  <c r="AF54"/>
  <c r="Y39" l="1"/>
  <c r="Y22"/>
  <c r="W39"/>
  <c r="W22"/>
  <c r="V383"/>
  <c r="U383" s="1"/>
  <c r="V384"/>
  <c r="U384" s="1"/>
  <c r="Q384" s="1"/>
  <c r="Y384" s="1"/>
  <c r="V229"/>
  <c r="U229" s="1"/>
  <c r="S229" s="1"/>
  <c r="V196"/>
  <c r="U196" s="1"/>
  <c r="Q196" s="1"/>
  <c r="Y196" s="1"/>
  <c r="V382"/>
  <c r="U382" s="1"/>
  <c r="S382" s="1"/>
  <c r="V357"/>
  <c r="U357" s="1"/>
  <c r="Q357" s="1"/>
  <c r="Y357" s="1"/>
  <c r="V358"/>
  <c r="U358" s="1"/>
  <c r="Q358" s="1"/>
  <c r="Y358" s="1"/>
  <c r="V252"/>
  <c r="U252" s="1"/>
  <c r="S252" s="1"/>
  <c r="V217"/>
  <c r="U217" s="1"/>
  <c r="S217" s="1"/>
  <c r="U247"/>
  <c r="S247" s="1"/>
  <c r="V172"/>
  <c r="U172" s="1"/>
  <c r="V175"/>
  <c r="U175" s="1"/>
  <c r="AA175" s="1"/>
  <c r="AB175" s="1"/>
  <c r="U329"/>
  <c r="Q329" s="1"/>
  <c r="Y329" s="1"/>
  <c r="V228"/>
  <c r="U228" s="1"/>
  <c r="Q228" s="1"/>
  <c r="Y228" s="1"/>
  <c r="V241"/>
  <c r="U241" s="1"/>
  <c r="Q241" s="1"/>
  <c r="Y241" s="1"/>
  <c r="U330"/>
  <c r="Q330" s="1"/>
  <c r="Y330" s="1"/>
  <c r="V356"/>
  <c r="U356" s="1"/>
  <c r="V240"/>
  <c r="U240" s="1"/>
  <c r="U328"/>
  <c r="Q328" s="1"/>
  <c r="Y328" s="1"/>
  <c r="V86"/>
  <c r="U86" s="1"/>
  <c r="S86" s="1"/>
  <c r="U327"/>
  <c r="Q327" s="1"/>
  <c r="Y327" s="1"/>
  <c r="V191"/>
  <c r="U191" s="1"/>
  <c r="V320"/>
  <c r="U320" s="1"/>
  <c r="V319"/>
  <c r="U319" s="1"/>
  <c r="V321"/>
  <c r="U321" s="1"/>
  <c r="AA321" s="1"/>
  <c r="AB321" s="1"/>
  <c r="V130"/>
  <c r="U130" s="1"/>
  <c r="V230"/>
  <c r="U230" s="1"/>
  <c r="AA230" s="1"/>
  <c r="AB230" s="1"/>
  <c r="V345"/>
  <c r="U345" s="1"/>
  <c r="AA345" s="1"/>
  <c r="AB345" s="1"/>
  <c r="V85"/>
  <c r="U85" s="1"/>
  <c r="V84"/>
  <c r="U84" s="1"/>
  <c r="V227"/>
  <c r="U227" s="1"/>
  <c r="V17"/>
  <c r="U17" s="1"/>
  <c r="V405"/>
  <c r="U405" s="1"/>
  <c r="U274"/>
  <c r="Q274" s="1"/>
  <c r="Y274" s="1"/>
  <c r="V119"/>
  <c r="U119" s="1"/>
  <c r="Q119" s="1"/>
  <c r="Y119" s="1"/>
  <c r="V231"/>
  <c r="U231" s="1"/>
  <c r="Q231" s="1"/>
  <c r="Y231" s="1"/>
  <c r="V289"/>
  <c r="U289" s="1"/>
  <c r="Q289" s="1"/>
  <c r="Y289" s="1"/>
  <c r="V375"/>
  <c r="U375" s="1"/>
  <c r="Q375" s="1"/>
  <c r="Y375" s="1"/>
  <c r="V160"/>
  <c r="U160" s="1"/>
  <c r="Q160" s="1"/>
  <c r="Y160" s="1"/>
  <c r="V52"/>
  <c r="U52" s="1"/>
  <c r="Q52" s="1"/>
  <c r="Y52" s="1"/>
  <c r="V145"/>
  <c r="U145" s="1"/>
  <c r="Q145" s="1"/>
  <c r="Y145" s="1"/>
  <c r="V317"/>
  <c r="U317" s="1"/>
  <c r="Q317" s="1"/>
  <c r="Y317" s="1"/>
  <c r="U426"/>
  <c r="S426" s="1"/>
  <c r="V161"/>
  <c r="U161" s="1"/>
  <c r="AA161" s="1"/>
  <c r="AB161" s="1"/>
  <c r="V60"/>
  <c r="U60" s="1"/>
  <c r="V264"/>
  <c r="U264" s="1"/>
  <c r="AA264" s="1"/>
  <c r="AB264" s="1"/>
  <c r="V59"/>
  <c r="U59" s="1"/>
  <c r="V270"/>
  <c r="U270" s="1"/>
  <c r="AA270" s="1"/>
  <c r="AB270" s="1"/>
  <c r="V267"/>
  <c r="U267" s="1"/>
  <c r="V268"/>
  <c r="U268" s="1"/>
  <c r="AA268" s="1"/>
  <c r="AB268" s="1"/>
  <c r="V280"/>
  <c r="U280" s="1"/>
  <c r="U248"/>
  <c r="S248" s="1"/>
  <c r="V385"/>
  <c r="U385" s="1"/>
  <c r="V33"/>
  <c r="U33"/>
  <c r="S33" s="1"/>
  <c r="U122"/>
  <c r="Q122" s="1"/>
  <c r="Y122" s="1"/>
  <c r="V216"/>
  <c r="U216" s="1"/>
  <c r="U121"/>
  <c r="Q121" s="1"/>
  <c r="Y121" s="1"/>
  <c r="V20"/>
  <c r="U20" s="1"/>
  <c r="Q20" s="1"/>
  <c r="Y20" s="1"/>
  <c r="V232"/>
  <c r="U232"/>
  <c r="Q232" s="1"/>
  <c r="Y232" s="1"/>
  <c r="V309"/>
  <c r="U309" s="1"/>
  <c r="Q309" s="1"/>
  <c r="V190"/>
  <c r="U190" s="1"/>
  <c r="Q190" s="1"/>
  <c r="V19"/>
  <c r="U19" s="1"/>
  <c r="Q19" s="1"/>
  <c r="Y19" s="1"/>
  <c r="V16"/>
  <c r="U16" s="1"/>
  <c r="Q16" s="1"/>
  <c r="W16" s="1"/>
  <c r="V290"/>
  <c r="U290" s="1"/>
  <c r="Q290" s="1"/>
  <c r="Y290" s="1"/>
  <c r="V118"/>
  <c r="U118" s="1"/>
  <c r="Q118" s="1"/>
  <c r="U169"/>
  <c r="Y169" s="1"/>
  <c r="V355"/>
  <c r="U355" s="1"/>
  <c r="V354"/>
  <c r="U354" s="1"/>
  <c r="AA354" s="1"/>
  <c r="AB354" s="1"/>
  <c r="V387"/>
  <c r="U387" s="1"/>
  <c r="V131"/>
  <c r="U131" s="1"/>
  <c r="AA131" s="1"/>
  <c r="AB131" s="1"/>
  <c r="V288"/>
  <c r="U288" s="1"/>
  <c r="U179"/>
  <c r="S179" s="1"/>
  <c r="V152"/>
  <c r="U152" s="1"/>
  <c r="S152" s="1"/>
  <c r="V132"/>
  <c r="U132" s="1"/>
  <c r="Q132" s="1"/>
  <c r="Y132" s="1"/>
  <c r="V341"/>
  <c r="U341" s="1"/>
  <c r="U425"/>
  <c r="S425" s="1"/>
  <c r="V62"/>
  <c r="U62" s="1"/>
  <c r="AA62" s="1"/>
  <c r="AB62" s="1"/>
  <c r="V159"/>
  <c r="U159" s="1"/>
  <c r="V63"/>
  <c r="U63" s="1"/>
  <c r="AA63" s="1"/>
  <c r="AB63" s="1"/>
  <c r="V158"/>
  <c r="U158" s="1"/>
  <c r="V263"/>
  <c r="U263" s="1"/>
  <c r="AA263" s="1"/>
  <c r="AB263" s="1"/>
  <c r="V61"/>
  <c r="U61" s="1"/>
  <c r="AA61" s="1"/>
  <c r="AB61" s="1"/>
  <c r="V157"/>
  <c r="U157" s="1"/>
  <c r="V162"/>
  <c r="U162" s="1"/>
  <c r="AA162" s="1"/>
  <c r="AB162" s="1"/>
  <c r="V215"/>
  <c r="U215" s="1"/>
  <c r="V222"/>
  <c r="U222" s="1"/>
  <c r="AA222" s="1"/>
  <c r="AB222" s="1"/>
  <c r="V313"/>
  <c r="U313" s="1"/>
  <c r="V223"/>
  <c r="U223" s="1"/>
  <c r="AA223" s="1"/>
  <c r="AB223" s="1"/>
  <c r="V214"/>
  <c r="U214" s="1"/>
  <c r="V314"/>
  <c r="U314" s="1"/>
  <c r="AA314" s="1"/>
  <c r="AB314" s="1"/>
  <c r="V262"/>
  <c r="U262" s="1"/>
  <c r="U41"/>
  <c r="Q41" s="1"/>
  <c r="Y41" s="1"/>
  <c r="V213"/>
  <c r="U213" s="1"/>
  <c r="Q213" s="1"/>
  <c r="V312"/>
  <c r="U312" s="1"/>
  <c r="Q312" s="1"/>
  <c r="Y312" s="1"/>
  <c r="U303"/>
  <c r="Q303" s="1"/>
  <c r="Y303" s="1"/>
  <c r="V311"/>
  <c r="U311" s="1"/>
  <c r="U304"/>
  <c r="S304" s="1"/>
  <c r="V184"/>
  <c r="U184" s="1"/>
  <c r="V251"/>
  <c r="U251" s="1"/>
  <c r="Q251" s="1"/>
  <c r="Y251" s="1"/>
  <c r="V168"/>
  <c r="U168" s="1"/>
  <c r="S168" s="1"/>
  <c r="V129"/>
  <c r="U129" s="1"/>
  <c r="AA129" s="1"/>
  <c r="AB129" s="1"/>
  <c r="V310"/>
  <c r="U310" s="1"/>
  <c r="V250"/>
  <c r="U250" s="1"/>
  <c r="Q250" s="1"/>
  <c r="Y250" s="1"/>
  <c r="V171"/>
  <c r="U171" s="1"/>
  <c r="S171" s="1"/>
  <c r="V173"/>
  <c r="U173" s="1"/>
  <c r="AA173" s="1"/>
  <c r="AB173" s="1"/>
  <c r="V203"/>
  <c r="U203" s="1"/>
  <c r="V243"/>
  <c r="U243" s="1"/>
  <c r="Q243" s="1"/>
  <c r="Y243" s="1"/>
  <c r="V183"/>
  <c r="U183"/>
  <c r="S183" s="1"/>
  <c r="V239"/>
  <c r="U239" s="1"/>
  <c r="U151"/>
  <c r="Q151" s="1"/>
  <c r="Y151" s="1"/>
  <c r="V167"/>
  <c r="U167" s="1"/>
  <c r="U399"/>
  <c r="Q399" s="1"/>
  <c r="Y399" s="1"/>
  <c r="V170"/>
  <c r="U170" s="1"/>
  <c r="Q170" s="1"/>
  <c r="U331"/>
  <c r="Q331" s="1"/>
  <c r="Y331" s="1"/>
  <c r="V249"/>
  <c r="U249" s="1"/>
  <c r="V218"/>
  <c r="U218" s="1"/>
  <c r="AA218" s="1"/>
  <c r="AB218" s="1"/>
  <c r="V128"/>
  <c r="U128" s="1"/>
  <c r="U424"/>
  <c r="S424" s="1"/>
  <c r="U177"/>
  <c r="Q177" s="1"/>
  <c r="Y177" s="1"/>
  <c r="U423"/>
  <c r="Q423" s="1"/>
  <c r="U176"/>
  <c r="Q176" s="1"/>
  <c r="Y176" s="1"/>
  <c r="U422"/>
  <c r="S422" s="1"/>
  <c r="U178"/>
  <c r="Q178" s="1"/>
  <c r="Y178" s="1"/>
  <c r="U208"/>
  <c r="Q208" s="1"/>
  <c r="Y208" s="1"/>
  <c r="V338"/>
  <c r="U338" s="1"/>
  <c r="Q338" s="1"/>
  <c r="V15"/>
  <c r="U15" s="1"/>
  <c r="Q15" s="1"/>
  <c r="Y15" s="1"/>
  <c r="V226"/>
  <c r="U226" s="1"/>
  <c r="Q226" s="1"/>
  <c r="W226" s="1"/>
  <c r="U353"/>
  <c r="Q353" s="1"/>
  <c r="Y353" s="1"/>
  <c r="V211"/>
  <c r="U211" s="1"/>
  <c r="V352"/>
  <c r="U352" s="1"/>
  <c r="V47"/>
  <c r="U47" s="1"/>
  <c r="AA47" s="1"/>
  <c r="AB47" s="1"/>
  <c r="V25"/>
  <c r="U25" s="1"/>
  <c r="V143"/>
  <c r="U143" s="1"/>
  <c r="V126"/>
  <c r="U126" s="1"/>
  <c r="AA126" s="1"/>
  <c r="AB126" s="1"/>
  <c r="V24"/>
  <c r="U24" s="1"/>
  <c r="V287"/>
  <c r="U287" s="1"/>
  <c r="V26"/>
  <c r="U26" s="1"/>
  <c r="AA26" s="1"/>
  <c r="AB26" s="1"/>
  <c r="U403"/>
  <c r="S403" s="1"/>
  <c r="U421"/>
  <c r="S421" s="1"/>
  <c r="V340"/>
  <c r="U340" s="1"/>
  <c r="V124"/>
  <c r="U124" s="1"/>
  <c r="V14"/>
  <c r="U14" s="1"/>
  <c r="V406"/>
  <c r="U406" s="1"/>
  <c r="AA406" s="1"/>
  <c r="AB406" s="1"/>
  <c r="V46"/>
  <c r="U46" s="1"/>
  <c r="V245"/>
  <c r="U245" s="1"/>
  <c r="AA245" s="1"/>
  <c r="AB245" s="1"/>
  <c r="U404"/>
  <c r="Q404" s="1"/>
  <c r="Y404" s="1"/>
  <c r="V210"/>
  <c r="U210" s="1"/>
  <c r="Q210" s="1"/>
  <c r="W210" s="1"/>
  <c r="U414"/>
  <c r="Q414" s="1"/>
  <c r="Y414" s="1"/>
  <c r="V337"/>
  <c r="U337" s="1"/>
  <c r="U260"/>
  <c r="Q260" s="1"/>
  <c r="Y260" s="1"/>
  <c r="V339"/>
  <c r="U339" s="1"/>
  <c r="S339" s="1"/>
  <c r="V343"/>
  <c r="U343" s="1"/>
  <c r="AA343" s="1"/>
  <c r="AB343" s="1"/>
  <c r="V45"/>
  <c r="U45" s="1"/>
  <c r="U204"/>
  <c r="Q204" s="1"/>
  <c r="Y204" s="1"/>
  <c r="V220"/>
  <c r="U220" s="1"/>
  <c r="AA220" s="1"/>
  <c r="AB220" s="1"/>
  <c r="V336"/>
  <c r="U336" s="1"/>
  <c r="V123"/>
  <c r="U123" s="1"/>
  <c r="V351"/>
  <c r="U351" s="1"/>
  <c r="U13"/>
  <c r="Q13" s="1"/>
  <c r="Y13" s="1"/>
  <c r="V335"/>
  <c r="U335" s="1"/>
  <c r="Q335" s="1"/>
  <c r="U273"/>
  <c r="Q273" s="1"/>
  <c r="Y273" s="1"/>
  <c r="V350"/>
  <c r="U350" s="1"/>
  <c r="V315"/>
  <c r="U315" s="1"/>
  <c r="V120"/>
  <c r="U120" s="1"/>
  <c r="AA120" s="1"/>
  <c r="AB120" s="1"/>
  <c r="V9"/>
  <c r="U9" s="1"/>
  <c r="U307"/>
  <c r="Q307" s="1"/>
  <c r="Y307" s="1"/>
  <c r="U207"/>
  <c r="Q207" s="1"/>
  <c r="Y207" s="1"/>
  <c r="V51"/>
  <c r="U51" s="1"/>
  <c r="AA51" s="1"/>
  <c r="AB51" s="1"/>
  <c r="U420"/>
  <c r="Q420" s="1"/>
  <c r="U305"/>
  <c r="S305" s="1"/>
  <c r="U306"/>
  <c r="Q306" s="1"/>
  <c r="Y306" s="1"/>
  <c r="V50"/>
  <c r="U50" s="1"/>
  <c r="S50" s="1"/>
  <c r="U83"/>
  <c r="Q83" s="1"/>
  <c r="Y83" s="1"/>
  <c r="V49"/>
  <c r="U49" s="1"/>
  <c r="V388"/>
  <c r="U388" s="1"/>
  <c r="AA388" s="1"/>
  <c r="AB388" s="1"/>
  <c r="V386"/>
  <c r="U386" s="1"/>
  <c r="V389"/>
  <c r="U389" s="1"/>
  <c r="AA389" s="1"/>
  <c r="AB389" s="1"/>
  <c r="V349"/>
  <c r="U349" s="1"/>
  <c r="V344"/>
  <c r="U344" s="1"/>
  <c r="AA344" s="1"/>
  <c r="AB344" s="1"/>
  <c r="V209"/>
  <c r="U209" s="1"/>
  <c r="V48"/>
  <c r="U48" s="1"/>
  <c r="V206"/>
  <c r="U206" s="1"/>
  <c r="V342"/>
  <c r="U342" s="1"/>
  <c r="AA342" s="1"/>
  <c r="AB342" s="1"/>
  <c r="U212"/>
  <c r="Q212" s="1"/>
  <c r="V72"/>
  <c r="U72" s="1"/>
  <c r="Q72" s="1"/>
  <c r="Y72" s="1"/>
  <c r="V286"/>
  <c r="U286" s="1"/>
  <c r="Q286" s="1"/>
  <c r="Y286" s="1"/>
  <c r="U400"/>
  <c r="Q400" s="1"/>
  <c r="Y400" s="1"/>
  <c r="V205"/>
  <c r="U205" s="1"/>
  <c r="U10"/>
  <c r="Q10" s="1"/>
  <c r="Y10" s="1"/>
  <c r="U419"/>
  <c r="S419" s="1"/>
  <c r="U418"/>
  <c r="Q418" s="1"/>
  <c r="W418" s="1"/>
  <c r="U417"/>
  <c r="S417" s="1"/>
  <c r="V219"/>
  <c r="U219" s="1"/>
  <c r="AA219" s="1"/>
  <c r="AB219" s="1"/>
  <c r="U416"/>
  <c r="S416" s="1"/>
  <c r="V174"/>
  <c r="U174" s="1"/>
  <c r="AA174" s="1"/>
  <c r="AB174" s="1"/>
  <c r="U142"/>
  <c r="Q142" s="1"/>
  <c r="Y142" s="1"/>
  <c r="V334"/>
  <c r="U334" s="1"/>
  <c r="U166"/>
  <c r="Q166" s="1"/>
  <c r="Y166" s="1"/>
  <c r="V333"/>
  <c r="U333" s="1"/>
  <c r="Q333" s="1"/>
  <c r="W333" s="1"/>
  <c r="V246"/>
  <c r="U246" s="1"/>
  <c r="V8"/>
  <c r="U8" s="1"/>
  <c r="Q8" s="1"/>
  <c r="U259"/>
  <c r="Q259" s="1"/>
  <c r="Y259" s="1"/>
  <c r="V7"/>
  <c r="U7" s="1"/>
  <c r="V127"/>
  <c r="U127" s="1"/>
  <c r="Q127" s="1"/>
  <c r="Y127" s="1"/>
  <c r="V164"/>
  <c r="U164" s="1"/>
  <c r="V113"/>
  <c r="U113" s="1"/>
  <c r="Q113" s="1"/>
  <c r="Y113" s="1"/>
  <c r="V163"/>
  <c r="U163" s="1"/>
  <c r="V125"/>
  <c r="U125" s="1"/>
  <c r="Q125" s="1"/>
  <c r="Y125" s="1"/>
  <c r="V297"/>
  <c r="U297" s="1"/>
  <c r="V325"/>
  <c r="U325" s="1"/>
  <c r="AA325" s="1"/>
  <c r="AB325" s="1"/>
  <c r="V323"/>
  <c r="U323" s="1"/>
  <c r="U346"/>
  <c r="Q346" s="1"/>
  <c r="Y346" s="1"/>
  <c r="V11"/>
  <c r="U11" s="1"/>
  <c r="V322"/>
  <c r="U322" s="1"/>
  <c r="S322" s="1"/>
  <c r="V326"/>
  <c r="U326" s="1"/>
  <c r="Q326" s="1"/>
  <c r="Y326" s="1"/>
  <c r="V233"/>
  <c r="U233" s="1"/>
  <c r="V150"/>
  <c r="U150" s="1"/>
  <c r="Q150" s="1"/>
  <c r="Y150" s="1"/>
  <c r="U12"/>
  <c r="S12" s="1"/>
  <c r="V324"/>
  <c r="U324" s="1"/>
  <c r="AA324" s="1"/>
  <c r="AB324" s="1"/>
  <c r="V114"/>
  <c r="U114" s="1"/>
  <c r="U415"/>
  <c r="Q415" s="1"/>
  <c r="V332"/>
  <c r="U332" s="1"/>
  <c r="Q332" s="1"/>
  <c r="Y332" s="1"/>
  <c r="V115"/>
  <c r="U115" s="1"/>
  <c r="Q115" s="1"/>
  <c r="Y115" s="1"/>
  <c r="V38"/>
  <c r="U38" s="1"/>
  <c r="Q38" s="1"/>
  <c r="V253"/>
  <c r="U253" s="1"/>
  <c r="Q253" s="1"/>
  <c r="Y253" s="1"/>
  <c r="V292"/>
  <c r="U292" s="1"/>
  <c r="Q292" s="1"/>
  <c r="Y292" s="1"/>
  <c r="V293"/>
  <c r="U293"/>
  <c r="Q293" s="1"/>
  <c r="Y293" s="1"/>
  <c r="V291"/>
  <c r="U291" s="1"/>
  <c r="Q291" s="1"/>
  <c r="U141"/>
  <c r="Q141" s="1"/>
  <c r="Y141" s="1"/>
  <c r="U140"/>
  <c r="Q140" s="1"/>
  <c r="Y140" s="1"/>
  <c r="U53"/>
  <c r="Q53" s="1"/>
  <c r="Y53" s="1"/>
  <c r="V368"/>
  <c r="U368" s="1"/>
  <c r="V367"/>
  <c r="U367" s="1"/>
  <c r="V366"/>
  <c r="U366" s="1"/>
  <c r="V402"/>
  <c r="U402" s="1"/>
  <c r="U44"/>
  <c r="Q44" s="1"/>
  <c r="V279"/>
  <c r="U279" s="1"/>
  <c r="Q279" s="1"/>
  <c r="V37"/>
  <c r="U37" s="1"/>
  <c r="Q37" s="1"/>
  <c r="Y37" s="1"/>
  <c r="V186"/>
  <c r="U186" s="1"/>
  <c r="Q186" s="1"/>
  <c r="Y186" s="1"/>
  <c r="V301"/>
  <c r="U301" s="1"/>
  <c r="Q301" s="1"/>
  <c r="U185"/>
  <c r="Q185" s="1"/>
  <c r="Y185" s="1"/>
  <c r="V278"/>
  <c r="U278" s="1"/>
  <c r="V138"/>
  <c r="U138" s="1"/>
  <c r="AA138" s="1"/>
  <c r="AB138" s="1"/>
  <c r="V277"/>
  <c r="U277" s="1"/>
  <c r="V137"/>
  <c r="U137" s="1"/>
  <c r="V276"/>
  <c r="U276" s="1"/>
  <c r="U101"/>
  <c r="Q101" s="1"/>
  <c r="Y101" s="1"/>
  <c r="V77"/>
  <c r="U77" s="1"/>
  <c r="V69"/>
  <c r="U69" s="1"/>
  <c r="AA69" s="1"/>
  <c r="AB69" s="1"/>
  <c r="V265"/>
  <c r="U265" s="1"/>
  <c r="S265" s="1"/>
  <c r="U295"/>
  <c r="Y295" s="1"/>
  <c r="U255"/>
  <c r="Q255" s="1"/>
  <c r="U35"/>
  <c r="Q35" s="1"/>
  <c r="Y35" s="1"/>
  <c r="V413"/>
  <c r="U413" s="1"/>
  <c r="U201"/>
  <c r="Q201" s="1"/>
  <c r="Y201" s="1"/>
  <c r="V412"/>
  <c r="U412" s="1"/>
  <c r="S412" s="1"/>
  <c r="U257"/>
  <c r="Q257" s="1"/>
  <c r="Y257" s="1"/>
  <c r="U266"/>
  <c r="Q266" s="1"/>
  <c r="Y266" s="1"/>
  <c r="V300"/>
  <c r="U300" s="1"/>
  <c r="Q300" s="1"/>
  <c r="W300" s="1"/>
  <c r="V374"/>
  <c r="U374" s="1"/>
  <c r="Q374" s="1"/>
  <c r="V296"/>
  <c r="U296" s="1"/>
  <c r="Q296" s="1"/>
  <c r="V23"/>
  <c r="U23" s="1"/>
  <c r="Q23" s="1"/>
  <c r="Y23" s="1"/>
  <c r="V225"/>
  <c r="U225" s="1"/>
  <c r="Q225" s="1"/>
  <c r="W225" s="1"/>
  <c r="V224"/>
  <c r="U224" s="1"/>
  <c r="Q224" s="1"/>
  <c r="U117"/>
  <c r="Q117" s="1"/>
  <c r="Y117" s="1"/>
  <c r="V407"/>
  <c r="U407" s="1"/>
  <c r="U258"/>
  <c r="Q258" s="1"/>
  <c r="Y258" s="1"/>
  <c r="V410"/>
  <c r="U410" s="1"/>
  <c r="S410" s="1"/>
  <c r="V165"/>
  <c r="U165" s="1"/>
  <c r="S165" s="1"/>
  <c r="V261"/>
  <c r="U261" s="1"/>
  <c r="S261" s="1"/>
  <c r="V348"/>
  <c r="U348" s="1"/>
  <c r="S348" s="1"/>
  <c r="V408"/>
  <c r="U408" s="1"/>
  <c r="Q408" s="1"/>
  <c r="Y408" s="1"/>
  <c r="V347"/>
  <c r="U347" s="1"/>
  <c r="V82"/>
  <c r="U82" s="1"/>
  <c r="V73"/>
  <c r="U73" s="1"/>
  <c r="AA73" s="1"/>
  <c r="AB73" s="1"/>
  <c r="V81"/>
  <c r="U81" s="1"/>
  <c r="S81" s="1"/>
  <c r="U256"/>
  <c r="Q256" s="1"/>
  <c r="Y256" s="1"/>
  <c r="V409"/>
  <c r="U409" s="1"/>
  <c r="V144"/>
  <c r="U144" s="1"/>
  <c r="Q144" s="1"/>
  <c r="Y144" s="1"/>
  <c r="V80"/>
  <c r="U80" s="1"/>
  <c r="Q80" s="1"/>
  <c r="V302"/>
  <c r="U302" s="1"/>
  <c r="AA302" s="1"/>
  <c r="AB302" s="1"/>
  <c r="V182"/>
  <c r="U182" s="1"/>
  <c r="V18"/>
  <c r="U18" s="1"/>
  <c r="Q18" s="1"/>
  <c r="W18" s="1"/>
  <c r="V379"/>
  <c r="U379" s="1"/>
  <c r="AA379" s="1"/>
  <c r="AB379" s="1"/>
  <c r="V181"/>
  <c r="U181" s="1"/>
  <c r="V299"/>
  <c r="U299" s="1"/>
  <c r="V221"/>
  <c r="U221" s="1"/>
  <c r="Q221" s="1"/>
  <c r="Y221" s="1"/>
  <c r="V237"/>
  <c r="U237" s="1"/>
  <c r="V393"/>
  <c r="U393" s="1"/>
  <c r="AA393" s="1"/>
  <c r="AB393" s="1"/>
  <c r="V156"/>
  <c r="U156" s="1"/>
  <c r="U308"/>
  <c r="Q308" s="1"/>
  <c r="Y308" s="1"/>
  <c r="U242"/>
  <c r="Q242" s="1"/>
  <c r="Y242" s="1"/>
  <c r="V100"/>
  <c r="U100" s="1"/>
  <c r="S100" s="1"/>
  <c r="V316"/>
  <c r="U316" s="1"/>
  <c r="S316" s="1"/>
  <c r="V392"/>
  <c r="U392" s="1"/>
  <c r="Q392" s="1"/>
  <c r="W392" s="1"/>
  <c r="U104"/>
  <c r="S104" s="1"/>
  <c r="V99"/>
  <c r="R99"/>
  <c r="V394"/>
  <c r="U394" s="1"/>
  <c r="S394" s="1"/>
  <c r="V98"/>
  <c r="U98" s="1"/>
  <c r="Q98" s="1"/>
  <c r="W98" s="1"/>
  <c r="V195"/>
  <c r="U195" s="1"/>
  <c r="S195" s="1"/>
  <c r="V32"/>
  <c r="U32" s="1"/>
  <c r="S32" s="1"/>
  <c r="V155"/>
  <c r="U155" s="1"/>
  <c r="S155" s="1"/>
  <c r="V31"/>
  <c r="U31" s="1"/>
  <c r="Q31" s="1"/>
  <c r="W31" s="1"/>
  <c r="V97"/>
  <c r="U97" s="1"/>
  <c r="S97" s="1"/>
  <c r="V194"/>
  <c r="U194" s="1"/>
  <c r="S194" s="1"/>
  <c r="V391"/>
  <c r="U391" s="1"/>
  <c r="S391" s="1"/>
  <c r="V390"/>
  <c r="U390" s="1"/>
  <c r="Q390" s="1"/>
  <c r="W390" s="1"/>
  <c r="U133"/>
  <c r="S133" s="1"/>
  <c r="V365"/>
  <c r="U365" s="1"/>
  <c r="V96"/>
  <c r="U96" s="1"/>
  <c r="S96" s="1"/>
  <c r="V180"/>
  <c r="U180" s="1"/>
  <c r="S180" s="1"/>
  <c r="V95"/>
  <c r="U95" s="1"/>
  <c r="V30"/>
  <c r="U30" s="1"/>
  <c r="V109"/>
  <c r="U109" s="1"/>
  <c r="Q109" s="1"/>
  <c r="Y109" s="1"/>
  <c r="V364"/>
  <c r="U364" s="1"/>
  <c r="S364" s="1"/>
  <c r="V244"/>
  <c r="U244" s="1"/>
  <c r="AA244" s="1"/>
  <c r="AB244" s="1"/>
  <c r="V68"/>
  <c r="U68" s="1"/>
  <c r="U57"/>
  <c r="Q57" s="1"/>
  <c r="Y57" s="1"/>
  <c r="V67"/>
  <c r="U67" s="1"/>
  <c r="V197"/>
  <c r="U197" s="1"/>
  <c r="AA197" s="1"/>
  <c r="AB197" s="1"/>
  <c r="V363"/>
  <c r="U363" s="1"/>
  <c r="Q363" s="1"/>
  <c r="V94"/>
  <c r="U94" s="1"/>
  <c r="R94"/>
  <c r="V380"/>
  <c r="U380" s="1"/>
  <c r="Q380" s="1"/>
  <c r="Y380" s="1"/>
  <c r="V236"/>
  <c r="U236" s="1"/>
  <c r="S236" s="1"/>
  <c r="U58"/>
  <c r="Q58" s="1"/>
  <c r="Y58" s="1"/>
  <c r="V66"/>
  <c r="U66" s="1"/>
  <c r="Q66" s="1"/>
  <c r="Y66" s="1"/>
  <c r="V318"/>
  <c r="U318" s="1"/>
  <c r="V21"/>
  <c r="U21" s="1"/>
  <c r="V147"/>
  <c r="U147" s="1"/>
  <c r="V146"/>
  <c r="U146" s="1"/>
  <c r="Q146" s="1"/>
  <c r="Y146" s="1"/>
  <c r="V70"/>
  <c r="U70" s="1"/>
  <c r="Q70" s="1"/>
  <c r="Y70" s="1"/>
  <c r="U139"/>
  <c r="Q139" s="1"/>
  <c r="V75"/>
  <c r="U75" s="1"/>
  <c r="AA75" s="1"/>
  <c r="AB75" s="1"/>
  <c r="V189"/>
  <c r="U189" s="1"/>
  <c r="S189" s="1"/>
  <c r="V79"/>
  <c r="U79" s="1"/>
  <c r="AA79" s="1"/>
  <c r="AB79" s="1"/>
  <c r="V188"/>
  <c r="U188" s="1"/>
  <c r="U103"/>
  <c r="Q103" s="1"/>
  <c r="Y103" s="1"/>
  <c r="V78"/>
  <c r="U78" s="1"/>
  <c r="Q78" s="1"/>
  <c r="Y78" s="1"/>
  <c r="V71"/>
  <c r="U71" s="1"/>
  <c r="S71" s="1"/>
  <c r="V235"/>
  <c r="U235" s="1"/>
  <c r="S235" s="1"/>
  <c r="U76"/>
  <c r="Q76" s="1"/>
  <c r="Y76" s="1"/>
  <c r="V65"/>
  <c r="U65" s="1"/>
  <c r="S65" s="1"/>
  <c r="V136"/>
  <c r="U136" s="1"/>
  <c r="V193"/>
  <c r="U193" s="1"/>
  <c r="AA193" s="1"/>
  <c r="AB193" s="1"/>
  <c r="U254"/>
  <c r="Q254" s="1"/>
  <c r="V43"/>
  <c r="U43" s="1"/>
  <c r="U269"/>
  <c r="Q269" s="1"/>
  <c r="Y269" s="1"/>
  <c r="V42"/>
  <c r="U42" s="1"/>
  <c r="S42" s="1"/>
  <c r="V111"/>
  <c r="U111" s="1"/>
  <c r="Q111" s="1"/>
  <c r="Y111" s="1"/>
  <c r="V238"/>
  <c r="U238" s="1"/>
  <c r="S238" s="1"/>
  <c r="V112"/>
  <c r="U112" s="1"/>
  <c r="S112" s="1"/>
  <c r="R112"/>
  <c r="V377"/>
  <c r="U377" s="1"/>
  <c r="Q377" s="1"/>
  <c r="V107"/>
  <c r="U107" s="1"/>
  <c r="Q107" s="1"/>
  <c r="Y107" s="1"/>
  <c r="V396"/>
  <c r="U396" s="1"/>
  <c r="S396" s="1"/>
  <c r="V29"/>
  <c r="U29" s="1"/>
  <c r="S29" s="1"/>
  <c r="U202"/>
  <c r="Q202" s="1"/>
  <c r="Y202" s="1"/>
  <c r="V362"/>
  <c r="U362" s="1"/>
  <c r="V106"/>
  <c r="U106" s="1"/>
  <c r="AA106" s="1"/>
  <c r="AB106" s="1"/>
  <c r="R106"/>
  <c r="V154"/>
  <c r="U154" s="1"/>
  <c r="S154" s="1"/>
  <c r="U105"/>
  <c r="Q105" s="1"/>
  <c r="Y105" s="1"/>
  <c r="V153"/>
  <c r="U153" s="1"/>
  <c r="V110"/>
  <c r="U110" s="1"/>
  <c r="Q110" s="1"/>
  <c r="Y110" s="1"/>
  <c r="V28"/>
  <c r="U28" s="1"/>
  <c r="V370"/>
  <c r="U370" s="1"/>
  <c r="AA370" s="1"/>
  <c r="AB370" s="1"/>
  <c r="V372"/>
  <c r="U372" s="1"/>
  <c r="AA372" s="1"/>
  <c r="AB372" s="1"/>
  <c r="V369"/>
  <c r="U369" s="1"/>
  <c r="Q369" s="1"/>
  <c r="Y369" s="1"/>
  <c r="V283"/>
  <c r="U283" s="1"/>
  <c r="V284"/>
  <c r="U284" s="1"/>
  <c r="AA284" s="1"/>
  <c r="AB284" s="1"/>
  <c r="V198"/>
  <c r="U198" s="1"/>
  <c r="V401"/>
  <c r="U401" s="1"/>
  <c r="Q401" s="1"/>
  <c r="W401" s="1"/>
  <c r="V282"/>
  <c r="U282" s="1"/>
  <c r="V64"/>
  <c r="U64" s="1"/>
  <c r="V371"/>
  <c r="U371" s="1"/>
  <c r="AA371" s="1"/>
  <c r="AB371" s="1"/>
  <c r="V187"/>
  <c r="U187" s="1"/>
  <c r="Q187" s="1"/>
  <c r="W187" s="1"/>
  <c r="V192"/>
  <c r="U192" s="1"/>
  <c r="AA192" s="1"/>
  <c r="AB192" s="1"/>
  <c r="V281"/>
  <c r="U281" s="1"/>
  <c r="V102"/>
  <c r="U102" s="1"/>
  <c r="AA102" s="1"/>
  <c r="AB102" s="1"/>
  <c r="V93"/>
  <c r="U93" s="1"/>
  <c r="Q93" s="1"/>
  <c r="W93" s="1"/>
  <c r="U373"/>
  <c r="V92"/>
  <c r="R92"/>
  <c r="V199"/>
  <c r="U199" s="1"/>
  <c r="Q199" s="1"/>
  <c r="Y199" s="1"/>
  <c r="V91"/>
  <c r="U91" s="1"/>
  <c r="V40"/>
  <c r="U40" s="1"/>
  <c r="Q40" s="1"/>
  <c r="Y40" s="1"/>
  <c r="V27"/>
  <c r="U27" s="1"/>
  <c r="V398"/>
  <c r="U398" s="1"/>
  <c r="AA398" s="1"/>
  <c r="AB398" s="1"/>
  <c r="V90"/>
  <c r="R90"/>
  <c r="V135"/>
  <c r="U135" s="1"/>
  <c r="U294"/>
  <c r="Q294" s="1"/>
  <c r="Y294" s="1"/>
  <c r="V234"/>
  <c r="U234" s="1"/>
  <c r="V108"/>
  <c r="R108"/>
  <c r="V89"/>
  <c r="U89" s="1"/>
  <c r="Q89" s="1"/>
  <c r="R89"/>
  <c r="V34"/>
  <c r="U34" s="1"/>
  <c r="S34" s="1"/>
  <c r="V88"/>
  <c r="U88" s="1"/>
  <c r="S88" s="1"/>
  <c r="V397"/>
  <c r="U397" s="1"/>
  <c r="Q397" s="1"/>
  <c r="Y397" s="1"/>
  <c r="V87"/>
  <c r="U87" s="1"/>
  <c r="S87" s="1"/>
  <c r="V272"/>
  <c r="U272" s="1"/>
  <c r="S272" s="1"/>
  <c r="V74"/>
  <c r="U74" s="1"/>
  <c r="Q74" s="1"/>
  <c r="Y74" s="1"/>
  <c r="V271"/>
  <c r="U271" s="1"/>
  <c r="S271" s="1"/>
  <c r="V298"/>
  <c r="U298" s="1"/>
  <c r="S298" s="1"/>
  <c r="U200"/>
  <c r="Q200" s="1"/>
  <c r="Y200" s="1"/>
  <c r="V411"/>
  <c r="U411" s="1"/>
  <c r="U395"/>
  <c r="Q395" s="1"/>
  <c r="Y395" s="1"/>
  <c r="V149"/>
  <c r="U149" s="1"/>
  <c r="V285"/>
  <c r="U285" s="1"/>
  <c r="AA285" s="1"/>
  <c r="AB285" s="1"/>
  <c r="V275"/>
  <c r="U275" s="1"/>
  <c r="V148"/>
  <c r="U148" s="1"/>
  <c r="V376"/>
  <c r="U376" s="1"/>
  <c r="V36"/>
  <c r="U36" s="1"/>
  <c r="V381"/>
  <c r="U381" s="1"/>
  <c r="AA381" s="1"/>
  <c r="AB381" s="1"/>
  <c r="V39"/>
  <c r="U39" s="1"/>
  <c r="S39" s="1"/>
  <c r="V56"/>
  <c r="U56" s="1"/>
  <c r="AA56" s="1"/>
  <c r="AB56" s="1"/>
  <c r="V361"/>
  <c r="U361" s="1"/>
  <c r="V116"/>
  <c r="U116" s="1"/>
  <c r="AA116" s="1"/>
  <c r="AB116" s="1"/>
  <c r="V55"/>
  <c r="U55" s="1"/>
  <c r="V378"/>
  <c r="U378" s="1"/>
  <c r="AA378" s="1"/>
  <c r="AB378" s="1"/>
  <c r="V54"/>
  <c r="U54" s="1"/>
  <c r="V360"/>
  <c r="U360" s="1"/>
  <c r="V134"/>
  <c r="U134" s="1"/>
  <c r="V359"/>
  <c r="U359" s="1"/>
  <c r="J383"/>
  <c r="H383"/>
  <c r="J384"/>
  <c r="H384"/>
  <c r="J229"/>
  <c r="H229"/>
  <c r="J196"/>
  <c r="H196"/>
  <c r="J382"/>
  <c r="H382"/>
  <c r="J357"/>
  <c r="H357"/>
  <c r="J358"/>
  <c r="H358"/>
  <c r="J252"/>
  <c r="H252"/>
  <c r="J217"/>
  <c r="H217"/>
  <c r="J247"/>
  <c r="H247"/>
  <c r="J172"/>
  <c r="H172"/>
  <c r="J175"/>
  <c r="H175"/>
  <c r="J329"/>
  <c r="H329"/>
  <c r="J228"/>
  <c r="H228"/>
  <c r="J241"/>
  <c r="H241"/>
  <c r="J330"/>
  <c r="H330"/>
  <c r="J356"/>
  <c r="H356"/>
  <c r="J240"/>
  <c r="H240"/>
  <c r="J328"/>
  <c r="H328"/>
  <c r="J86"/>
  <c r="H86"/>
  <c r="J327"/>
  <c r="H327"/>
  <c r="J191"/>
  <c r="H191"/>
  <c r="J320"/>
  <c r="H320"/>
  <c r="J319"/>
  <c r="H319"/>
  <c r="J321"/>
  <c r="H321"/>
  <c r="J130"/>
  <c r="H130"/>
  <c r="J230"/>
  <c r="H230"/>
  <c r="J345"/>
  <c r="H345"/>
  <c r="J85"/>
  <c r="H85"/>
  <c r="J84"/>
  <c r="H84"/>
  <c r="J227"/>
  <c r="H227"/>
  <c r="J17"/>
  <c r="H17"/>
  <c r="J405"/>
  <c r="H405"/>
  <c r="J274"/>
  <c r="H274"/>
  <c r="J119"/>
  <c r="H119"/>
  <c r="J231"/>
  <c r="H231"/>
  <c r="J289"/>
  <c r="H289"/>
  <c r="J375"/>
  <c r="H375"/>
  <c r="J160"/>
  <c r="H160"/>
  <c r="J52"/>
  <c r="H52"/>
  <c r="J145"/>
  <c r="H145"/>
  <c r="J317"/>
  <c r="H317"/>
  <c r="J426"/>
  <c r="H426"/>
  <c r="J161"/>
  <c r="H161"/>
  <c r="J60"/>
  <c r="H60"/>
  <c r="J264"/>
  <c r="H264"/>
  <c r="J59"/>
  <c r="H59"/>
  <c r="J270"/>
  <c r="H270"/>
  <c r="J267"/>
  <c r="H267"/>
  <c r="J268"/>
  <c r="H268"/>
  <c r="J280"/>
  <c r="H280"/>
  <c r="J248"/>
  <c r="H248"/>
  <c r="J385"/>
  <c r="H385"/>
  <c r="J33"/>
  <c r="H33"/>
  <c r="J122"/>
  <c r="H122"/>
  <c r="J216"/>
  <c r="H216"/>
  <c r="J121"/>
  <c r="H121"/>
  <c r="J20"/>
  <c r="H20"/>
  <c r="J232"/>
  <c r="H232"/>
  <c r="J309"/>
  <c r="H309"/>
  <c r="J190"/>
  <c r="H190"/>
  <c r="J19"/>
  <c r="H19"/>
  <c r="J16"/>
  <c r="H16"/>
  <c r="J290"/>
  <c r="H290"/>
  <c r="J118"/>
  <c r="H118"/>
  <c r="J169"/>
  <c r="H169"/>
  <c r="J355"/>
  <c r="H355"/>
  <c r="J354"/>
  <c r="H354"/>
  <c r="J387"/>
  <c r="H387"/>
  <c r="J131"/>
  <c r="H131"/>
  <c r="J288"/>
  <c r="H288"/>
  <c r="J179"/>
  <c r="H179"/>
  <c r="J152"/>
  <c r="H152"/>
  <c r="J132"/>
  <c r="H132"/>
  <c r="J341"/>
  <c r="H341"/>
  <c r="J425"/>
  <c r="H425"/>
  <c r="J62"/>
  <c r="H62"/>
  <c r="J159"/>
  <c r="H159"/>
  <c r="J63"/>
  <c r="H63"/>
  <c r="J158"/>
  <c r="H158"/>
  <c r="J263"/>
  <c r="H263"/>
  <c r="J61"/>
  <c r="H61"/>
  <c r="J157"/>
  <c r="H157"/>
  <c r="J162"/>
  <c r="H162"/>
  <c r="J215"/>
  <c r="H215"/>
  <c r="J222"/>
  <c r="H222"/>
  <c r="J313"/>
  <c r="H313"/>
  <c r="J223"/>
  <c r="H223"/>
  <c r="J214"/>
  <c r="H214"/>
  <c r="J314"/>
  <c r="H314"/>
  <c r="J262"/>
  <c r="H262"/>
  <c r="J41"/>
  <c r="H41"/>
  <c r="J213"/>
  <c r="H213"/>
  <c r="J312"/>
  <c r="H312"/>
  <c r="J303"/>
  <c r="H303"/>
  <c r="J311"/>
  <c r="H311"/>
  <c r="J304"/>
  <c r="H304"/>
  <c r="J184"/>
  <c r="H184"/>
  <c r="J251"/>
  <c r="H251"/>
  <c r="J168"/>
  <c r="H168"/>
  <c r="J129"/>
  <c r="H129"/>
  <c r="J310"/>
  <c r="H310"/>
  <c r="J250"/>
  <c r="H250"/>
  <c r="J171"/>
  <c r="H171"/>
  <c r="J173"/>
  <c r="H173"/>
  <c r="J203"/>
  <c r="H203"/>
  <c r="J243"/>
  <c r="H243"/>
  <c r="J183"/>
  <c r="H183"/>
  <c r="J239"/>
  <c r="H239"/>
  <c r="J151"/>
  <c r="H151"/>
  <c r="J167"/>
  <c r="H167"/>
  <c r="J399"/>
  <c r="H399"/>
  <c r="J170"/>
  <c r="H170"/>
  <c r="J331"/>
  <c r="H331"/>
  <c r="J249"/>
  <c r="H249"/>
  <c r="J218"/>
  <c r="H218"/>
  <c r="J128"/>
  <c r="H128"/>
  <c r="J424"/>
  <c r="H424"/>
  <c r="J177"/>
  <c r="H177"/>
  <c r="J423"/>
  <c r="H423"/>
  <c r="J176"/>
  <c r="H176"/>
  <c r="J422"/>
  <c r="H422"/>
  <c r="J178"/>
  <c r="H178"/>
  <c r="J208"/>
  <c r="H208"/>
  <c r="J338"/>
  <c r="H338"/>
  <c r="J15"/>
  <c r="H15"/>
  <c r="J226"/>
  <c r="H226"/>
  <c r="J353"/>
  <c r="H353"/>
  <c r="J211"/>
  <c r="H211"/>
  <c r="J352"/>
  <c r="H352"/>
  <c r="J47"/>
  <c r="H47"/>
  <c r="J25"/>
  <c r="H25"/>
  <c r="J143"/>
  <c r="H143"/>
  <c r="J126"/>
  <c r="H126"/>
  <c r="J24"/>
  <c r="H24"/>
  <c r="J287"/>
  <c r="H287"/>
  <c r="J26"/>
  <c r="H26"/>
  <c r="J403"/>
  <c r="H403"/>
  <c r="J421"/>
  <c r="H421"/>
  <c r="J340"/>
  <c r="H340"/>
  <c r="J124"/>
  <c r="H124"/>
  <c r="J14"/>
  <c r="H14"/>
  <c r="J406"/>
  <c r="H406"/>
  <c r="J46"/>
  <c r="H46"/>
  <c r="J245"/>
  <c r="H245"/>
  <c r="J404"/>
  <c r="H404"/>
  <c r="J210"/>
  <c r="H210"/>
  <c r="J414"/>
  <c r="H414"/>
  <c r="J337"/>
  <c r="H337"/>
  <c r="J260"/>
  <c r="H260"/>
  <c r="J339"/>
  <c r="H339"/>
  <c r="J343"/>
  <c r="H343"/>
  <c r="J45"/>
  <c r="H45"/>
  <c r="J204"/>
  <c r="H204"/>
  <c r="J220"/>
  <c r="H220"/>
  <c r="J336"/>
  <c r="H336"/>
  <c r="J123"/>
  <c r="H123"/>
  <c r="J351"/>
  <c r="H351"/>
  <c r="J13"/>
  <c r="H13"/>
  <c r="J335"/>
  <c r="H335"/>
  <c r="J273"/>
  <c r="H273"/>
  <c r="J350"/>
  <c r="H350"/>
  <c r="J315"/>
  <c r="H315"/>
  <c r="J120"/>
  <c r="H120"/>
  <c r="J9"/>
  <c r="H9"/>
  <c r="J307"/>
  <c r="H307"/>
  <c r="J207"/>
  <c r="H207"/>
  <c r="J51"/>
  <c r="H51"/>
  <c r="J420"/>
  <c r="H420"/>
  <c r="J305"/>
  <c r="H305"/>
  <c r="J306"/>
  <c r="H306"/>
  <c r="J50"/>
  <c r="H50"/>
  <c r="J83"/>
  <c r="H83"/>
  <c r="J49"/>
  <c r="H49"/>
  <c r="J388"/>
  <c r="H388"/>
  <c r="J386"/>
  <c r="H386"/>
  <c r="J389"/>
  <c r="H389"/>
  <c r="J349"/>
  <c r="H349"/>
  <c r="J344"/>
  <c r="H344"/>
  <c r="J209"/>
  <c r="H209"/>
  <c r="J48"/>
  <c r="H48"/>
  <c r="J206"/>
  <c r="H206"/>
  <c r="J342"/>
  <c r="H342"/>
  <c r="J212"/>
  <c r="H212"/>
  <c r="J72"/>
  <c r="H72"/>
  <c r="J286"/>
  <c r="H286"/>
  <c r="J400"/>
  <c r="H400"/>
  <c r="J205"/>
  <c r="H205"/>
  <c r="J10"/>
  <c r="H10"/>
  <c r="J419"/>
  <c r="H419"/>
  <c r="J418"/>
  <c r="H418"/>
  <c r="J417"/>
  <c r="H417"/>
  <c r="J219"/>
  <c r="H219"/>
  <c r="J416"/>
  <c r="H416"/>
  <c r="J174"/>
  <c r="H174"/>
  <c r="J142"/>
  <c r="H142"/>
  <c r="J334"/>
  <c r="H334"/>
  <c r="J166"/>
  <c r="H166"/>
  <c r="J333"/>
  <c r="H333"/>
  <c r="J246"/>
  <c r="H246"/>
  <c r="J8"/>
  <c r="H8"/>
  <c r="J259"/>
  <c r="H259"/>
  <c r="J7"/>
  <c r="H7"/>
  <c r="J127"/>
  <c r="H127"/>
  <c r="J164"/>
  <c r="H164"/>
  <c r="J113"/>
  <c r="H113"/>
  <c r="J163"/>
  <c r="H163"/>
  <c r="J125"/>
  <c r="H125"/>
  <c r="J297"/>
  <c r="H297"/>
  <c r="J325"/>
  <c r="H325"/>
  <c r="J323"/>
  <c r="H323"/>
  <c r="J346"/>
  <c r="H346"/>
  <c r="J11"/>
  <c r="H11"/>
  <c r="J322"/>
  <c r="H322"/>
  <c r="J326"/>
  <c r="H326"/>
  <c r="J233"/>
  <c r="H233"/>
  <c r="J150"/>
  <c r="H150"/>
  <c r="J12"/>
  <c r="H12"/>
  <c r="J324"/>
  <c r="H324"/>
  <c r="J114"/>
  <c r="H114"/>
  <c r="J415"/>
  <c r="H415"/>
  <c r="J332"/>
  <c r="H332"/>
  <c r="J115"/>
  <c r="H115"/>
  <c r="J38"/>
  <c r="H38"/>
  <c r="J253"/>
  <c r="H253"/>
  <c r="J292"/>
  <c r="H292"/>
  <c r="J293"/>
  <c r="H293"/>
  <c r="J291"/>
  <c r="H291"/>
  <c r="J141"/>
  <c r="H141"/>
  <c r="J140"/>
  <c r="H140"/>
  <c r="J53"/>
  <c r="H53"/>
  <c r="J368"/>
  <c r="H368"/>
  <c r="J367"/>
  <c r="H367"/>
  <c r="J366"/>
  <c r="H366"/>
  <c r="J402"/>
  <c r="H402"/>
  <c r="J44"/>
  <c r="H44"/>
  <c r="J279"/>
  <c r="H279"/>
  <c r="J37"/>
  <c r="H37"/>
  <c r="J186"/>
  <c r="H186"/>
  <c r="J301"/>
  <c r="H301"/>
  <c r="J185"/>
  <c r="H185"/>
  <c r="J278"/>
  <c r="H278"/>
  <c r="J138"/>
  <c r="H138"/>
  <c r="J277"/>
  <c r="H277"/>
  <c r="J137"/>
  <c r="H137"/>
  <c r="J276"/>
  <c r="H276"/>
  <c r="J101"/>
  <c r="H101"/>
  <c r="J77"/>
  <c r="H77"/>
  <c r="J69"/>
  <c r="H69"/>
  <c r="J265"/>
  <c r="H265"/>
  <c r="J295"/>
  <c r="H295"/>
  <c r="J255"/>
  <c r="H255"/>
  <c r="J35"/>
  <c r="H35"/>
  <c r="J413"/>
  <c r="H413"/>
  <c r="J201"/>
  <c r="H201"/>
  <c r="J412"/>
  <c r="H412"/>
  <c r="J257"/>
  <c r="H257"/>
  <c r="J266"/>
  <c r="H266"/>
  <c r="J300"/>
  <c r="H300"/>
  <c r="J374"/>
  <c r="H374"/>
  <c r="J296"/>
  <c r="H296"/>
  <c r="J23"/>
  <c r="H23"/>
  <c r="J225"/>
  <c r="H225"/>
  <c r="J224"/>
  <c r="H224"/>
  <c r="J117"/>
  <c r="H117"/>
  <c r="J407"/>
  <c r="H407"/>
  <c r="J258"/>
  <c r="H258"/>
  <c r="J410"/>
  <c r="H410"/>
  <c r="J165"/>
  <c r="H165"/>
  <c r="J261"/>
  <c r="H261"/>
  <c r="J348"/>
  <c r="H348"/>
  <c r="J408"/>
  <c r="H408"/>
  <c r="J347"/>
  <c r="H347"/>
  <c r="J82"/>
  <c r="H82"/>
  <c r="J73"/>
  <c r="H73"/>
  <c r="J81"/>
  <c r="H81"/>
  <c r="J256"/>
  <c r="H256"/>
  <c r="J409"/>
  <c r="H409"/>
  <c r="J144"/>
  <c r="H144"/>
  <c r="J80"/>
  <c r="H80"/>
  <c r="J302"/>
  <c r="H302"/>
  <c r="J182"/>
  <c r="H182"/>
  <c r="J18"/>
  <c r="H18"/>
  <c r="J379"/>
  <c r="H379"/>
  <c r="J181"/>
  <c r="H181"/>
  <c r="J299"/>
  <c r="H299"/>
  <c r="J221"/>
  <c r="H221"/>
  <c r="J237"/>
  <c r="H237"/>
  <c r="J393"/>
  <c r="H393"/>
  <c r="J156"/>
  <c r="H156"/>
  <c r="J308"/>
  <c r="H308"/>
  <c r="J242"/>
  <c r="H242"/>
  <c r="J100"/>
  <c r="H100"/>
  <c r="J316"/>
  <c r="H316"/>
  <c r="J392"/>
  <c r="H392"/>
  <c r="J104"/>
  <c r="H104"/>
  <c r="J99"/>
  <c r="H99"/>
  <c r="J394"/>
  <c r="H394"/>
  <c r="J98"/>
  <c r="H98"/>
  <c r="J195"/>
  <c r="H195"/>
  <c r="J32"/>
  <c r="H32"/>
  <c r="J155"/>
  <c r="H155"/>
  <c r="J31"/>
  <c r="H31"/>
  <c r="J97"/>
  <c r="H97"/>
  <c r="J194"/>
  <c r="H194"/>
  <c r="J391"/>
  <c r="H391"/>
  <c r="J390"/>
  <c r="H390"/>
  <c r="J133"/>
  <c r="H133"/>
  <c r="J365"/>
  <c r="H365"/>
  <c r="J96"/>
  <c r="H96"/>
  <c r="J180"/>
  <c r="H180"/>
  <c r="J95"/>
  <c r="H95"/>
  <c r="J30"/>
  <c r="H30"/>
  <c r="J109"/>
  <c r="H109"/>
  <c r="J364"/>
  <c r="H364"/>
  <c r="J244"/>
  <c r="H244"/>
  <c r="J68"/>
  <c r="H68"/>
  <c r="J57"/>
  <c r="H57"/>
  <c r="J67"/>
  <c r="H67"/>
  <c r="J197"/>
  <c r="H197"/>
  <c r="J363"/>
  <c r="H363"/>
  <c r="J94"/>
  <c r="H94"/>
  <c r="J380"/>
  <c r="H380"/>
  <c r="J236"/>
  <c r="H236"/>
  <c r="J58"/>
  <c r="H58"/>
  <c r="J66"/>
  <c r="H66"/>
  <c r="J318"/>
  <c r="H318"/>
  <c r="J21"/>
  <c r="H21"/>
  <c r="J147"/>
  <c r="H147"/>
  <c r="J146"/>
  <c r="H146"/>
  <c r="J70"/>
  <c r="H70"/>
  <c r="J139"/>
  <c r="H139"/>
  <c r="J75"/>
  <c r="H75"/>
  <c r="J189"/>
  <c r="H189"/>
  <c r="J79"/>
  <c r="H79"/>
  <c r="J188"/>
  <c r="H188"/>
  <c r="J103"/>
  <c r="H103"/>
  <c r="J78"/>
  <c r="H78"/>
  <c r="J71"/>
  <c r="H71"/>
  <c r="J235"/>
  <c r="H235"/>
  <c r="J76"/>
  <c r="H76"/>
  <c r="J65"/>
  <c r="H65"/>
  <c r="J136"/>
  <c r="H136"/>
  <c r="J193"/>
  <c r="H193"/>
  <c r="J254"/>
  <c r="H254"/>
  <c r="J43"/>
  <c r="H43"/>
  <c r="J269"/>
  <c r="H269"/>
  <c r="J42"/>
  <c r="H42"/>
  <c r="J111"/>
  <c r="H111"/>
  <c r="J238"/>
  <c r="H238"/>
  <c r="J112"/>
  <c r="H112"/>
  <c r="J377"/>
  <c r="H377"/>
  <c r="J107"/>
  <c r="H107"/>
  <c r="J396"/>
  <c r="H396"/>
  <c r="J29"/>
  <c r="H29"/>
  <c r="J202"/>
  <c r="H202"/>
  <c r="J362"/>
  <c r="H362"/>
  <c r="J106"/>
  <c r="H106"/>
  <c r="J154"/>
  <c r="H154"/>
  <c r="J105"/>
  <c r="H105"/>
  <c r="J153"/>
  <c r="H153"/>
  <c r="J110"/>
  <c r="H110"/>
  <c r="J28"/>
  <c r="H28"/>
  <c r="J370"/>
  <c r="H370"/>
  <c r="J22"/>
  <c r="H22"/>
  <c r="J372"/>
  <c r="H372"/>
  <c r="J369"/>
  <c r="H369"/>
  <c r="J283"/>
  <c r="H283"/>
  <c r="J284"/>
  <c r="H284"/>
  <c r="J198"/>
  <c r="H198"/>
  <c r="J401"/>
  <c r="H401"/>
  <c r="J282"/>
  <c r="H282"/>
  <c r="J64"/>
  <c r="H64"/>
  <c r="J371"/>
  <c r="H371"/>
  <c r="J187"/>
  <c r="H187"/>
  <c r="J192"/>
  <c r="H192"/>
  <c r="J281"/>
  <c r="H281"/>
  <c r="J102"/>
  <c r="H102"/>
  <c r="J93"/>
  <c r="H93"/>
  <c r="J373"/>
  <c r="H373"/>
  <c r="J92"/>
  <c r="H92"/>
  <c r="J199"/>
  <c r="H199"/>
  <c r="J91"/>
  <c r="H91"/>
  <c r="J40"/>
  <c r="H40"/>
  <c r="J27"/>
  <c r="H27"/>
  <c r="J398"/>
  <c r="H398"/>
  <c r="J90"/>
  <c r="H90"/>
  <c r="J135"/>
  <c r="H135"/>
  <c r="J294"/>
  <c r="H294"/>
  <c r="J234"/>
  <c r="H234"/>
  <c r="J108"/>
  <c r="H108"/>
  <c r="J89"/>
  <c r="H89"/>
  <c r="J34"/>
  <c r="H34"/>
  <c r="J88"/>
  <c r="H88"/>
  <c r="J397"/>
  <c r="H397"/>
  <c r="J87"/>
  <c r="H87"/>
  <c r="J272"/>
  <c r="H272"/>
  <c r="J74"/>
  <c r="H74"/>
  <c r="J271"/>
  <c r="H271"/>
  <c r="J298"/>
  <c r="H298"/>
  <c r="J200"/>
  <c r="H200"/>
  <c r="J411"/>
  <c r="H411"/>
  <c r="J395"/>
  <c r="H395"/>
  <c r="J149"/>
  <c r="H149"/>
  <c r="J285"/>
  <c r="H285"/>
  <c r="J275"/>
  <c r="H275"/>
  <c r="J148"/>
  <c r="H148"/>
  <c r="J376"/>
  <c r="H376"/>
  <c r="J36"/>
  <c r="H36"/>
  <c r="J381"/>
  <c r="H381"/>
  <c r="J39"/>
  <c r="H39"/>
  <c r="J56"/>
  <c r="H56"/>
  <c r="J361"/>
  <c r="H361"/>
  <c r="J116"/>
  <c r="H116"/>
  <c r="J55"/>
  <c r="H55"/>
  <c r="J378"/>
  <c r="H378"/>
  <c r="J54"/>
  <c r="H54"/>
  <c r="J360"/>
  <c r="H360"/>
  <c r="J134"/>
  <c r="H134"/>
  <c r="J359"/>
  <c r="H359"/>
  <c r="J5"/>
  <c r="Q373" l="1"/>
  <c r="Y373" s="1"/>
  <c r="AA373"/>
  <c r="AB373" s="1"/>
  <c r="W145"/>
  <c r="W286"/>
  <c r="Q285"/>
  <c r="Y285" s="1"/>
  <c r="Q102"/>
  <c r="Y102" s="1"/>
  <c r="Q112"/>
  <c r="Y112" s="1"/>
  <c r="Q75"/>
  <c r="Y75" s="1"/>
  <c r="Q197"/>
  <c r="Y197" s="1"/>
  <c r="Q244"/>
  <c r="Y244" s="1"/>
  <c r="Q393"/>
  <c r="Y393" s="1"/>
  <c r="Q138"/>
  <c r="Y138" s="1"/>
  <c r="Q174"/>
  <c r="Y174" s="1"/>
  <c r="Q388"/>
  <c r="Y388" s="1"/>
  <c r="Q126"/>
  <c r="Y126" s="1"/>
  <c r="Q173"/>
  <c r="Y173" s="1"/>
  <c r="Q304"/>
  <c r="Y304" s="1"/>
  <c r="Q223"/>
  <c r="Y223" s="1"/>
  <c r="Q263"/>
  <c r="Y263" s="1"/>
  <c r="Q179"/>
  <c r="Y179" s="1"/>
  <c r="Q268"/>
  <c r="Y268" s="1"/>
  <c r="W289"/>
  <c r="W204"/>
  <c r="W78"/>
  <c r="Q381"/>
  <c r="Y381" s="1"/>
  <c r="Q398"/>
  <c r="Y398" s="1"/>
  <c r="Q284"/>
  <c r="Y284" s="1"/>
  <c r="Q193"/>
  <c r="Y193" s="1"/>
  <c r="Q79"/>
  <c r="Y79" s="1"/>
  <c r="Q394"/>
  <c r="Y394" s="1"/>
  <c r="Q302"/>
  <c r="Y302" s="1"/>
  <c r="Q389"/>
  <c r="Y389" s="1"/>
  <c r="Q51"/>
  <c r="Y51" s="1"/>
  <c r="Q26"/>
  <c r="Y26" s="1"/>
  <c r="Q218"/>
  <c r="Y218" s="1"/>
  <c r="Q314"/>
  <c r="Y314" s="1"/>
  <c r="Q61"/>
  <c r="Y61" s="1"/>
  <c r="Q230"/>
  <c r="Y230" s="1"/>
  <c r="W228"/>
  <c r="W15"/>
  <c r="W292"/>
  <c r="Y16"/>
  <c r="Q56"/>
  <c r="Y56" s="1"/>
  <c r="Q371"/>
  <c r="Y371" s="1"/>
  <c r="Q370"/>
  <c r="Y370" s="1"/>
  <c r="Q379"/>
  <c r="Y379" s="1"/>
  <c r="Q73"/>
  <c r="Y73" s="1"/>
  <c r="Q69"/>
  <c r="Y69" s="1"/>
  <c r="Q344"/>
  <c r="Y344" s="1"/>
  <c r="Q120"/>
  <c r="Y120" s="1"/>
  <c r="Q343"/>
  <c r="Y343" s="1"/>
  <c r="Q406"/>
  <c r="Y406" s="1"/>
  <c r="Q129"/>
  <c r="Y129" s="1"/>
  <c r="Q162"/>
  <c r="Y162" s="1"/>
  <c r="Q62"/>
  <c r="Y62" s="1"/>
  <c r="Q354"/>
  <c r="Y354" s="1"/>
  <c r="Q161"/>
  <c r="Y161" s="1"/>
  <c r="Q264"/>
  <c r="Y264" s="1"/>
  <c r="W317"/>
  <c r="W332"/>
  <c r="Q116"/>
  <c r="Y116" s="1"/>
  <c r="Q34"/>
  <c r="Y34" s="1"/>
  <c r="Q192"/>
  <c r="Y192" s="1"/>
  <c r="Q372"/>
  <c r="Y372" s="1"/>
  <c r="Q106"/>
  <c r="Y106" s="1"/>
  <c r="Q71"/>
  <c r="Y71" s="1"/>
  <c r="Q104"/>
  <c r="Y104" s="1"/>
  <c r="Q324"/>
  <c r="Y324" s="1"/>
  <c r="Q325"/>
  <c r="Y325" s="1"/>
  <c r="Q219"/>
  <c r="Y219" s="1"/>
  <c r="Q342"/>
  <c r="Y342" s="1"/>
  <c r="Q220"/>
  <c r="Y220" s="1"/>
  <c r="Q47"/>
  <c r="Y47" s="1"/>
  <c r="Q222"/>
  <c r="Y222" s="1"/>
  <c r="Q63"/>
  <c r="Y63" s="1"/>
  <c r="Q131"/>
  <c r="Y131" s="1"/>
  <c r="Q270"/>
  <c r="Y270" s="1"/>
  <c r="Q345"/>
  <c r="Y345" s="1"/>
  <c r="Q175"/>
  <c r="Y175" s="1"/>
  <c r="Q321"/>
  <c r="Y321" s="1"/>
  <c r="W400"/>
  <c r="W40"/>
  <c r="W369"/>
  <c r="Q359"/>
  <c r="Y359" s="1"/>
  <c r="S40"/>
  <c r="AA40"/>
  <c r="AB40" s="1"/>
  <c r="AA105"/>
  <c r="AB105" s="1"/>
  <c r="S107"/>
  <c r="AA107"/>
  <c r="AB107" s="1"/>
  <c r="S380"/>
  <c r="AA380"/>
  <c r="AB380" s="1"/>
  <c r="S256"/>
  <c r="AA256"/>
  <c r="AB256" s="1"/>
  <c r="S117"/>
  <c r="AA117"/>
  <c r="AB117" s="1"/>
  <c r="Y296"/>
  <c r="W296"/>
  <c r="S257"/>
  <c r="AA257"/>
  <c r="AB257" s="1"/>
  <c r="S35"/>
  <c r="AA35"/>
  <c r="AB35" s="1"/>
  <c r="S185"/>
  <c r="AA185"/>
  <c r="AB185" s="1"/>
  <c r="Y279"/>
  <c r="W279"/>
  <c r="S141"/>
  <c r="AA141"/>
  <c r="AB141" s="1"/>
  <c r="AA259"/>
  <c r="AB259" s="1"/>
  <c r="AA166"/>
  <c r="AB166" s="1"/>
  <c r="S307"/>
  <c r="AA307"/>
  <c r="AB307" s="1"/>
  <c r="S260"/>
  <c r="AA260"/>
  <c r="AB260" s="1"/>
  <c r="AA404"/>
  <c r="AB404" s="1"/>
  <c r="AA331"/>
  <c r="AB331" s="1"/>
  <c r="S151"/>
  <c r="AA151"/>
  <c r="AB151" s="1"/>
  <c r="S243"/>
  <c r="AA243"/>
  <c r="AB243" s="1"/>
  <c r="S250"/>
  <c r="AA250"/>
  <c r="AB250" s="1"/>
  <c r="S251"/>
  <c r="AA251"/>
  <c r="AB251" s="1"/>
  <c r="AA303"/>
  <c r="AB303" s="1"/>
  <c r="AA232"/>
  <c r="AB232" s="1"/>
  <c r="AA375"/>
  <c r="AB375" s="1"/>
  <c r="AA274"/>
  <c r="AB274" s="1"/>
  <c r="S357"/>
  <c r="AA357"/>
  <c r="AB357" s="1"/>
  <c r="S384"/>
  <c r="AA384"/>
  <c r="AB384" s="1"/>
  <c r="W241"/>
  <c r="W119"/>
  <c r="W160"/>
  <c r="W122"/>
  <c r="W23"/>
  <c r="W66"/>
  <c r="Y333"/>
  <c r="Y225"/>
  <c r="Y392"/>
  <c r="Y401"/>
  <c r="AA112"/>
  <c r="AB112" s="1"/>
  <c r="AA200"/>
  <c r="AB200" s="1"/>
  <c r="AA269"/>
  <c r="AB269" s="1"/>
  <c r="AA70"/>
  <c r="AB70" s="1"/>
  <c r="Y363"/>
  <c r="W363"/>
  <c r="S140"/>
  <c r="AA140"/>
  <c r="AB140" s="1"/>
  <c r="AA115"/>
  <c r="AB115" s="1"/>
  <c r="S326"/>
  <c r="AA326"/>
  <c r="AB326" s="1"/>
  <c r="S306"/>
  <c r="AA306"/>
  <c r="AB306" s="1"/>
  <c r="S207"/>
  <c r="AA207"/>
  <c r="AB207" s="1"/>
  <c r="AA13"/>
  <c r="AB13" s="1"/>
  <c r="S178"/>
  <c r="AA178"/>
  <c r="AB178" s="1"/>
  <c r="S177"/>
  <c r="AA177"/>
  <c r="AB177" s="1"/>
  <c r="AA41"/>
  <c r="AB41" s="1"/>
  <c r="AA290"/>
  <c r="AB290" s="1"/>
  <c r="Y309"/>
  <c r="W309"/>
  <c r="W121"/>
  <c r="S328"/>
  <c r="AA328"/>
  <c r="AB328" s="1"/>
  <c r="S358"/>
  <c r="AA358"/>
  <c r="AB358" s="1"/>
  <c r="W19"/>
  <c r="W266"/>
  <c r="Y210"/>
  <c r="Y300"/>
  <c r="Y390"/>
  <c r="S74"/>
  <c r="AA74"/>
  <c r="AB74" s="1"/>
  <c r="W294"/>
  <c r="AA199"/>
  <c r="AB199" s="1"/>
  <c r="AA110"/>
  <c r="AB110" s="1"/>
  <c r="Y139"/>
  <c r="W139"/>
  <c r="W58"/>
  <c r="S109"/>
  <c r="AA109"/>
  <c r="AB109" s="1"/>
  <c r="AA308"/>
  <c r="AB308" s="1"/>
  <c r="AA221"/>
  <c r="AB221" s="1"/>
  <c r="AA144"/>
  <c r="AB144" s="1"/>
  <c r="S258"/>
  <c r="AA258"/>
  <c r="AB258" s="1"/>
  <c r="S201"/>
  <c r="AA201"/>
  <c r="AB201" s="1"/>
  <c r="S295"/>
  <c r="AA295"/>
  <c r="AB295" s="1"/>
  <c r="S101"/>
  <c r="AA101"/>
  <c r="AB101" s="1"/>
  <c r="AA186"/>
  <c r="AB186" s="1"/>
  <c r="S53"/>
  <c r="AA53"/>
  <c r="AB53" s="1"/>
  <c r="AA293"/>
  <c r="AB293" s="1"/>
  <c r="Y38"/>
  <c r="W38"/>
  <c r="S346"/>
  <c r="AA346"/>
  <c r="AB346" s="1"/>
  <c r="Q246"/>
  <c r="Y246" s="1"/>
  <c r="AA246"/>
  <c r="AB246" s="1"/>
  <c r="S142"/>
  <c r="AA142"/>
  <c r="AB142" s="1"/>
  <c r="Y212"/>
  <c r="W212"/>
  <c r="Y335"/>
  <c r="W335"/>
  <c r="S414"/>
  <c r="AA414"/>
  <c r="AB414" s="1"/>
  <c r="S353"/>
  <c r="AA353"/>
  <c r="AB353" s="1"/>
  <c r="AA208"/>
  <c r="AB208" s="1"/>
  <c r="Y423"/>
  <c r="W423"/>
  <c r="AA399"/>
  <c r="AB399" s="1"/>
  <c r="Y213"/>
  <c r="W213"/>
  <c r="Y118"/>
  <c r="W118"/>
  <c r="Y190"/>
  <c r="W190"/>
  <c r="AA231"/>
  <c r="AB231" s="1"/>
  <c r="AA330"/>
  <c r="AB330" s="1"/>
  <c r="S196"/>
  <c r="AA196"/>
  <c r="AB196" s="1"/>
  <c r="W312"/>
  <c r="W37"/>
  <c r="W57"/>
  <c r="Y226"/>
  <c r="Y418"/>
  <c r="Y31"/>
  <c r="Y93"/>
  <c r="AA71"/>
  <c r="AB71" s="1"/>
  <c r="AA394"/>
  <c r="AB394" s="1"/>
  <c r="S395"/>
  <c r="AA395"/>
  <c r="AB395" s="1"/>
  <c r="S397"/>
  <c r="AA397"/>
  <c r="AB397" s="1"/>
  <c r="Y89"/>
  <c r="W89"/>
  <c r="S294"/>
  <c r="AA294"/>
  <c r="AB294" s="1"/>
  <c r="S373"/>
  <c r="AA202"/>
  <c r="AB202" s="1"/>
  <c r="Y377"/>
  <c r="W377"/>
  <c r="S111"/>
  <c r="AA111"/>
  <c r="AB111" s="1"/>
  <c r="Y254"/>
  <c r="W254"/>
  <c r="S76"/>
  <c r="AA76"/>
  <c r="AB76" s="1"/>
  <c r="S103"/>
  <c r="AA103"/>
  <c r="AB103" s="1"/>
  <c r="S58"/>
  <c r="AA58"/>
  <c r="AB58" s="1"/>
  <c r="S242"/>
  <c r="AA242"/>
  <c r="AB242" s="1"/>
  <c r="Y80"/>
  <c r="W80"/>
  <c r="S408"/>
  <c r="AA408"/>
  <c r="AB408" s="1"/>
  <c r="Y224"/>
  <c r="W224"/>
  <c r="Y374"/>
  <c r="W374"/>
  <c r="Y255"/>
  <c r="W255"/>
  <c r="Y301"/>
  <c r="W301"/>
  <c r="Y44"/>
  <c r="W44"/>
  <c r="Y291"/>
  <c r="W291"/>
  <c r="AA253"/>
  <c r="AB253" s="1"/>
  <c r="Y415"/>
  <c r="W415"/>
  <c r="Y8"/>
  <c r="W8"/>
  <c r="S10"/>
  <c r="AA10"/>
  <c r="AB10" s="1"/>
  <c r="AA72"/>
  <c r="AB72" s="1"/>
  <c r="S83"/>
  <c r="AA83"/>
  <c r="AB83" s="1"/>
  <c r="Y420"/>
  <c r="W420"/>
  <c r="S273"/>
  <c r="AA273"/>
  <c r="AB273" s="1"/>
  <c r="Y338"/>
  <c r="W338"/>
  <c r="S176"/>
  <c r="AA176"/>
  <c r="AB176" s="1"/>
  <c r="Y170"/>
  <c r="W170"/>
  <c r="S132"/>
  <c r="AA132"/>
  <c r="AB132" s="1"/>
  <c r="S169"/>
  <c r="AA169"/>
  <c r="AB169" s="1"/>
  <c r="S122"/>
  <c r="AA122"/>
  <c r="AB122" s="1"/>
  <c r="S327"/>
  <c r="AA327"/>
  <c r="AB327" s="1"/>
  <c r="AA329"/>
  <c r="AB329" s="1"/>
  <c r="W52"/>
  <c r="W20"/>
  <c r="W146"/>
  <c r="Y18"/>
  <c r="Y98"/>
  <c r="Y187"/>
  <c r="AA34"/>
  <c r="AB34" s="1"/>
  <c r="AA369"/>
  <c r="AB369" s="1"/>
  <c r="AA57"/>
  <c r="AB57" s="1"/>
  <c r="S303"/>
  <c r="U99"/>
  <c r="Q99" s="1"/>
  <c r="Q194"/>
  <c r="Q247"/>
  <c r="Q32"/>
  <c r="Q305"/>
  <c r="S200"/>
  <c r="S202"/>
  <c r="S204"/>
  <c r="Q421"/>
  <c r="S331"/>
  <c r="S400"/>
  <c r="S259"/>
  <c r="S330"/>
  <c r="Q411"/>
  <c r="S411"/>
  <c r="Q281"/>
  <c r="S281"/>
  <c r="S371"/>
  <c r="Q28"/>
  <c r="S28"/>
  <c r="Q362"/>
  <c r="S362"/>
  <c r="Q94"/>
  <c r="S94"/>
  <c r="S379"/>
  <c r="S73"/>
  <c r="S69"/>
  <c r="S343"/>
  <c r="S203"/>
  <c r="Q203"/>
  <c r="S184"/>
  <c r="Q184"/>
  <c r="Q135"/>
  <c r="S135"/>
  <c r="S102"/>
  <c r="Q283"/>
  <c r="S283"/>
  <c r="S370"/>
  <c r="Q153"/>
  <c r="S153"/>
  <c r="S106"/>
  <c r="S79"/>
  <c r="Q237"/>
  <c r="S237"/>
  <c r="S11"/>
  <c r="Q11"/>
  <c r="S174"/>
  <c r="S45"/>
  <c r="Q45"/>
  <c r="S239"/>
  <c r="Q239"/>
  <c r="S129"/>
  <c r="Q282"/>
  <c r="S282"/>
  <c r="S284"/>
  <c r="S372"/>
  <c r="S188"/>
  <c r="Q188"/>
  <c r="S75"/>
  <c r="S347"/>
  <c r="Q347"/>
  <c r="S233"/>
  <c r="Q233"/>
  <c r="S310"/>
  <c r="Q310"/>
  <c r="Q91"/>
  <c r="S91"/>
  <c r="S192"/>
  <c r="Q64"/>
  <c r="S64"/>
  <c r="Q198"/>
  <c r="S198"/>
  <c r="Q318"/>
  <c r="S318"/>
  <c r="S82"/>
  <c r="Q82"/>
  <c r="S77"/>
  <c r="Q77"/>
  <c r="S150"/>
  <c r="S173"/>
  <c r="S341"/>
  <c r="Q341"/>
  <c r="S385"/>
  <c r="Q385"/>
  <c r="S105"/>
  <c r="S254"/>
  <c r="Q235"/>
  <c r="S78"/>
  <c r="S57"/>
  <c r="Q133"/>
  <c r="Q97"/>
  <c r="Q195"/>
  <c r="S392"/>
  <c r="Q100"/>
  <c r="S308"/>
  <c r="Q12"/>
  <c r="Q322"/>
  <c r="Q152"/>
  <c r="Q426"/>
  <c r="Q417"/>
  <c r="Q419"/>
  <c r="Q425"/>
  <c r="S89"/>
  <c r="S199"/>
  <c r="S93"/>
  <c r="S187"/>
  <c r="S401"/>
  <c r="S369"/>
  <c r="S110"/>
  <c r="S70"/>
  <c r="S80"/>
  <c r="Q189"/>
  <c r="S390"/>
  <c r="S31"/>
  <c r="S98"/>
  <c r="Q81"/>
  <c r="Q412"/>
  <c r="Q265"/>
  <c r="Q50"/>
  <c r="Q339"/>
  <c r="Q183"/>
  <c r="Q171"/>
  <c r="Q168"/>
  <c r="Q33"/>
  <c r="S359"/>
  <c r="Q54"/>
  <c r="S54"/>
  <c r="Q361"/>
  <c r="S361"/>
  <c r="Q36"/>
  <c r="S36"/>
  <c r="S285"/>
  <c r="Q234"/>
  <c r="S234"/>
  <c r="Q43"/>
  <c r="S43"/>
  <c r="S136"/>
  <c r="Q136"/>
  <c r="Q147"/>
  <c r="S147"/>
  <c r="Q67"/>
  <c r="S67"/>
  <c r="S244"/>
  <c r="S393"/>
  <c r="Q360"/>
  <c r="S360"/>
  <c r="S116"/>
  <c r="S381"/>
  <c r="Q275"/>
  <c r="S275"/>
  <c r="S193"/>
  <c r="S197"/>
  <c r="S68"/>
  <c r="Q68"/>
  <c r="S365"/>
  <c r="Q365"/>
  <c r="Q156"/>
  <c r="S156"/>
  <c r="Q181"/>
  <c r="S181"/>
  <c r="Q134"/>
  <c r="S134"/>
  <c r="Q55"/>
  <c r="S55"/>
  <c r="Q148"/>
  <c r="S148"/>
  <c r="Q27"/>
  <c r="S27"/>
  <c r="S95"/>
  <c r="Q95"/>
  <c r="Q299"/>
  <c r="S299"/>
  <c r="S302"/>
  <c r="Q378"/>
  <c r="S378"/>
  <c r="S56"/>
  <c r="Q376"/>
  <c r="S376"/>
  <c r="Q149"/>
  <c r="S149"/>
  <c r="S398"/>
  <c r="Q21"/>
  <c r="S21"/>
  <c r="S30"/>
  <c r="Q30"/>
  <c r="Q182"/>
  <c r="S182"/>
  <c r="Q409"/>
  <c r="S409"/>
  <c r="Q407"/>
  <c r="S407"/>
  <c r="Q413"/>
  <c r="S413"/>
  <c r="Q277"/>
  <c r="S277"/>
  <c r="Q366"/>
  <c r="S366"/>
  <c r="Q297"/>
  <c r="S297"/>
  <c r="Q164"/>
  <c r="S164"/>
  <c r="Q206"/>
  <c r="S206"/>
  <c r="Q349"/>
  <c r="S349"/>
  <c r="Q49"/>
  <c r="S49"/>
  <c r="S51"/>
  <c r="Q350"/>
  <c r="S350"/>
  <c r="Q123"/>
  <c r="S123"/>
  <c r="Q337"/>
  <c r="S337"/>
  <c r="Q46"/>
  <c r="S46"/>
  <c r="Q340"/>
  <c r="S340"/>
  <c r="S126"/>
  <c r="Q352"/>
  <c r="S352"/>
  <c r="Q128"/>
  <c r="S128"/>
  <c r="S314"/>
  <c r="S222"/>
  <c r="S61"/>
  <c r="Q159"/>
  <c r="S159"/>
  <c r="S131"/>
  <c r="Q216"/>
  <c r="S216"/>
  <c r="S268"/>
  <c r="S264"/>
  <c r="Q17"/>
  <c r="S17"/>
  <c r="S345"/>
  <c r="Q319"/>
  <c r="S319"/>
  <c r="Q172"/>
  <c r="S172"/>
  <c r="S383"/>
  <c r="Q383"/>
  <c r="Q298"/>
  <c r="Q271"/>
  <c r="Q272"/>
  <c r="Q87"/>
  <c r="Q88"/>
  <c r="U108"/>
  <c r="Q108" s="1"/>
  <c r="Y108" s="1"/>
  <c r="U90"/>
  <c r="Q90" s="1"/>
  <c r="U92"/>
  <c r="Q92" s="1"/>
  <c r="Q154"/>
  <c r="Q29"/>
  <c r="Q396"/>
  <c r="Q238"/>
  <c r="Q42"/>
  <c r="S139"/>
  <c r="Q96"/>
  <c r="Q137"/>
  <c r="S137"/>
  <c r="Q402"/>
  <c r="S402"/>
  <c r="S325"/>
  <c r="S113"/>
  <c r="S342"/>
  <c r="S344"/>
  <c r="S388"/>
  <c r="Q315"/>
  <c r="S315"/>
  <c r="Q351"/>
  <c r="S351"/>
  <c r="Q245"/>
  <c r="Y245" s="1"/>
  <c r="S245"/>
  <c r="Q124"/>
  <c r="S124"/>
  <c r="Q24"/>
  <c r="S24"/>
  <c r="S47"/>
  <c r="Q262"/>
  <c r="S262"/>
  <c r="Q313"/>
  <c r="S313"/>
  <c r="Q157"/>
  <c r="S157"/>
  <c r="S63"/>
  <c r="Q288"/>
  <c r="S288"/>
  <c r="Q355"/>
  <c r="S355"/>
  <c r="Q280"/>
  <c r="S280"/>
  <c r="Q59"/>
  <c r="S59"/>
  <c r="Q405"/>
  <c r="S405"/>
  <c r="Q85"/>
  <c r="S85"/>
  <c r="S321"/>
  <c r="S175"/>
  <c r="Q391"/>
  <c r="Q155"/>
  <c r="Q316"/>
  <c r="Q276"/>
  <c r="S276"/>
  <c r="Q278"/>
  <c r="S278"/>
  <c r="Q368"/>
  <c r="S368"/>
  <c r="S324"/>
  <c r="Q323"/>
  <c r="S323"/>
  <c r="Q163"/>
  <c r="S163"/>
  <c r="Q7"/>
  <c r="S7"/>
  <c r="Q205"/>
  <c r="S205"/>
  <c r="Q209"/>
  <c r="S209"/>
  <c r="Q386"/>
  <c r="S386"/>
  <c r="S120"/>
  <c r="S220"/>
  <c r="Q14"/>
  <c r="S14"/>
  <c r="Q287"/>
  <c r="S287"/>
  <c r="Q25"/>
  <c r="S25"/>
  <c r="Q249"/>
  <c r="S249"/>
  <c r="Q311"/>
  <c r="S311"/>
  <c r="S223"/>
  <c r="S162"/>
  <c r="Q158"/>
  <c r="S158"/>
  <c r="S354"/>
  <c r="S270"/>
  <c r="S161"/>
  <c r="Q84"/>
  <c r="S84"/>
  <c r="Q130"/>
  <c r="S130"/>
  <c r="Q191"/>
  <c r="S191"/>
  <c r="Q356"/>
  <c r="S356"/>
  <c r="S138"/>
  <c r="Q367"/>
  <c r="S367"/>
  <c r="Q114"/>
  <c r="S114"/>
  <c r="S125"/>
  <c r="S127"/>
  <c r="Q334"/>
  <c r="S334"/>
  <c r="S219"/>
  <c r="Q48"/>
  <c r="S48"/>
  <c r="S389"/>
  <c r="Q9"/>
  <c r="S9"/>
  <c r="Q336"/>
  <c r="S336"/>
  <c r="S406"/>
  <c r="S26"/>
  <c r="Q143"/>
  <c r="S143"/>
  <c r="Q211"/>
  <c r="S211"/>
  <c r="S218"/>
  <c r="Q167"/>
  <c r="S167"/>
  <c r="Q214"/>
  <c r="S214"/>
  <c r="Q215"/>
  <c r="S215"/>
  <c r="S263"/>
  <c r="S62"/>
  <c r="Q387"/>
  <c r="S387"/>
  <c r="Q267"/>
  <c r="S267"/>
  <c r="Q60"/>
  <c r="S60"/>
  <c r="Q227"/>
  <c r="S227"/>
  <c r="S230"/>
  <c r="Q320"/>
  <c r="S320"/>
  <c r="Q240"/>
  <c r="S240"/>
  <c r="S377"/>
  <c r="S269"/>
  <c r="Q65"/>
  <c r="S146"/>
  <c r="S66"/>
  <c r="Q236"/>
  <c r="S363"/>
  <c r="Q364"/>
  <c r="Q180"/>
  <c r="S221"/>
  <c r="S18"/>
  <c r="S144"/>
  <c r="Q348"/>
  <c r="Q261"/>
  <c r="Q165"/>
  <c r="Q410"/>
  <c r="Q86"/>
  <c r="Q217"/>
  <c r="Q252"/>
  <c r="Q382"/>
  <c r="Q229"/>
  <c r="S224"/>
  <c r="S225"/>
  <c r="S23"/>
  <c r="S296"/>
  <c r="S374"/>
  <c r="S300"/>
  <c r="S266"/>
  <c r="S255"/>
  <c r="S301"/>
  <c r="S186"/>
  <c r="S37"/>
  <c r="S279"/>
  <c r="S44"/>
  <c r="S291"/>
  <c r="S293"/>
  <c r="S292"/>
  <c r="S253"/>
  <c r="S38"/>
  <c r="S115"/>
  <c r="S332"/>
  <c r="S415"/>
  <c r="S8"/>
  <c r="S246"/>
  <c r="S333"/>
  <c r="S166"/>
  <c r="Q416"/>
  <c r="S418"/>
  <c r="S286"/>
  <c r="S72"/>
  <c r="S212"/>
  <c r="S420"/>
  <c r="S335"/>
  <c r="S13"/>
  <c r="S210"/>
  <c r="S404"/>
  <c r="Q403"/>
  <c r="S226"/>
  <c r="S15"/>
  <c r="S338"/>
  <c r="S208"/>
  <c r="Q422"/>
  <c r="S423"/>
  <c r="Q424"/>
  <c r="S170"/>
  <c r="S399"/>
  <c r="S312"/>
  <c r="S213"/>
  <c r="S41"/>
  <c r="S118"/>
  <c r="S290"/>
  <c r="S16"/>
  <c r="S19"/>
  <c r="S190"/>
  <c r="S309"/>
  <c r="S232"/>
  <c r="S20"/>
  <c r="S121"/>
  <c r="Q248"/>
  <c r="S317"/>
  <c r="S145"/>
  <c r="S52"/>
  <c r="S160"/>
  <c r="S375"/>
  <c r="S289"/>
  <c r="S231"/>
  <c r="S119"/>
  <c r="S274"/>
  <c r="S241"/>
  <c r="S228"/>
  <c r="S329"/>
  <c r="S99" l="1"/>
  <c r="W359"/>
  <c r="W328"/>
  <c r="W179"/>
  <c r="W304"/>
  <c r="W307"/>
  <c r="Y416"/>
  <c r="W416"/>
  <c r="W101"/>
  <c r="Y229"/>
  <c r="W229"/>
  <c r="W358"/>
  <c r="Y410"/>
  <c r="W410"/>
  <c r="W364"/>
  <c r="Y364"/>
  <c r="Y155"/>
  <c r="W155"/>
  <c r="W175"/>
  <c r="Y85"/>
  <c r="W85"/>
  <c r="Y59"/>
  <c r="W59"/>
  <c r="W355"/>
  <c r="Y355"/>
  <c r="W63"/>
  <c r="Y313"/>
  <c r="W313"/>
  <c r="W47"/>
  <c r="Y124"/>
  <c r="W124"/>
  <c r="Y351"/>
  <c r="W351"/>
  <c r="W388"/>
  <c r="W342"/>
  <c r="W325"/>
  <c r="Y137"/>
  <c r="W137"/>
  <c r="W380"/>
  <c r="Y238"/>
  <c r="W238"/>
  <c r="W29"/>
  <c r="Y29"/>
  <c r="AA108"/>
  <c r="AB108" s="1"/>
  <c r="Y87"/>
  <c r="W87"/>
  <c r="Y298"/>
  <c r="W298"/>
  <c r="Y172"/>
  <c r="W172"/>
  <c r="W345"/>
  <c r="W264"/>
  <c r="Y216"/>
  <c r="W216"/>
  <c r="Y159"/>
  <c r="W159"/>
  <c r="W222"/>
  <c r="Y128"/>
  <c r="W128"/>
  <c r="W126"/>
  <c r="Y46"/>
  <c r="W46"/>
  <c r="Y123"/>
  <c r="W123"/>
  <c r="W51"/>
  <c r="Y349"/>
  <c r="W349"/>
  <c r="Y164"/>
  <c r="W164"/>
  <c r="Y366"/>
  <c r="W366"/>
  <c r="Y413"/>
  <c r="W413"/>
  <c r="Y409"/>
  <c r="W409"/>
  <c r="W398"/>
  <c r="Y376"/>
  <c r="W376"/>
  <c r="Y378"/>
  <c r="W378"/>
  <c r="Y299"/>
  <c r="W299"/>
  <c r="Y27"/>
  <c r="W27"/>
  <c r="W55"/>
  <c r="Y55"/>
  <c r="Y181"/>
  <c r="W181"/>
  <c r="W197"/>
  <c r="Y275"/>
  <c r="W275"/>
  <c r="W116"/>
  <c r="W393"/>
  <c r="W67"/>
  <c r="Y67"/>
  <c r="Y234"/>
  <c r="W234"/>
  <c r="Y36"/>
  <c r="W36"/>
  <c r="Y54"/>
  <c r="W54"/>
  <c r="Y168"/>
  <c r="W168"/>
  <c r="Y50"/>
  <c r="W50"/>
  <c r="W408"/>
  <c r="W151"/>
  <c r="W142"/>
  <c r="W251"/>
  <c r="Y12"/>
  <c r="W12"/>
  <c r="Y97"/>
  <c r="W97"/>
  <c r="Y385"/>
  <c r="W385"/>
  <c r="W173"/>
  <c r="Y77"/>
  <c r="W77"/>
  <c r="Y233"/>
  <c r="W233"/>
  <c r="W75"/>
  <c r="Y239"/>
  <c r="W239"/>
  <c r="W174"/>
  <c r="Y184"/>
  <c r="W184"/>
  <c r="W343"/>
  <c r="W73"/>
  <c r="W295"/>
  <c r="W169"/>
  <c r="W207"/>
  <c r="Y32"/>
  <c r="W32"/>
  <c r="W178"/>
  <c r="W104"/>
  <c r="W329"/>
  <c r="W274"/>
  <c r="W232"/>
  <c r="W331"/>
  <c r="W166"/>
  <c r="W105"/>
  <c r="Y424"/>
  <c r="W424"/>
  <c r="W384"/>
  <c r="W357"/>
  <c r="Y86"/>
  <c r="W86"/>
  <c r="W348"/>
  <c r="Y348"/>
  <c r="W180"/>
  <c r="Y180"/>
  <c r="Y320"/>
  <c r="W320"/>
  <c r="Y227"/>
  <c r="W227"/>
  <c r="Y267"/>
  <c r="W267"/>
  <c r="W62"/>
  <c r="Y215"/>
  <c r="W215"/>
  <c r="W167"/>
  <c r="Y167"/>
  <c r="Y211"/>
  <c r="W211"/>
  <c r="W26"/>
  <c r="Y336"/>
  <c r="W336"/>
  <c r="W389"/>
  <c r="W219"/>
  <c r="W127"/>
  <c r="Y114"/>
  <c r="W114"/>
  <c r="W138"/>
  <c r="Y191"/>
  <c r="W191"/>
  <c r="Y84"/>
  <c r="W84"/>
  <c r="W270"/>
  <c r="Y158"/>
  <c r="W158"/>
  <c r="W223"/>
  <c r="W249"/>
  <c r="Y249"/>
  <c r="Y287"/>
  <c r="W287"/>
  <c r="W220"/>
  <c r="Y386"/>
  <c r="W386"/>
  <c r="Y205"/>
  <c r="W205"/>
  <c r="W163"/>
  <c r="Y163"/>
  <c r="W324"/>
  <c r="Y278"/>
  <c r="W278"/>
  <c r="W394"/>
  <c r="W109"/>
  <c r="W111"/>
  <c r="Y396"/>
  <c r="W396"/>
  <c r="W90"/>
  <c r="Y90"/>
  <c r="W397"/>
  <c r="W271"/>
  <c r="Y271"/>
  <c r="Y30"/>
  <c r="W30"/>
  <c r="Y365"/>
  <c r="W365"/>
  <c r="W136"/>
  <c r="Y136"/>
  <c r="W132"/>
  <c r="W339"/>
  <c r="Y339"/>
  <c r="Y412"/>
  <c r="W412"/>
  <c r="Y425"/>
  <c r="W425"/>
  <c r="Y417"/>
  <c r="W417"/>
  <c r="Y152"/>
  <c r="W152"/>
  <c r="Y322"/>
  <c r="W322"/>
  <c r="W185"/>
  <c r="Y195"/>
  <c r="W195"/>
  <c r="W103"/>
  <c r="Y198"/>
  <c r="W198"/>
  <c r="W192"/>
  <c r="W284"/>
  <c r="Y153"/>
  <c r="W153"/>
  <c r="Y283"/>
  <c r="W283"/>
  <c r="Y135"/>
  <c r="W135"/>
  <c r="W379"/>
  <c r="Y362"/>
  <c r="W362"/>
  <c r="W371"/>
  <c r="Y411"/>
  <c r="W411"/>
  <c r="W177"/>
  <c r="W273"/>
  <c r="W414"/>
  <c r="W242"/>
  <c r="Y247"/>
  <c r="W247"/>
  <c r="Y99"/>
  <c r="W99"/>
  <c r="W117"/>
  <c r="W231"/>
  <c r="W399"/>
  <c r="W208"/>
  <c r="W246"/>
  <c r="W144"/>
  <c r="W308"/>
  <c r="W110"/>
  <c r="W41"/>
  <c r="W70"/>
  <c r="W200"/>
  <c r="Y248"/>
  <c r="W248"/>
  <c r="Y403"/>
  <c r="W403"/>
  <c r="W306"/>
  <c r="W10"/>
  <c r="W140"/>
  <c r="W201"/>
  <c r="W258"/>
  <c r="Y382"/>
  <c r="W382"/>
  <c r="Y217"/>
  <c r="W217"/>
  <c r="Y261"/>
  <c r="W261"/>
  <c r="Y236"/>
  <c r="W236"/>
  <c r="Y316"/>
  <c r="W316"/>
  <c r="W76"/>
  <c r="W321"/>
  <c r="Y405"/>
  <c r="W405"/>
  <c r="W280"/>
  <c r="Y280"/>
  <c r="Y288"/>
  <c r="W288"/>
  <c r="W157"/>
  <c r="Y157"/>
  <c r="W262"/>
  <c r="Y262"/>
  <c r="W24"/>
  <c r="Y24"/>
  <c r="W245"/>
  <c r="W315"/>
  <c r="Y315"/>
  <c r="W344"/>
  <c r="W113"/>
  <c r="W402"/>
  <c r="Y402"/>
  <c r="Y96"/>
  <c r="W96"/>
  <c r="Y42"/>
  <c r="W42"/>
  <c r="W107"/>
  <c r="Y92"/>
  <c r="W92"/>
  <c r="Y88"/>
  <c r="W88"/>
  <c r="W74"/>
  <c r="Y319"/>
  <c r="W319"/>
  <c r="Y17"/>
  <c r="W17"/>
  <c r="W268"/>
  <c r="W131"/>
  <c r="W61"/>
  <c r="W314"/>
  <c r="Y352"/>
  <c r="W352"/>
  <c r="Y340"/>
  <c r="W340"/>
  <c r="Y337"/>
  <c r="W337"/>
  <c r="Y350"/>
  <c r="W350"/>
  <c r="Y49"/>
  <c r="W49"/>
  <c r="Y206"/>
  <c r="W206"/>
  <c r="Y297"/>
  <c r="W297"/>
  <c r="Y277"/>
  <c r="W277"/>
  <c r="Y407"/>
  <c r="W407"/>
  <c r="Y182"/>
  <c r="W182"/>
  <c r="Y21"/>
  <c r="W21"/>
  <c r="Y149"/>
  <c r="W149"/>
  <c r="W56"/>
  <c r="W302"/>
  <c r="W148"/>
  <c r="Y148"/>
  <c r="W134"/>
  <c r="Y134"/>
  <c r="Y156"/>
  <c r="W156"/>
  <c r="W381"/>
  <c r="Y360"/>
  <c r="W360"/>
  <c r="Y147"/>
  <c r="W147"/>
  <c r="Y43"/>
  <c r="W43"/>
  <c r="W285"/>
  <c r="Y361"/>
  <c r="W361"/>
  <c r="Y33"/>
  <c r="W33"/>
  <c r="Y183"/>
  <c r="W183"/>
  <c r="Y265"/>
  <c r="W265"/>
  <c r="Y419"/>
  <c r="W419"/>
  <c r="Y426"/>
  <c r="W426"/>
  <c r="W243"/>
  <c r="W53"/>
  <c r="Y341"/>
  <c r="W341"/>
  <c r="W150"/>
  <c r="Y82"/>
  <c r="W82"/>
  <c r="Y310"/>
  <c r="W310"/>
  <c r="Y347"/>
  <c r="W347"/>
  <c r="Y188"/>
  <c r="W188"/>
  <c r="W129"/>
  <c r="Y45"/>
  <c r="W45"/>
  <c r="Y11"/>
  <c r="W11"/>
  <c r="W79"/>
  <c r="Y203"/>
  <c r="W203"/>
  <c r="W69"/>
  <c r="W373"/>
  <c r="W257"/>
  <c r="W395"/>
  <c r="Y194"/>
  <c r="W194"/>
  <c r="W176"/>
  <c r="W72"/>
  <c r="W253"/>
  <c r="W202"/>
  <c r="W375"/>
  <c r="W303"/>
  <c r="W404"/>
  <c r="W259"/>
  <c r="Y422"/>
  <c r="W422"/>
  <c r="W260"/>
  <c r="W346"/>
  <c r="W196"/>
  <c r="Y252"/>
  <c r="W252"/>
  <c r="Y165"/>
  <c r="W165"/>
  <c r="Y65"/>
  <c r="W65"/>
  <c r="Y240"/>
  <c r="W240"/>
  <c r="W230"/>
  <c r="Y60"/>
  <c r="W60"/>
  <c r="Y387"/>
  <c r="W387"/>
  <c r="W263"/>
  <c r="Y214"/>
  <c r="W214"/>
  <c r="W218"/>
  <c r="Y143"/>
  <c r="W143"/>
  <c r="W406"/>
  <c r="Y9"/>
  <c r="W9"/>
  <c r="Y48"/>
  <c r="W48"/>
  <c r="Y334"/>
  <c r="W334"/>
  <c r="W125"/>
  <c r="Y367"/>
  <c r="W367"/>
  <c r="Y356"/>
  <c r="W356"/>
  <c r="Y130"/>
  <c r="W130"/>
  <c r="W161"/>
  <c r="W354"/>
  <c r="W162"/>
  <c r="Y311"/>
  <c r="W311"/>
  <c r="Y25"/>
  <c r="W25"/>
  <c r="Y14"/>
  <c r="W14"/>
  <c r="W120"/>
  <c r="Y209"/>
  <c r="W209"/>
  <c r="W7"/>
  <c r="Y7"/>
  <c r="W323"/>
  <c r="Y323"/>
  <c r="Y368"/>
  <c r="W368"/>
  <c r="Y276"/>
  <c r="W276"/>
  <c r="Y391"/>
  <c r="W391"/>
  <c r="W112"/>
  <c r="W154"/>
  <c r="Y154"/>
  <c r="W34"/>
  <c r="Y272"/>
  <c r="W272"/>
  <c r="Y383"/>
  <c r="W383"/>
  <c r="Y95"/>
  <c r="W95"/>
  <c r="Y68"/>
  <c r="W68"/>
  <c r="W193"/>
  <c r="W244"/>
  <c r="Y171"/>
  <c r="W171"/>
  <c r="W326"/>
  <c r="Y81"/>
  <c r="W81"/>
  <c r="Y189"/>
  <c r="W189"/>
  <c r="W353"/>
  <c r="W327"/>
  <c r="W250"/>
  <c r="W141"/>
  <c r="Y100"/>
  <c r="W100"/>
  <c r="Y133"/>
  <c r="W133"/>
  <c r="Y235"/>
  <c r="W235"/>
  <c r="W318"/>
  <c r="Y318"/>
  <c r="Y64"/>
  <c r="W64"/>
  <c r="W91"/>
  <c r="Y91"/>
  <c r="W372"/>
  <c r="Y282"/>
  <c r="W282"/>
  <c r="Y237"/>
  <c r="W237"/>
  <c r="W106"/>
  <c r="W370"/>
  <c r="W102"/>
  <c r="Y94"/>
  <c r="W94"/>
  <c r="W28"/>
  <c r="Y28"/>
  <c r="Y281"/>
  <c r="W281"/>
  <c r="W421"/>
  <c r="Y421"/>
  <c r="W256"/>
  <c r="W83"/>
  <c r="Y305"/>
  <c r="W305"/>
  <c r="W71"/>
  <c r="W35"/>
  <c r="W330"/>
  <c r="W293"/>
  <c r="W186"/>
  <c r="W221"/>
  <c r="W199"/>
  <c r="W290"/>
  <c r="W13"/>
  <c r="W115"/>
  <c r="W269"/>
  <c r="S92"/>
  <c r="S90"/>
  <c r="S108"/>
  <c r="W108" l="1"/>
  <c r="AF263" l="1"/>
  <c r="AF180"/>
  <c r="AF364"/>
  <c r="AF67"/>
  <c r="BA143"/>
  <c r="AZ143"/>
  <c r="AY143"/>
  <c r="AX143"/>
  <c r="AW143"/>
  <c r="AV143"/>
  <c r="AU143"/>
  <c r="AT143"/>
  <c r="AS143"/>
  <c r="AR143"/>
  <c r="BA126"/>
  <c r="AZ126"/>
  <c r="AY126"/>
  <c r="AX126"/>
  <c r="AW126"/>
  <c r="AV126"/>
  <c r="AU126"/>
  <c r="AT126"/>
  <c r="AS126"/>
  <c r="AR126"/>
  <c r="BA349"/>
  <c r="AZ349"/>
  <c r="AY349"/>
  <c r="AX349"/>
  <c r="AW349"/>
  <c r="AV349"/>
  <c r="AU349"/>
  <c r="AT349"/>
  <c r="AS349"/>
  <c r="AR349"/>
  <c r="BA205"/>
  <c r="AZ205"/>
  <c r="AY205"/>
  <c r="AX205"/>
  <c r="AW205"/>
  <c r="AV205"/>
  <c r="AU205"/>
  <c r="AT205"/>
  <c r="AS205"/>
  <c r="AR205"/>
  <c r="BA417"/>
  <c r="AZ417"/>
  <c r="AY417"/>
  <c r="AX417"/>
  <c r="AW417"/>
  <c r="AV417"/>
  <c r="AU417"/>
  <c r="AT417"/>
  <c r="AS417"/>
  <c r="AR417"/>
  <c r="BA251"/>
  <c r="AZ251"/>
  <c r="AY251"/>
  <c r="AX251"/>
  <c r="AW251"/>
  <c r="AV251"/>
  <c r="AU251"/>
  <c r="AT251"/>
  <c r="AS251"/>
  <c r="AR251"/>
  <c r="BA168"/>
  <c r="AZ168"/>
  <c r="AY168"/>
  <c r="AX168"/>
  <c r="AW168"/>
  <c r="AV168"/>
  <c r="AU168"/>
  <c r="AT168"/>
  <c r="AS168"/>
  <c r="AR168"/>
  <c r="BA151"/>
  <c r="AZ151"/>
  <c r="AY151"/>
  <c r="AX151"/>
  <c r="AW151"/>
  <c r="AV151"/>
  <c r="AU151"/>
  <c r="AT151"/>
  <c r="AS151"/>
  <c r="AR151"/>
  <c r="BA170"/>
  <c r="AZ170"/>
  <c r="AY170"/>
  <c r="AX170"/>
  <c r="AW170"/>
  <c r="AV170"/>
  <c r="AU170"/>
  <c r="AT170"/>
  <c r="AS170"/>
  <c r="AR170"/>
  <c r="BK221"/>
  <c r="BJ221"/>
  <c r="BF221"/>
  <c r="BK248"/>
  <c r="BD248"/>
  <c r="BB248"/>
  <c r="AF383"/>
  <c r="AF384"/>
  <c r="AF229"/>
  <c r="AF196"/>
  <c r="AF382"/>
  <c r="AF357"/>
  <c r="AF247"/>
  <c r="AF172"/>
  <c r="AF175"/>
  <c r="AF329"/>
  <c r="AF241"/>
  <c r="AF330"/>
  <c r="AF356"/>
  <c r="AF240"/>
  <c r="AF86"/>
  <c r="AF327"/>
  <c r="AF320"/>
  <c r="AF319"/>
  <c r="AF321"/>
  <c r="AF130"/>
  <c r="AF230"/>
  <c r="AF345"/>
  <c r="AF85"/>
  <c r="AF227"/>
  <c r="AF405"/>
  <c r="AF119"/>
  <c r="AF231"/>
  <c r="AF289"/>
  <c r="AF375"/>
  <c r="AF160"/>
  <c r="AF426"/>
  <c r="AF161"/>
  <c r="AF59"/>
  <c r="AF268"/>
  <c r="AF280"/>
  <c r="AF248"/>
  <c r="AF385"/>
  <c r="AF121"/>
  <c r="AF20"/>
  <c r="AF309"/>
  <c r="AF190"/>
  <c r="AF16"/>
  <c r="AF290"/>
  <c r="AF118"/>
  <c r="AF169"/>
  <c r="AF354"/>
  <c r="AF131"/>
  <c r="AF179"/>
  <c r="AF152"/>
  <c r="AF132"/>
  <c r="AF159"/>
  <c r="AF158"/>
  <c r="AF61"/>
  <c r="AF162"/>
  <c r="AF222"/>
  <c r="AF223"/>
  <c r="AF214"/>
  <c r="AF314"/>
  <c r="AF41"/>
  <c r="AF213"/>
  <c r="AF311"/>
  <c r="AF304"/>
  <c r="AF184"/>
  <c r="AF168"/>
  <c r="AF129"/>
  <c r="AF171"/>
  <c r="AF173"/>
  <c r="AF203"/>
  <c r="AF183"/>
  <c r="AF239"/>
  <c r="AF151"/>
  <c r="AF399"/>
  <c r="AF331"/>
  <c r="AF249"/>
  <c r="AF218"/>
  <c r="AF424"/>
  <c r="AF177"/>
  <c r="AF423"/>
  <c r="AF176"/>
  <c r="AF208"/>
  <c r="AF338"/>
  <c r="AF15"/>
  <c r="AF353"/>
  <c r="AF352"/>
  <c r="AF47"/>
  <c r="AF25"/>
  <c r="AF143"/>
  <c r="AF126"/>
  <c r="AF24"/>
  <c r="AF287"/>
  <c r="AF26"/>
  <c r="AF403"/>
  <c r="AF421"/>
  <c r="AF340"/>
  <c r="AF406"/>
  <c r="AF245"/>
  <c r="AF210"/>
  <c r="AF414"/>
  <c r="AF260"/>
  <c r="AF339"/>
  <c r="AF343"/>
  <c r="AF204"/>
  <c r="AF336"/>
  <c r="AF351"/>
  <c r="AF13"/>
  <c r="AF335"/>
  <c r="AF273"/>
  <c r="AF350"/>
  <c r="AF307"/>
  <c r="AF207"/>
  <c r="AF51"/>
  <c r="AF305"/>
  <c r="AF306"/>
  <c r="AF83"/>
  <c r="AF386"/>
  <c r="AF389"/>
  <c r="AF349"/>
  <c r="AF209"/>
  <c r="AF206"/>
  <c r="AF342"/>
  <c r="AF72"/>
  <c r="AF205"/>
  <c r="AF419"/>
  <c r="AF418"/>
  <c r="AF417"/>
  <c r="AF174"/>
  <c r="AF166"/>
  <c r="AF333"/>
  <c r="AF246"/>
  <c r="AF8"/>
  <c r="AF7"/>
  <c r="AF127"/>
  <c r="AF164"/>
  <c r="AF163"/>
  <c r="AF297"/>
  <c r="AF325"/>
  <c r="AF323"/>
  <c r="AF11"/>
  <c r="AF322"/>
  <c r="AF233"/>
  <c r="AF150"/>
  <c r="AF324"/>
  <c r="AF114"/>
  <c r="AF415"/>
  <c r="AF332"/>
  <c r="AF115"/>
  <c r="AF253"/>
  <c r="AF292"/>
  <c r="AF291"/>
  <c r="AF141"/>
  <c r="AF53"/>
  <c r="AF368"/>
  <c r="AF367"/>
  <c r="AF402"/>
  <c r="AF44"/>
  <c r="AF279"/>
  <c r="AF301"/>
  <c r="AF185"/>
  <c r="AF278"/>
  <c r="AF138"/>
  <c r="AF277"/>
  <c r="AF257"/>
  <c r="AF276"/>
  <c r="AF101"/>
  <c r="AF69"/>
  <c r="AF265"/>
  <c r="AF255"/>
  <c r="AF35"/>
  <c r="AF413"/>
  <c r="AF412"/>
  <c r="AF137"/>
  <c r="AF266"/>
  <c r="AF374"/>
  <c r="AF296"/>
  <c r="AF23"/>
  <c r="AF225"/>
  <c r="AF224"/>
  <c r="AF407"/>
  <c r="AF410"/>
  <c r="AF348"/>
  <c r="AF408"/>
  <c r="AF347"/>
  <c r="AF82"/>
  <c r="AF81"/>
  <c r="AF256"/>
  <c r="AF80"/>
  <c r="AF302"/>
  <c r="AF182"/>
  <c r="AF181"/>
  <c r="AF299"/>
  <c r="AF221"/>
  <c r="AF237"/>
  <c r="AF393"/>
  <c r="AF156"/>
  <c r="AF308"/>
  <c r="AF242"/>
  <c r="AF392"/>
  <c r="AF99"/>
  <c r="AF394"/>
  <c r="AF98"/>
  <c r="AF32"/>
  <c r="AF155"/>
  <c r="AF31"/>
  <c r="AF194"/>
  <c r="AF390"/>
  <c r="AF365"/>
  <c r="AF30"/>
  <c r="AF244"/>
  <c r="AF57"/>
  <c r="AF363"/>
  <c r="AF94"/>
  <c r="AF236"/>
  <c r="AF318"/>
  <c r="AF147"/>
  <c r="AF146"/>
  <c r="AF70"/>
  <c r="AF139"/>
  <c r="AF75"/>
  <c r="AF189"/>
  <c r="AF79"/>
  <c r="AF188"/>
  <c r="AF103"/>
  <c r="AF78"/>
  <c r="AF71"/>
  <c r="AF76"/>
  <c r="AF136"/>
  <c r="AF193"/>
  <c r="AF43"/>
  <c r="AF269"/>
  <c r="AF42"/>
  <c r="AF111"/>
  <c r="AF238"/>
  <c r="AF107"/>
  <c r="AF396"/>
  <c r="AF202"/>
  <c r="AF362"/>
  <c r="AF154"/>
  <c r="AF110"/>
  <c r="AF28"/>
  <c r="AF370"/>
  <c r="AF372"/>
  <c r="AF369"/>
  <c r="AF283"/>
  <c r="AF284"/>
  <c r="AF401"/>
  <c r="AF282"/>
  <c r="AF64"/>
  <c r="AF371"/>
  <c r="AF187"/>
  <c r="AF192"/>
  <c r="AF281"/>
  <c r="AF93"/>
  <c r="AF92"/>
  <c r="AF199"/>
  <c r="AF40"/>
  <c r="AF27"/>
  <c r="AF398"/>
  <c r="AF294"/>
  <c r="AF234"/>
  <c r="AF108"/>
  <c r="AF34"/>
  <c r="AF88"/>
  <c r="AF397"/>
  <c r="AF87"/>
  <c r="AF74"/>
  <c r="AF298"/>
  <c r="AF200"/>
  <c r="AF411"/>
  <c r="AF149"/>
  <c r="AF275"/>
  <c r="AF148"/>
  <c r="AF376"/>
  <c r="AF381"/>
  <c r="AF56"/>
  <c r="AF116"/>
  <c r="AF378"/>
  <c r="BK329"/>
  <c r="BD329"/>
  <c r="BB329"/>
  <c r="AG4"/>
  <c r="AH4"/>
  <c r="AI4"/>
  <c r="BA248" l="1"/>
  <c r="AZ248"/>
  <c r="AY248"/>
  <c r="AX248"/>
  <c r="AW248"/>
  <c r="AV248"/>
  <c r="AU248"/>
  <c r="AT248"/>
  <c r="AS248"/>
  <c r="AR248"/>
  <c r="BA385"/>
  <c r="AZ385"/>
  <c r="AY385"/>
  <c r="AX385"/>
  <c r="AW385"/>
  <c r="AV385"/>
  <c r="AU385"/>
  <c r="AT385"/>
  <c r="AS385"/>
  <c r="AR385"/>
  <c r="BA33"/>
  <c r="AZ33"/>
  <c r="AY33"/>
  <c r="AX33"/>
  <c r="AW33"/>
  <c r="AV33"/>
  <c r="AU33"/>
  <c r="AT33"/>
  <c r="AS33"/>
  <c r="AR33"/>
  <c r="BA122"/>
  <c r="AZ122"/>
  <c r="AY122"/>
  <c r="AX122"/>
  <c r="AW122"/>
  <c r="AV122"/>
  <c r="AU122"/>
  <c r="AT122"/>
  <c r="AS122"/>
  <c r="AR122"/>
  <c r="BA216"/>
  <c r="AZ216"/>
  <c r="AY216"/>
  <c r="AX216"/>
  <c r="AW216"/>
  <c r="AV216"/>
  <c r="AU216"/>
  <c r="AT216"/>
  <c r="AS216"/>
  <c r="AR216"/>
  <c r="BA121"/>
  <c r="AZ121"/>
  <c r="AY121"/>
  <c r="AX121"/>
  <c r="AW121"/>
  <c r="AV121"/>
  <c r="AU121"/>
  <c r="AT121"/>
  <c r="AS121"/>
  <c r="AR121"/>
  <c r="BA20"/>
  <c r="AZ20"/>
  <c r="AY20"/>
  <c r="AX20"/>
  <c r="AW20"/>
  <c r="AV20"/>
  <c r="AU20"/>
  <c r="AT20"/>
  <c r="AS20"/>
  <c r="AR20"/>
  <c r="BA232"/>
  <c r="AZ232"/>
  <c r="AY232"/>
  <c r="AX232"/>
  <c r="AW232"/>
  <c r="AV232"/>
  <c r="AU232"/>
  <c r="AT232"/>
  <c r="AS232"/>
  <c r="AR232"/>
  <c r="BA309"/>
  <c r="AZ309"/>
  <c r="AY309"/>
  <c r="AX309"/>
  <c r="AW309"/>
  <c r="AV309"/>
  <c r="AU309"/>
  <c r="AT309"/>
  <c r="AS309"/>
  <c r="AR309"/>
  <c r="BA190"/>
  <c r="AZ190"/>
  <c r="AY190"/>
  <c r="AX190"/>
  <c r="AW190"/>
  <c r="AV190"/>
  <c r="AU190"/>
  <c r="AT190"/>
  <c r="AS190"/>
  <c r="AR190"/>
  <c r="BA19"/>
  <c r="AZ19"/>
  <c r="AY19"/>
  <c r="AX19"/>
  <c r="AW19"/>
  <c r="AV19"/>
  <c r="AU19"/>
  <c r="AT19"/>
  <c r="AS19"/>
  <c r="AR19"/>
  <c r="BA16"/>
  <c r="AZ16"/>
  <c r="AY16"/>
  <c r="AX16"/>
  <c r="AW16"/>
  <c r="AV16"/>
  <c r="AU16"/>
  <c r="AT16"/>
  <c r="AS16"/>
  <c r="AR16"/>
  <c r="BA290"/>
  <c r="AZ290"/>
  <c r="AY290"/>
  <c r="AX290"/>
  <c r="AW290"/>
  <c r="AV290"/>
  <c r="AU290"/>
  <c r="AT290"/>
  <c r="AS290"/>
  <c r="AR290"/>
  <c r="BA118"/>
  <c r="AZ118"/>
  <c r="AY118"/>
  <c r="AX118"/>
  <c r="AW118"/>
  <c r="AV118"/>
  <c r="AU118"/>
  <c r="AT118"/>
  <c r="AS118"/>
  <c r="AR118"/>
  <c r="BA169"/>
  <c r="AZ169"/>
  <c r="AY169"/>
  <c r="AX169"/>
  <c r="AW169"/>
  <c r="AV169"/>
  <c r="AU169"/>
  <c r="AT169"/>
  <c r="AS169"/>
  <c r="AR169"/>
  <c r="BA355"/>
  <c r="AZ355"/>
  <c r="AY355"/>
  <c r="AX355"/>
  <c r="AW355"/>
  <c r="AV355"/>
  <c r="AU355"/>
  <c r="AT355"/>
  <c r="AS355"/>
  <c r="AR355"/>
  <c r="BA354"/>
  <c r="AZ354"/>
  <c r="AY354"/>
  <c r="AX354"/>
  <c r="AW354"/>
  <c r="AV354"/>
  <c r="AU354"/>
  <c r="AT354"/>
  <c r="AS354"/>
  <c r="AR354"/>
  <c r="BA387"/>
  <c r="AZ387"/>
  <c r="AY387"/>
  <c r="AX387"/>
  <c r="AW387"/>
  <c r="AV387"/>
  <c r="AU387"/>
  <c r="AT387"/>
  <c r="AS387"/>
  <c r="AR387"/>
  <c r="BA131"/>
  <c r="AZ131"/>
  <c r="AY131"/>
  <c r="AX131"/>
  <c r="AW131"/>
  <c r="AV131"/>
  <c r="AU131"/>
  <c r="AT131"/>
  <c r="AS131"/>
  <c r="AR131"/>
  <c r="BA288"/>
  <c r="AZ288"/>
  <c r="AY288"/>
  <c r="AX288"/>
  <c r="AW288"/>
  <c r="AV288"/>
  <c r="AU288"/>
  <c r="AT288"/>
  <c r="AS288"/>
  <c r="AR288"/>
  <c r="BA179"/>
  <c r="AZ179"/>
  <c r="AY179"/>
  <c r="AX179"/>
  <c r="AW179"/>
  <c r="AV179"/>
  <c r="AU179"/>
  <c r="AT179"/>
  <c r="AS179"/>
  <c r="AR179"/>
  <c r="BA289"/>
  <c r="AZ289"/>
  <c r="AY289"/>
  <c r="AX289"/>
  <c r="AW289"/>
  <c r="AU289"/>
  <c r="AT289"/>
  <c r="AS289"/>
  <c r="AR289"/>
  <c r="BA375"/>
  <c r="AZ375"/>
  <c r="AY375"/>
  <c r="AX375"/>
  <c r="AW375"/>
  <c r="AU375"/>
  <c r="AT375"/>
  <c r="AS375"/>
  <c r="AR375"/>
  <c r="BA160"/>
  <c r="AZ160"/>
  <c r="AY160"/>
  <c r="AX160"/>
  <c r="AW160"/>
  <c r="AU160"/>
  <c r="AT160"/>
  <c r="AS160"/>
  <c r="AR160"/>
  <c r="BA52"/>
  <c r="AZ52"/>
  <c r="AW52"/>
  <c r="AU52"/>
  <c r="AT52"/>
  <c r="AS52"/>
  <c r="AR52"/>
  <c r="BA145"/>
  <c r="AZ145"/>
  <c r="AW145"/>
  <c r="AU145"/>
  <c r="AT145"/>
  <c r="AS145"/>
  <c r="AR145"/>
  <c r="BA317"/>
  <c r="AZ317"/>
  <c r="AW317"/>
  <c r="AU317"/>
  <c r="AT317"/>
  <c r="AS317"/>
  <c r="AR317"/>
  <c r="BA426"/>
  <c r="AZ426"/>
  <c r="AY426"/>
  <c r="AX426"/>
  <c r="AW426"/>
  <c r="AV426"/>
  <c r="AU426"/>
  <c r="AT426"/>
  <c r="AR426"/>
  <c r="BA161"/>
  <c r="AZ161"/>
  <c r="AY161"/>
  <c r="AX161"/>
  <c r="AW161"/>
  <c r="AV161"/>
  <c r="AU161"/>
  <c r="AT161"/>
  <c r="AR161"/>
  <c r="BA60"/>
  <c r="AT60"/>
  <c r="AR60"/>
  <c r="BA264"/>
  <c r="AT264"/>
  <c r="AR264"/>
  <c r="BA59"/>
  <c r="AT59"/>
  <c r="AR59"/>
  <c r="BA270"/>
  <c r="AT270"/>
  <c r="AR270"/>
  <c r="BA329"/>
  <c r="AZ329"/>
  <c r="AY329"/>
  <c r="AX329"/>
  <c r="AW329"/>
  <c r="AV329"/>
  <c r="AU329"/>
  <c r="AT329"/>
  <c r="AS329"/>
  <c r="AR329"/>
  <c r="BA228"/>
  <c r="AZ228"/>
  <c r="AY228"/>
  <c r="AX228"/>
  <c r="AW228"/>
  <c r="AV228"/>
  <c r="AU228"/>
  <c r="AT228"/>
  <c r="AS228"/>
  <c r="AR228"/>
  <c r="BA241"/>
  <c r="AZ241"/>
  <c r="AY241"/>
  <c r="AX241"/>
  <c r="AW241"/>
  <c r="AV241"/>
  <c r="AU241"/>
  <c r="AT241"/>
  <c r="AS241"/>
  <c r="AR241"/>
  <c r="BA330"/>
  <c r="AZ330"/>
  <c r="AY330"/>
  <c r="AX330"/>
  <c r="AW330"/>
  <c r="AV330"/>
  <c r="AU330"/>
  <c r="AT330"/>
  <c r="AS330"/>
  <c r="AR330"/>
  <c r="BA356"/>
  <c r="AZ356"/>
  <c r="AY356"/>
  <c r="AX356"/>
  <c r="AW356"/>
  <c r="AV356"/>
  <c r="AU356"/>
  <c r="AT356"/>
  <c r="AS356"/>
  <c r="AR356"/>
  <c r="BA240"/>
  <c r="AZ240"/>
  <c r="AY240"/>
  <c r="AX240"/>
  <c r="AW240"/>
  <c r="AV240"/>
  <c r="AU240"/>
  <c r="AT240"/>
  <c r="AS240"/>
  <c r="AR240"/>
  <c r="BA328"/>
  <c r="AZ328"/>
  <c r="AY328"/>
  <c r="AX328"/>
  <c r="AW328"/>
  <c r="AU328"/>
  <c r="AT328"/>
  <c r="AS328"/>
  <c r="AR328"/>
  <c r="BA86"/>
  <c r="AZ86"/>
  <c r="AY86"/>
  <c r="AX86"/>
  <c r="AW86"/>
  <c r="AV86"/>
  <c r="AU86"/>
  <c r="AT86"/>
  <c r="AS86"/>
  <c r="AR86"/>
  <c r="BA327"/>
  <c r="AZ327"/>
  <c r="AY327"/>
  <c r="AX327"/>
  <c r="AW327"/>
  <c r="AV327"/>
  <c r="AU327"/>
  <c r="AT327"/>
  <c r="AS327"/>
  <c r="AR327"/>
  <c r="BA191"/>
  <c r="AZ191"/>
  <c r="AY191"/>
  <c r="AX191"/>
  <c r="AW191"/>
  <c r="AV191"/>
  <c r="AU191"/>
  <c r="AT191"/>
  <c r="AS191"/>
  <c r="AR191"/>
  <c r="BA320"/>
  <c r="AZ320"/>
  <c r="AY320"/>
  <c r="AX320"/>
  <c r="AW320"/>
  <c r="AV320"/>
  <c r="AU320"/>
  <c r="AT320"/>
  <c r="AS320"/>
  <c r="AR320"/>
  <c r="BA319"/>
  <c r="AZ319"/>
  <c r="AY319"/>
  <c r="AX319"/>
  <c r="AW319"/>
  <c r="AV319"/>
  <c r="AU319"/>
  <c r="AT319"/>
  <c r="AS319"/>
  <c r="AR319"/>
  <c r="BA321"/>
  <c r="AZ321"/>
  <c r="AY321"/>
  <c r="AX321"/>
  <c r="AW321"/>
  <c r="AV321"/>
  <c r="AU321"/>
  <c r="AT321"/>
  <c r="AS321"/>
  <c r="AR321"/>
  <c r="BA130"/>
  <c r="AZ130"/>
  <c r="AY130"/>
  <c r="AX130"/>
  <c r="AW130"/>
  <c r="AV130"/>
  <c r="AU130"/>
  <c r="AT130"/>
  <c r="AS130"/>
  <c r="AR130"/>
  <c r="BA230"/>
  <c r="AZ230"/>
  <c r="AY230"/>
  <c r="AX230"/>
  <c r="AW230"/>
  <c r="AV230"/>
  <c r="AU230"/>
  <c r="AT230"/>
  <c r="AS230"/>
  <c r="AR230"/>
  <c r="BA345"/>
  <c r="AZ345"/>
  <c r="AY345"/>
  <c r="AX345"/>
  <c r="AW345"/>
  <c r="AV345"/>
  <c r="AU345"/>
  <c r="AT345"/>
  <c r="AS345"/>
  <c r="AR345"/>
  <c r="BA85"/>
  <c r="AZ85"/>
  <c r="AY85"/>
  <c r="AX85"/>
  <c r="AW85"/>
  <c r="AV85"/>
  <c r="AU85"/>
  <c r="AT85"/>
  <c r="AS85"/>
  <c r="AR85"/>
  <c r="BA84"/>
  <c r="AZ84"/>
  <c r="AY84"/>
  <c r="AX84"/>
  <c r="AW84"/>
  <c r="AV84"/>
  <c r="AU84"/>
  <c r="AT84"/>
  <c r="AS84"/>
  <c r="AR84"/>
  <c r="BA227"/>
  <c r="AZ227"/>
  <c r="AY227"/>
  <c r="AX227"/>
  <c r="AW227"/>
  <c r="AV227"/>
  <c r="AU227"/>
  <c r="AT227"/>
  <c r="AS227"/>
  <c r="AR227"/>
  <c r="BA17"/>
  <c r="AZ17"/>
  <c r="AY17"/>
  <c r="AX17"/>
  <c r="AW17"/>
  <c r="AV17"/>
  <c r="AU17"/>
  <c r="AT17"/>
  <c r="AS17"/>
  <c r="AR17"/>
  <c r="BA405"/>
  <c r="AZ405"/>
  <c r="AY405"/>
  <c r="AX405"/>
  <c r="AW405"/>
  <c r="AV405"/>
  <c r="AU405"/>
  <c r="AT405"/>
  <c r="AS405"/>
  <c r="AR405"/>
  <c r="BA274"/>
  <c r="AZ274"/>
  <c r="AY274"/>
  <c r="AX274"/>
  <c r="AW274"/>
  <c r="AV274"/>
  <c r="AU274"/>
  <c r="AT274"/>
  <c r="AS274"/>
  <c r="AR274"/>
  <c r="BA119"/>
  <c r="AZ119"/>
  <c r="AY119"/>
  <c r="AX119"/>
  <c r="AW119"/>
  <c r="AV119"/>
  <c r="AU119"/>
  <c r="AT119"/>
  <c r="AS119"/>
  <c r="AR119"/>
  <c r="BA231"/>
  <c r="AZ231"/>
  <c r="AY231"/>
  <c r="AX231"/>
  <c r="AW231"/>
  <c r="AV231"/>
  <c r="AU231"/>
  <c r="AT231"/>
  <c r="AS231"/>
  <c r="AR231"/>
  <c r="BA383"/>
  <c r="AZ383"/>
  <c r="AY383"/>
  <c r="AX383"/>
  <c r="AW383"/>
  <c r="AV383"/>
  <c r="AU383"/>
  <c r="AT383"/>
  <c r="AS383"/>
  <c r="AR383"/>
  <c r="BA384"/>
  <c r="AZ384"/>
  <c r="AY384"/>
  <c r="AX384"/>
  <c r="AW384"/>
  <c r="AV384"/>
  <c r="AU384"/>
  <c r="AT384"/>
  <c r="AS384"/>
  <c r="AR384"/>
  <c r="BA229"/>
  <c r="AZ229"/>
  <c r="AY229"/>
  <c r="AX229"/>
  <c r="AW229"/>
  <c r="AV229"/>
  <c r="AU229"/>
  <c r="AT229"/>
  <c r="AS229"/>
  <c r="AR229"/>
  <c r="BA196"/>
  <c r="AZ196"/>
  <c r="AY196"/>
  <c r="AX196"/>
  <c r="AW196"/>
  <c r="AV196"/>
  <c r="AU196"/>
  <c r="AT196"/>
  <c r="AS196"/>
  <c r="AR196"/>
  <c r="BA382"/>
  <c r="AZ382"/>
  <c r="AY382"/>
  <c r="AX382"/>
  <c r="AW382"/>
  <c r="AV382"/>
  <c r="AU382"/>
  <c r="AT382"/>
  <c r="AS382"/>
  <c r="AR382"/>
  <c r="BA357"/>
  <c r="AZ357"/>
  <c r="AY357"/>
  <c r="AX357"/>
  <c r="AW357"/>
  <c r="AV357"/>
  <c r="AU357"/>
  <c r="AT357"/>
  <c r="AS357"/>
  <c r="AR357"/>
  <c r="BA358"/>
  <c r="AZ358"/>
  <c r="AY358"/>
  <c r="AX358"/>
  <c r="AW358"/>
  <c r="AV358"/>
  <c r="AU358"/>
  <c r="AT358"/>
  <c r="AS358"/>
  <c r="AR358"/>
  <c r="BA252"/>
  <c r="AZ252"/>
  <c r="AY252"/>
  <c r="AX252"/>
  <c r="AW252"/>
  <c r="AV252"/>
  <c r="AU252"/>
  <c r="AT252"/>
  <c r="AS252"/>
  <c r="AR252"/>
  <c r="BA217"/>
  <c r="AZ217"/>
  <c r="AY217"/>
  <c r="AX217"/>
  <c r="AW217"/>
  <c r="AV217"/>
  <c r="AU217"/>
  <c r="AT217"/>
  <c r="AS217"/>
  <c r="AR217"/>
  <c r="BK246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BK176"/>
  <c r="BF176"/>
  <c r="BA176"/>
  <c r="AZ176"/>
  <c r="AY176"/>
  <c r="AX176"/>
  <c r="AW176"/>
  <c r="AV176"/>
  <c r="AU176"/>
  <c r="AT176"/>
  <c r="AS176"/>
  <c r="AR176"/>
  <c r="BA422"/>
  <c r="AZ422"/>
  <c r="AY422"/>
  <c r="AX422"/>
  <c r="AW422"/>
  <c r="AV422"/>
  <c r="AU422"/>
  <c r="AT422"/>
  <c r="AS422"/>
  <c r="AR422"/>
  <c r="BA178"/>
  <c r="AZ178"/>
  <c r="AY178"/>
  <c r="AX178"/>
  <c r="AW178"/>
  <c r="AV178"/>
  <c r="AU178"/>
  <c r="AT178"/>
  <c r="AS178"/>
  <c r="AR178"/>
  <c r="BA208"/>
  <c r="AZ208"/>
  <c r="AY208"/>
  <c r="AX208"/>
  <c r="AW208"/>
  <c r="AV208"/>
  <c r="AU208"/>
  <c r="AT208"/>
  <c r="AS208"/>
  <c r="AR208"/>
  <c r="BA338"/>
  <c r="AZ338"/>
  <c r="AY338"/>
  <c r="AX338"/>
  <c r="AW338"/>
  <c r="AV338"/>
  <c r="AU338"/>
  <c r="AT338"/>
  <c r="AS338"/>
  <c r="AR338"/>
  <c r="BA15"/>
  <c r="AZ15"/>
  <c r="AY15"/>
  <c r="AX15"/>
  <c r="AW15"/>
  <c r="AV15"/>
  <c r="AU15"/>
  <c r="AT15"/>
  <c r="AS15"/>
  <c r="AR15"/>
  <c r="BA226"/>
  <c r="AZ226"/>
  <c r="AY226"/>
  <c r="AX226"/>
  <c r="AW226"/>
  <c r="AV226"/>
  <c r="AU226"/>
  <c r="AT226"/>
  <c r="AS226"/>
  <c r="AR226"/>
  <c r="BA353"/>
  <c r="AZ353"/>
  <c r="AY353"/>
  <c r="AX353"/>
  <c r="AW353"/>
  <c r="AV353"/>
  <c r="AU353"/>
  <c r="AT353"/>
  <c r="AS353"/>
  <c r="AR353"/>
  <c r="BA211"/>
  <c r="AZ211"/>
  <c r="AY211"/>
  <c r="AX211"/>
  <c r="AW211"/>
  <c r="AV211"/>
  <c r="AU211"/>
  <c r="AT211"/>
  <c r="AS211"/>
  <c r="AR211"/>
  <c r="BA352"/>
  <c r="AZ352"/>
  <c r="AY352"/>
  <c r="AX352"/>
  <c r="AW352"/>
  <c r="AV352"/>
  <c r="AU352"/>
  <c r="AT352"/>
  <c r="AS352"/>
  <c r="AR352"/>
  <c r="BA47"/>
  <c r="AZ47"/>
  <c r="AY47"/>
  <c r="AX47"/>
  <c r="AW47"/>
  <c r="AV47"/>
  <c r="AU47"/>
  <c r="AT47"/>
  <c r="AS47"/>
  <c r="AR47"/>
  <c r="BA25"/>
  <c r="AZ25"/>
  <c r="AY25"/>
  <c r="AX25"/>
  <c r="AW25"/>
  <c r="AV25"/>
  <c r="AU25"/>
  <c r="AT25"/>
  <c r="AS25"/>
  <c r="AR25"/>
  <c r="BA24"/>
  <c r="AZ24"/>
  <c r="AY24"/>
  <c r="AX24"/>
  <c r="AW24"/>
  <c r="AV24"/>
  <c r="AU24"/>
  <c r="AT24"/>
  <c r="AS24"/>
  <c r="AR24"/>
  <c r="BA287"/>
  <c r="AZ287"/>
  <c r="AY287"/>
  <c r="AX287"/>
  <c r="AW287"/>
  <c r="AV287"/>
  <c r="AU287"/>
  <c r="AT287"/>
  <c r="AS287"/>
  <c r="AR287"/>
  <c r="BA26"/>
  <c r="AZ26"/>
  <c r="AY26"/>
  <c r="AX26"/>
  <c r="AW26"/>
  <c r="AV26"/>
  <c r="AU26"/>
  <c r="AT26"/>
  <c r="AS26"/>
  <c r="AR26"/>
  <c r="BA403"/>
  <c r="AZ403"/>
  <c r="AY403"/>
  <c r="AX403"/>
  <c r="AW403"/>
  <c r="AV403"/>
  <c r="AU403"/>
  <c r="AT403"/>
  <c r="AS403"/>
  <c r="AR403"/>
  <c r="BA421"/>
  <c r="AZ421"/>
  <c r="AY421"/>
  <c r="AX421"/>
  <c r="AW421"/>
  <c r="AV421"/>
  <c r="AU421"/>
  <c r="AT421"/>
  <c r="AS421"/>
  <c r="AR421"/>
  <c r="BA340"/>
  <c r="AZ340"/>
  <c r="AY340"/>
  <c r="AX340"/>
  <c r="AW340"/>
  <c r="AV340"/>
  <c r="AU340"/>
  <c r="AT340"/>
  <c r="AS340"/>
  <c r="AR340"/>
  <c r="BA124"/>
  <c r="AZ124"/>
  <c r="AY124"/>
  <c r="AX124"/>
  <c r="AW124"/>
  <c r="AV124"/>
  <c r="AU124"/>
  <c r="AT124"/>
  <c r="AS124"/>
  <c r="AR124"/>
  <c r="BA14"/>
  <c r="AZ14"/>
  <c r="AY14"/>
  <c r="AX14"/>
  <c r="AW14"/>
  <c r="AV14"/>
  <c r="AU14"/>
  <c r="AT14"/>
  <c r="AS14"/>
  <c r="AR14"/>
  <c r="BA406"/>
  <c r="AZ406"/>
  <c r="AY406"/>
  <c r="AX406"/>
  <c r="AW406"/>
  <c r="AV406"/>
  <c r="AU406"/>
  <c r="AT406"/>
  <c r="AS406"/>
  <c r="AR406"/>
  <c r="BA46"/>
  <c r="AZ46"/>
  <c r="AY46"/>
  <c r="AX46"/>
  <c r="AW46"/>
  <c r="AV46"/>
  <c r="AU46"/>
  <c r="AT46"/>
  <c r="AS46"/>
  <c r="AR46"/>
  <c r="BA245"/>
  <c r="AZ245"/>
  <c r="AY245"/>
  <c r="AX245"/>
  <c r="AW245"/>
  <c r="AV245"/>
  <c r="AU245"/>
  <c r="AT245"/>
  <c r="AS245"/>
  <c r="AR245"/>
  <c r="BA404"/>
  <c r="AZ404"/>
  <c r="AY404"/>
  <c r="AX404"/>
  <c r="AW404"/>
  <c r="AV404"/>
  <c r="AU404"/>
  <c r="AT404"/>
  <c r="AS404"/>
  <c r="AR404"/>
  <c r="BA210"/>
  <c r="AZ210"/>
  <c r="AY210"/>
  <c r="AX210"/>
  <c r="AW210"/>
  <c r="AV210"/>
  <c r="AU210"/>
  <c r="AT210"/>
  <c r="AS210"/>
  <c r="AR210"/>
  <c r="BA414"/>
  <c r="AZ414"/>
  <c r="AY414"/>
  <c r="AX414"/>
  <c r="AW414"/>
  <c r="AV414"/>
  <c r="AU414"/>
  <c r="AT414"/>
  <c r="AS414"/>
  <c r="AR414"/>
  <c r="BA337"/>
  <c r="AZ337"/>
  <c r="AY337"/>
  <c r="AX337"/>
  <c r="AW337"/>
  <c r="AV337"/>
  <c r="AU337"/>
  <c r="AT337"/>
  <c r="AS337"/>
  <c r="AR337"/>
  <c r="BA260"/>
  <c r="AZ260"/>
  <c r="AY260"/>
  <c r="AX260"/>
  <c r="AW260"/>
  <c r="AV260"/>
  <c r="AU260"/>
  <c r="AT260"/>
  <c r="AS260"/>
  <c r="AR260"/>
  <c r="BA339"/>
  <c r="AZ339"/>
  <c r="AY339"/>
  <c r="AX339"/>
  <c r="AW339"/>
  <c r="AV339"/>
  <c r="AU339"/>
  <c r="AT339"/>
  <c r="AS339"/>
  <c r="AR339"/>
  <c r="BA343"/>
  <c r="AZ343"/>
  <c r="AY343"/>
  <c r="AX343"/>
  <c r="AW343"/>
  <c r="AV343"/>
  <c r="AU343"/>
  <c r="AT343"/>
  <c r="AS343"/>
  <c r="AR343"/>
  <c r="BA45"/>
  <c r="AZ45"/>
  <c r="AY45"/>
  <c r="AX45"/>
  <c r="AW45"/>
  <c r="AV45"/>
  <c r="AU45"/>
  <c r="AT45"/>
  <c r="AS45"/>
  <c r="AR45"/>
  <c r="BA204"/>
  <c r="AZ204"/>
  <c r="AY204"/>
  <c r="AX204"/>
  <c r="AW204"/>
  <c r="AV204"/>
  <c r="AU204"/>
  <c r="AT204"/>
  <c r="AS204"/>
  <c r="AR204"/>
  <c r="BA220"/>
  <c r="AZ220"/>
  <c r="AY220"/>
  <c r="AX220"/>
  <c r="AW220"/>
  <c r="AV220"/>
  <c r="AU220"/>
  <c r="AT220"/>
  <c r="AS220"/>
  <c r="AR220"/>
  <c r="BA336"/>
  <c r="AZ336"/>
  <c r="AY336"/>
  <c r="AX336"/>
  <c r="AW336"/>
  <c r="AV336"/>
  <c r="AU336"/>
  <c r="AT336"/>
  <c r="AS336"/>
  <c r="AR336"/>
  <c r="BA123"/>
  <c r="AZ123"/>
  <c r="AY123"/>
  <c r="AX123"/>
  <c r="AW123"/>
  <c r="AV123"/>
  <c r="AU123"/>
  <c r="AT123"/>
  <c r="AS123"/>
  <c r="AR123"/>
  <c r="BA351"/>
  <c r="AZ351"/>
  <c r="AY351"/>
  <c r="AX351"/>
  <c r="AW351"/>
  <c r="AV351"/>
  <c r="AU351"/>
  <c r="AT351"/>
  <c r="AS351"/>
  <c r="AR351"/>
  <c r="BA13"/>
  <c r="AZ13"/>
  <c r="AY13"/>
  <c r="AX13"/>
  <c r="AW13"/>
  <c r="AV13"/>
  <c r="AU13"/>
  <c r="AT13"/>
  <c r="AS13"/>
  <c r="AR13"/>
  <c r="BA335"/>
  <c r="AZ335"/>
  <c r="AY335"/>
  <c r="AX335"/>
  <c r="AW335"/>
  <c r="AV335"/>
  <c r="AU335"/>
  <c r="AT335"/>
  <c r="AS335"/>
  <c r="AR335"/>
  <c r="BA273"/>
  <c r="AZ273"/>
  <c r="AY273"/>
  <c r="AX273"/>
  <c r="AW273"/>
  <c r="AV273"/>
  <c r="AU273"/>
  <c r="AT273"/>
  <c r="AS273"/>
  <c r="AR273"/>
  <c r="BA350"/>
  <c r="AZ350"/>
  <c r="AY350"/>
  <c r="AX350"/>
  <c r="AW350"/>
  <c r="AV350"/>
  <c r="AU350"/>
  <c r="AT350"/>
  <c r="AS350"/>
  <c r="AR350"/>
  <c r="BA388"/>
  <c r="AZ388"/>
  <c r="AY388"/>
  <c r="AX388"/>
  <c r="AW388"/>
  <c r="AV388"/>
  <c r="AU388"/>
  <c r="AT388"/>
  <c r="AS388"/>
  <c r="AR388"/>
  <c r="BA386"/>
  <c r="AZ386"/>
  <c r="AY386"/>
  <c r="AX386"/>
  <c r="AW386"/>
  <c r="AV386"/>
  <c r="AU386"/>
  <c r="AT386"/>
  <c r="AS386"/>
  <c r="AR386"/>
  <c r="BA389"/>
  <c r="AZ389"/>
  <c r="AY389"/>
  <c r="AX389"/>
  <c r="AW389"/>
  <c r="AV389"/>
  <c r="AU389"/>
  <c r="AT389"/>
  <c r="AS389"/>
  <c r="AR389"/>
  <c r="BA344"/>
  <c r="AZ344"/>
  <c r="AY344"/>
  <c r="AX344"/>
  <c r="AW344"/>
  <c r="AV344"/>
  <c r="AU344"/>
  <c r="AT344"/>
  <c r="AS344"/>
  <c r="AR344"/>
  <c r="BA209"/>
  <c r="AZ209"/>
  <c r="AY209"/>
  <c r="AX209"/>
  <c r="AW209"/>
  <c r="AV209"/>
  <c r="AU209"/>
  <c r="AT209"/>
  <c r="AS209"/>
  <c r="AR209"/>
  <c r="BA48"/>
  <c r="AZ48"/>
  <c r="AY48"/>
  <c r="AX48"/>
  <c r="AW48"/>
  <c r="AV48"/>
  <c r="AU48"/>
  <c r="AT48"/>
  <c r="AS48"/>
  <c r="AR48"/>
  <c r="BA206"/>
  <c r="AZ206"/>
  <c r="AY206"/>
  <c r="AX206"/>
  <c r="AW206"/>
  <c r="AV206"/>
  <c r="AU206"/>
  <c r="AT206"/>
  <c r="AS206"/>
  <c r="AR206"/>
  <c r="BA342"/>
  <c r="AZ342"/>
  <c r="AY342"/>
  <c r="AX342"/>
  <c r="AW342"/>
  <c r="AV342"/>
  <c r="AU342"/>
  <c r="AT342"/>
  <c r="AS342"/>
  <c r="AR342"/>
  <c r="BA212"/>
  <c r="AZ212"/>
  <c r="AY212"/>
  <c r="AX212"/>
  <c r="AW212"/>
  <c r="AV212"/>
  <c r="AU212"/>
  <c r="AT212"/>
  <c r="AS212"/>
  <c r="AR212"/>
  <c r="BA72"/>
  <c r="AZ72"/>
  <c r="AY72"/>
  <c r="AX72"/>
  <c r="AW72"/>
  <c r="AV72"/>
  <c r="AU72"/>
  <c r="AT72"/>
  <c r="AS72"/>
  <c r="AR72"/>
  <c r="BA286"/>
  <c r="AZ286"/>
  <c r="AY286"/>
  <c r="AX286"/>
  <c r="AW286"/>
  <c r="AV286"/>
  <c r="AU286"/>
  <c r="AT286"/>
  <c r="AS286"/>
  <c r="AR286"/>
  <c r="BA400"/>
  <c r="AZ400"/>
  <c r="AY400"/>
  <c r="AX400"/>
  <c r="AW400"/>
  <c r="AV400"/>
  <c r="AU400"/>
  <c r="AT400"/>
  <c r="AS400"/>
  <c r="AR400"/>
  <c r="BA10"/>
  <c r="AZ10"/>
  <c r="AY10"/>
  <c r="AX10"/>
  <c r="AW10"/>
  <c r="AV10"/>
  <c r="AU10"/>
  <c r="AT10"/>
  <c r="AS10"/>
  <c r="AR10"/>
  <c r="BA419"/>
  <c r="AZ419"/>
  <c r="AY419"/>
  <c r="AX419"/>
  <c r="AW419"/>
  <c r="AV419"/>
  <c r="AU419"/>
  <c r="AT419"/>
  <c r="AS419"/>
  <c r="AR419"/>
  <c r="BA418"/>
  <c r="AZ418"/>
  <c r="AY418"/>
  <c r="AX418"/>
  <c r="AW418"/>
  <c r="AV418"/>
  <c r="AU418"/>
  <c r="AT418"/>
  <c r="AS418"/>
  <c r="AR418"/>
  <c r="BA142"/>
  <c r="AZ142"/>
  <c r="AY142"/>
  <c r="AX142"/>
  <c r="AW142"/>
  <c r="AV142"/>
  <c r="AU142"/>
  <c r="AT142"/>
  <c r="AS142"/>
  <c r="AR142"/>
  <c r="BA334"/>
  <c r="AZ334"/>
  <c r="AY334"/>
  <c r="AX334"/>
  <c r="AW334"/>
  <c r="AV334"/>
  <c r="AU334"/>
  <c r="AT334"/>
  <c r="AS334"/>
  <c r="AR334"/>
  <c r="BA166"/>
  <c r="AZ166"/>
  <c r="AY166"/>
  <c r="AX166"/>
  <c r="AW166"/>
  <c r="AV166"/>
  <c r="AU166"/>
  <c r="AT166"/>
  <c r="AS166"/>
  <c r="AR166"/>
  <c r="BA333"/>
  <c r="AZ333"/>
  <c r="AY333"/>
  <c r="AX333"/>
  <c r="AW333"/>
  <c r="AV333"/>
  <c r="AU333"/>
  <c r="AT333"/>
  <c r="AS333"/>
  <c r="AR333"/>
  <c r="BA8"/>
  <c r="AZ8"/>
  <c r="AY8"/>
  <c r="AX8"/>
  <c r="AW8"/>
  <c r="AV8"/>
  <c r="AU8"/>
  <c r="AT8"/>
  <c r="AS8"/>
  <c r="AR8"/>
  <c r="BA259"/>
  <c r="AZ259"/>
  <c r="AY259"/>
  <c r="AX259"/>
  <c r="AW259"/>
  <c r="AV259"/>
  <c r="AU259"/>
  <c r="AT259"/>
  <c r="AS259"/>
  <c r="AR259"/>
  <c r="BA7"/>
  <c r="AZ7"/>
  <c r="AY7"/>
  <c r="AX7"/>
  <c r="AW7"/>
  <c r="AV7"/>
  <c r="AU7"/>
  <c r="AT7"/>
  <c r="AS7"/>
  <c r="BA127"/>
  <c r="AZ127"/>
  <c r="AY127"/>
  <c r="AX127"/>
  <c r="AW127"/>
  <c r="AV127"/>
  <c r="AU127"/>
  <c r="AT127"/>
  <c r="AS127"/>
  <c r="AR127"/>
  <c r="BA315"/>
  <c r="AZ315"/>
  <c r="AV315"/>
  <c r="AU315"/>
  <c r="AT315"/>
  <c r="AS315"/>
  <c r="AR315"/>
  <c r="BA120"/>
  <c r="AZ120"/>
  <c r="AX120"/>
  <c r="AV120"/>
  <c r="AU120"/>
  <c r="AT120"/>
  <c r="AS120"/>
  <c r="BA9"/>
  <c r="AX9"/>
  <c r="AW9"/>
  <c r="AV9"/>
  <c r="AU9"/>
  <c r="AT9"/>
  <c r="BA307"/>
  <c r="AZ307"/>
  <c r="AY307"/>
  <c r="AX307"/>
  <c r="AW307"/>
  <c r="AV307"/>
  <c r="AU307"/>
  <c r="AT307"/>
  <c r="AS307"/>
  <c r="AR307"/>
  <c r="BA207"/>
  <c r="AZ207"/>
  <c r="AY207"/>
  <c r="AX207"/>
  <c r="AW207"/>
  <c r="AV207"/>
  <c r="AU207"/>
  <c r="AT207"/>
  <c r="BA51"/>
  <c r="AZ51"/>
  <c r="AY51"/>
  <c r="AX51"/>
  <c r="AW51"/>
  <c r="AV51"/>
  <c r="AU51"/>
  <c r="AT51"/>
  <c r="BA420"/>
  <c r="AZ420"/>
  <c r="AY420"/>
  <c r="AX420"/>
  <c r="AW420"/>
  <c r="AV420"/>
  <c r="AU420"/>
  <c r="AT420"/>
  <c r="AS420"/>
  <c r="AR420"/>
  <c r="BA305"/>
  <c r="AZ305"/>
  <c r="AY305"/>
  <c r="AX305"/>
  <c r="AW305"/>
  <c r="AV305"/>
  <c r="AU305"/>
  <c r="AT305"/>
  <c r="AS305"/>
  <c r="AR305"/>
  <c r="BA306"/>
  <c r="AZ306"/>
  <c r="AY306"/>
  <c r="AX306"/>
  <c r="AW306"/>
  <c r="AV306"/>
  <c r="AU306"/>
  <c r="AT306"/>
  <c r="AR306"/>
  <c r="BA50"/>
  <c r="AZ50"/>
  <c r="AY50"/>
  <c r="AW50"/>
  <c r="AV50"/>
  <c r="BA83"/>
  <c r="AZ83"/>
  <c r="AY83"/>
  <c r="AW83"/>
  <c r="AV83"/>
  <c r="BA49"/>
  <c r="AZ49"/>
  <c r="AY49"/>
  <c r="AW49"/>
  <c r="AV49"/>
  <c r="BA262"/>
  <c r="AZ262"/>
  <c r="AY262"/>
  <c r="AX262"/>
  <c r="AW262"/>
  <c r="AV262"/>
  <c r="AU262"/>
  <c r="AT262"/>
  <c r="AS262"/>
  <c r="AR262"/>
  <c r="BA41"/>
  <c r="AZ41"/>
  <c r="AY41"/>
  <c r="AX41"/>
  <c r="AW41"/>
  <c r="AV41"/>
  <c r="AU41"/>
  <c r="AT41"/>
  <c r="AS41"/>
  <c r="AR41"/>
  <c r="BA213"/>
  <c r="AZ213"/>
  <c r="AY213"/>
  <c r="AX213"/>
  <c r="AW213"/>
  <c r="AV213"/>
  <c r="AU213"/>
  <c r="AT213"/>
  <c r="AS213"/>
  <c r="AR213"/>
  <c r="BA312"/>
  <c r="AZ312"/>
  <c r="AY312"/>
  <c r="AX312"/>
  <c r="AW312"/>
  <c r="AV312"/>
  <c r="AU312"/>
  <c r="AT312"/>
  <c r="AS312"/>
  <c r="AR312"/>
  <c r="BA303"/>
  <c r="AZ303"/>
  <c r="AY303"/>
  <c r="AX303"/>
  <c r="AW303"/>
  <c r="AV303"/>
  <c r="AU303"/>
  <c r="AT303"/>
  <c r="AS303"/>
  <c r="AR303"/>
  <c r="BA311"/>
  <c r="AZ311"/>
  <c r="AY311"/>
  <c r="AX311"/>
  <c r="AW311"/>
  <c r="AV311"/>
  <c r="AU311"/>
  <c r="AT311"/>
  <c r="AS311"/>
  <c r="AR311"/>
  <c r="BA304"/>
  <c r="AZ304"/>
  <c r="AY304"/>
  <c r="AX304"/>
  <c r="AW304"/>
  <c r="AV304"/>
  <c r="AU304"/>
  <c r="AT304"/>
  <c r="AS304"/>
  <c r="AR304"/>
  <c r="BA184"/>
  <c r="AZ184"/>
  <c r="AY184"/>
  <c r="AX184"/>
  <c r="AW184"/>
  <c r="AV184"/>
  <c r="AU184"/>
  <c r="AT184"/>
  <c r="AS184"/>
  <c r="AR184"/>
  <c r="BA129"/>
  <c r="AZ129"/>
  <c r="AY129"/>
  <c r="AX129"/>
  <c r="AW129"/>
  <c r="AV129"/>
  <c r="AU129"/>
  <c r="AT129"/>
  <c r="AS129"/>
  <c r="AR129"/>
  <c r="BA310"/>
  <c r="AZ310"/>
  <c r="AY310"/>
  <c r="AX310"/>
  <c r="AW310"/>
  <c r="AV310"/>
  <c r="AU310"/>
  <c r="AT310"/>
  <c r="AS310"/>
  <c r="AR310"/>
  <c r="BA250"/>
  <c r="AZ250"/>
  <c r="AY250"/>
  <c r="AX250"/>
  <c r="AW250"/>
  <c r="AV250"/>
  <c r="AU250"/>
  <c r="AT250"/>
  <c r="AS250"/>
  <c r="AR250"/>
  <c r="BA171"/>
  <c r="AZ171"/>
  <c r="AY171"/>
  <c r="AX171"/>
  <c r="AW171"/>
  <c r="AV171"/>
  <c r="AU171"/>
  <c r="AT171"/>
  <c r="AS171"/>
  <c r="AR171"/>
  <c r="BA173"/>
  <c r="AZ173"/>
  <c r="AY173"/>
  <c r="AX173"/>
  <c r="AW173"/>
  <c r="AV173"/>
  <c r="AU173"/>
  <c r="AT173"/>
  <c r="AS173"/>
  <c r="AR173"/>
  <c r="BA203"/>
  <c r="AZ203"/>
  <c r="AY203"/>
  <c r="AX203"/>
  <c r="AW203"/>
  <c r="AV203"/>
  <c r="AU203"/>
  <c r="AT203"/>
  <c r="AS203"/>
  <c r="AR203"/>
  <c r="BA243"/>
  <c r="AZ243"/>
  <c r="AY243"/>
  <c r="AX243"/>
  <c r="AW243"/>
  <c r="AV243"/>
  <c r="AU243"/>
  <c r="AT243"/>
  <c r="AS243"/>
  <c r="AR243"/>
  <c r="BA183"/>
  <c r="AZ183"/>
  <c r="AY183"/>
  <c r="AX183"/>
  <c r="AW183"/>
  <c r="AV183"/>
  <c r="AU183"/>
  <c r="AT183"/>
  <c r="AS183"/>
  <c r="AR183"/>
  <c r="BA239"/>
  <c r="AZ239"/>
  <c r="AY239"/>
  <c r="AX239"/>
  <c r="AW239"/>
  <c r="AV239"/>
  <c r="AU239"/>
  <c r="AT239"/>
  <c r="AS239"/>
  <c r="AR239"/>
  <c r="BA167"/>
  <c r="AZ167"/>
  <c r="AY167"/>
  <c r="AX167"/>
  <c r="AW167"/>
  <c r="AV167"/>
  <c r="AU167"/>
  <c r="AT167"/>
  <c r="AS167"/>
  <c r="AR167"/>
  <c r="BA399"/>
  <c r="AZ399"/>
  <c r="AY399"/>
  <c r="AX399"/>
  <c r="AW399"/>
  <c r="AV399"/>
  <c r="AU399"/>
  <c r="AT399"/>
  <c r="AS399"/>
  <c r="AR399"/>
  <c r="BA331"/>
  <c r="AZ331"/>
  <c r="AY331"/>
  <c r="AX331"/>
  <c r="AW331"/>
  <c r="AV331"/>
  <c r="AU331"/>
  <c r="AT331"/>
  <c r="AS331"/>
  <c r="AR331"/>
  <c r="BK262"/>
  <c r="BF262"/>
  <c r="BK251"/>
  <c r="BF251"/>
  <c r="BK215"/>
  <c r="BJ215"/>
  <c r="BI215"/>
  <c r="BH215"/>
  <c r="BG215"/>
  <c r="BF215"/>
  <c r="BC215"/>
  <c r="BA215"/>
  <c r="AZ215"/>
  <c r="AY215"/>
  <c r="AX215"/>
  <c r="AW215"/>
  <c r="AV215"/>
  <c r="AU215"/>
  <c r="AT215"/>
  <c r="AS215"/>
  <c r="AR215"/>
  <c r="BA222"/>
  <c r="AZ222"/>
  <c r="AY222"/>
  <c r="AX222"/>
  <c r="AW222"/>
  <c r="AV222"/>
  <c r="AU222"/>
  <c r="AT222"/>
  <c r="AS222"/>
  <c r="AR222"/>
  <c r="BA313"/>
  <c r="AZ313"/>
  <c r="AY313"/>
  <c r="AX313"/>
  <c r="AW313"/>
  <c r="AV313"/>
  <c r="AU313"/>
  <c r="AS313"/>
  <c r="BA223"/>
  <c r="AZ223"/>
  <c r="AY223"/>
  <c r="AX223"/>
  <c r="AW223"/>
  <c r="AV223"/>
  <c r="AU223"/>
  <c r="AS223"/>
  <c r="BA214"/>
  <c r="AZ214"/>
  <c r="AY214"/>
  <c r="AX214"/>
  <c r="AW214"/>
  <c r="AV214"/>
  <c r="AU214"/>
  <c r="AS214"/>
  <c r="BA314"/>
  <c r="AZ314"/>
  <c r="AY314"/>
  <c r="AX314"/>
  <c r="AW314"/>
  <c r="AV314"/>
  <c r="AU314"/>
  <c r="AS314"/>
  <c r="BA219"/>
  <c r="AZ219"/>
  <c r="AW219"/>
  <c r="AV219"/>
  <c r="AU219"/>
  <c r="AS219"/>
  <c r="BA416"/>
  <c r="AZ416"/>
  <c r="AY416"/>
  <c r="AX416"/>
  <c r="AW416"/>
  <c r="AV416"/>
  <c r="AT416"/>
  <c r="BA174"/>
  <c r="AZ174"/>
  <c r="AW174"/>
  <c r="AV174"/>
  <c r="AU174"/>
  <c r="AS174"/>
  <c r="BA152"/>
  <c r="AZ152"/>
  <c r="AY152"/>
  <c r="AX152"/>
  <c r="AW152"/>
  <c r="AV152"/>
  <c r="AU152"/>
  <c r="AT152"/>
  <c r="AS152"/>
  <c r="AR152"/>
  <c r="BA132"/>
  <c r="AZ132"/>
  <c r="AY132"/>
  <c r="AX132"/>
  <c r="AW132"/>
  <c r="AV132"/>
  <c r="AU132"/>
  <c r="AT132"/>
  <c r="AS132"/>
  <c r="AR132"/>
  <c r="BA341"/>
  <c r="AZ341"/>
  <c r="AY341"/>
  <c r="AX341"/>
  <c r="AW341"/>
  <c r="AV341"/>
  <c r="AU341"/>
  <c r="AT341"/>
  <c r="AS341"/>
  <c r="AR341"/>
  <c r="BA425"/>
  <c r="AZ425"/>
  <c r="AY425"/>
  <c r="AX425"/>
  <c r="AW425"/>
  <c r="AV425"/>
  <c r="AU425"/>
  <c r="AT425"/>
  <c r="AS425"/>
  <c r="AR425"/>
  <c r="BA62"/>
  <c r="AZ62"/>
  <c r="AY62"/>
  <c r="AX62"/>
  <c r="AW62"/>
  <c r="AV62"/>
  <c r="AU62"/>
  <c r="AT62"/>
  <c r="AS62"/>
  <c r="AR62"/>
  <c r="BA159"/>
  <c r="AZ159"/>
  <c r="AY159"/>
  <c r="AX159"/>
  <c r="AW159"/>
  <c r="AV159"/>
  <c r="AU159"/>
  <c r="AT159"/>
  <c r="AS159"/>
  <c r="AR159"/>
  <c r="BA63"/>
  <c r="AZ63"/>
  <c r="AY63"/>
  <c r="AX63"/>
  <c r="AW63"/>
  <c r="AV63"/>
  <c r="AU63"/>
  <c r="AT63"/>
  <c r="AS63"/>
  <c r="AR63"/>
  <c r="BA158"/>
  <c r="AZ158"/>
  <c r="AY158"/>
  <c r="AX158"/>
  <c r="AW158"/>
  <c r="AV158"/>
  <c r="AU158"/>
  <c r="AT158"/>
  <c r="AS158"/>
  <c r="AR158"/>
  <c r="BA263"/>
  <c r="AZ263"/>
  <c r="AY263"/>
  <c r="AX263"/>
  <c r="AW263"/>
  <c r="AV263"/>
  <c r="AU263"/>
  <c r="AT263"/>
  <c r="AS263"/>
  <c r="AR263"/>
  <c r="BK152"/>
  <c r="BF152"/>
  <c r="BE152"/>
  <c r="BA316"/>
  <c r="AZ316"/>
  <c r="AY316"/>
  <c r="AX316"/>
  <c r="AW316"/>
  <c r="AV316"/>
  <c r="AU316"/>
  <c r="AT316"/>
  <c r="AS316"/>
  <c r="AR316"/>
  <c r="BA107"/>
  <c r="AZ107"/>
  <c r="AY107"/>
  <c r="AX107"/>
  <c r="AW107"/>
  <c r="AV107"/>
  <c r="AU107"/>
  <c r="AT107"/>
  <c r="AS107"/>
  <c r="AR107"/>
  <c r="BK73"/>
  <c r="BF73"/>
  <c r="EM73"/>
  <c r="EA73"/>
  <c r="CE73"/>
  <c r="AD73"/>
  <c r="AF73" s="1"/>
  <c r="BS73"/>
  <c r="BA73"/>
  <c r="AZ73"/>
  <c r="AY73"/>
  <c r="AX73"/>
  <c r="AW73"/>
  <c r="AV73"/>
  <c r="AU73"/>
  <c r="AT73"/>
  <c r="AS73"/>
  <c r="AR73"/>
  <c r="BA81"/>
  <c r="AZ81"/>
  <c r="AY81"/>
  <c r="AX81"/>
  <c r="AW81"/>
  <c r="AV81"/>
  <c r="AU81"/>
  <c r="AT81"/>
  <c r="AS81"/>
  <c r="AR81"/>
  <c r="BK256"/>
  <c r="BF256"/>
  <c r="BA256"/>
  <c r="AZ256"/>
  <c r="AY256"/>
  <c r="AX256"/>
  <c r="AW256"/>
  <c r="AV256"/>
  <c r="AU256"/>
  <c r="AT256"/>
  <c r="AS256"/>
  <c r="AR256"/>
  <c r="BA409"/>
  <c r="AZ409"/>
  <c r="AY409"/>
  <c r="AX409"/>
  <c r="AW409"/>
  <c r="AV409"/>
  <c r="AU409"/>
  <c r="AT409"/>
  <c r="AS409"/>
  <c r="AR409"/>
  <c r="BA144"/>
  <c r="AZ144"/>
  <c r="AY144"/>
  <c r="AX144"/>
  <c r="AW144"/>
  <c r="AV144"/>
  <c r="AU144"/>
  <c r="AT144"/>
  <c r="AS144"/>
  <c r="AR144"/>
  <c r="BA299"/>
  <c r="AZ299"/>
  <c r="AY299"/>
  <c r="AX299"/>
  <c r="AW299"/>
  <c r="AV299"/>
  <c r="AU299"/>
  <c r="AT299"/>
  <c r="AS299"/>
  <c r="AR299"/>
  <c r="BA80"/>
  <c r="AV80"/>
  <c r="BA302"/>
  <c r="AV302"/>
  <c r="BA182"/>
  <c r="AV182"/>
  <c r="BA18"/>
  <c r="AV18"/>
  <c r="BA379"/>
  <c r="AV379"/>
  <c r="BA181"/>
  <c r="AV181"/>
  <c r="BA368"/>
  <c r="AZ368"/>
  <c r="AY368"/>
  <c r="AW368"/>
  <c r="AV368"/>
  <c r="AU368"/>
  <c r="BA367"/>
  <c r="AZ367"/>
  <c r="AY367"/>
  <c r="AW367"/>
  <c r="AV367"/>
  <c r="AU367"/>
  <c r="BA366"/>
  <c r="AZ366"/>
  <c r="AY366"/>
  <c r="AW366"/>
  <c r="AV366"/>
  <c r="AU366"/>
  <c r="BA402"/>
  <c r="AZ402"/>
  <c r="AY402"/>
  <c r="AW402"/>
  <c r="AV402"/>
  <c r="AU402"/>
  <c r="BA44"/>
  <c r="AZ44"/>
  <c r="AY44"/>
  <c r="AW44"/>
  <c r="AV44"/>
  <c r="AU44"/>
  <c r="AS44"/>
  <c r="BA279"/>
  <c r="AZ279"/>
  <c r="AY279"/>
  <c r="AW279"/>
  <c r="AV279"/>
  <c r="AU279"/>
  <c r="AS279"/>
  <c r="BA37"/>
  <c r="AZ37"/>
  <c r="AY37"/>
  <c r="AX37"/>
  <c r="AW37"/>
  <c r="AV37"/>
  <c r="AU37"/>
  <c r="AT37"/>
  <c r="AS37"/>
  <c r="AR37"/>
  <c r="BA186"/>
  <c r="AZ186"/>
  <c r="AY186"/>
  <c r="AX186"/>
  <c r="AW186"/>
  <c r="AV186"/>
  <c r="AU186"/>
  <c r="AT186"/>
  <c r="AS186"/>
  <c r="AR186"/>
  <c r="BA301"/>
  <c r="AZ301"/>
  <c r="AY301"/>
  <c r="AX301"/>
  <c r="AW301"/>
  <c r="AV301"/>
  <c r="AU301"/>
  <c r="AT301"/>
  <c r="AS301"/>
  <c r="AR301"/>
  <c r="BA185"/>
  <c r="AZ185"/>
  <c r="AY185"/>
  <c r="AX185"/>
  <c r="AW185"/>
  <c r="AV185"/>
  <c r="AU185"/>
  <c r="AT185"/>
  <c r="AS185"/>
  <c r="AR185"/>
  <c r="BA278"/>
  <c r="AZ278"/>
  <c r="AY278"/>
  <c r="AX278"/>
  <c r="AW278"/>
  <c r="AV278"/>
  <c r="AU278"/>
  <c r="AT278"/>
  <c r="AS278"/>
  <c r="AR278"/>
  <c r="BA138"/>
  <c r="AZ138"/>
  <c r="AY138"/>
  <c r="AX138"/>
  <c r="AW138"/>
  <c r="AV138"/>
  <c r="AU138"/>
  <c r="AT138"/>
  <c r="AS138"/>
  <c r="AR138"/>
  <c r="BA277"/>
  <c r="AZ277"/>
  <c r="AY277"/>
  <c r="AX277"/>
  <c r="AW277"/>
  <c r="AV277"/>
  <c r="AU277"/>
  <c r="AT277"/>
  <c r="AS277"/>
  <c r="AR277"/>
  <c r="BA257"/>
  <c r="AZ257"/>
  <c r="AY257"/>
  <c r="AX257"/>
  <c r="AW257"/>
  <c r="AV257"/>
  <c r="AU257"/>
  <c r="AT257"/>
  <c r="AS257"/>
  <c r="AR257"/>
  <c r="BA276"/>
  <c r="AZ276"/>
  <c r="AY276"/>
  <c r="AX276"/>
  <c r="AW276"/>
  <c r="AV276"/>
  <c r="AU276"/>
  <c r="AT276"/>
  <c r="AS276"/>
  <c r="AR276"/>
  <c r="BA101"/>
  <c r="AZ101"/>
  <c r="AY101"/>
  <c r="AX101"/>
  <c r="AW101"/>
  <c r="AV101"/>
  <c r="AU101"/>
  <c r="AT101"/>
  <c r="AS101"/>
  <c r="AR101"/>
  <c r="BA77"/>
  <c r="AZ77"/>
  <c r="AY77"/>
  <c r="AX77"/>
  <c r="AW77"/>
  <c r="AV77"/>
  <c r="AU77"/>
  <c r="AT77"/>
  <c r="AS77"/>
  <c r="AR77"/>
  <c r="BA265"/>
  <c r="AZ265"/>
  <c r="AY265"/>
  <c r="AX265"/>
  <c r="AW265"/>
  <c r="AV265"/>
  <c r="AU265"/>
  <c r="AT265"/>
  <c r="AS265"/>
  <c r="AR265"/>
  <c r="BA295"/>
  <c r="AZ295"/>
  <c r="AY295"/>
  <c r="AX295"/>
  <c r="AW295"/>
  <c r="AV295"/>
  <c r="AU295"/>
  <c r="AT295"/>
  <c r="AS295"/>
  <c r="AR295"/>
  <c r="BA255"/>
  <c r="AZ255"/>
  <c r="AY255"/>
  <c r="AX255"/>
  <c r="AW255"/>
  <c r="AV255"/>
  <c r="AU255"/>
  <c r="AT255"/>
  <c r="AS255"/>
  <c r="AR255"/>
  <c r="BA137"/>
  <c r="AZ137"/>
  <c r="AY137"/>
  <c r="AX137"/>
  <c r="AW137"/>
  <c r="AV137"/>
  <c r="AU137"/>
  <c r="AT137"/>
  <c r="AS137"/>
  <c r="AR137"/>
  <c r="BA82"/>
  <c r="AZ82"/>
  <c r="AY82"/>
  <c r="AX82"/>
  <c r="AW82"/>
  <c r="AV82"/>
  <c r="AU82"/>
  <c r="AT82"/>
  <c r="AS82"/>
  <c r="AR82"/>
  <c r="BK368"/>
  <c r="BF368"/>
  <c r="BE368"/>
  <c r="BA35"/>
  <c r="AZ35"/>
  <c r="AY35"/>
  <c r="AX35"/>
  <c r="AW35"/>
  <c r="AV35"/>
  <c r="AU35"/>
  <c r="AT35"/>
  <c r="AS35"/>
  <c r="AR35"/>
  <c r="BA69"/>
  <c r="AZ69"/>
  <c r="AY69"/>
  <c r="AX69"/>
  <c r="AW69"/>
  <c r="AV69"/>
  <c r="AU69"/>
  <c r="AT69"/>
  <c r="AS69"/>
  <c r="AR69"/>
  <c r="BA413"/>
  <c r="AZ413"/>
  <c r="AY413"/>
  <c r="AX413"/>
  <c r="AW413"/>
  <c r="AV413"/>
  <c r="AU413"/>
  <c r="AT413"/>
  <c r="AS413"/>
  <c r="AR413"/>
  <c r="BA201"/>
  <c r="AZ201"/>
  <c r="AY201"/>
  <c r="AX201"/>
  <c r="AW201"/>
  <c r="AV201"/>
  <c r="AU201"/>
  <c r="AT201"/>
  <c r="AS201"/>
  <c r="AR201"/>
  <c r="BA412"/>
  <c r="AZ412"/>
  <c r="AY412"/>
  <c r="AX412"/>
  <c r="AW412"/>
  <c r="AV412"/>
  <c r="AU412"/>
  <c r="AT412"/>
  <c r="AS412"/>
  <c r="AR412"/>
  <c r="BA266"/>
  <c r="AZ266"/>
  <c r="AY266"/>
  <c r="AX266"/>
  <c r="AW266"/>
  <c r="AV266"/>
  <c r="AU266"/>
  <c r="AT266"/>
  <c r="AS266"/>
  <c r="AR266"/>
  <c r="BA300"/>
  <c r="AZ300"/>
  <c r="AY300"/>
  <c r="AX300"/>
  <c r="AW300"/>
  <c r="AV300"/>
  <c r="AU300"/>
  <c r="AT300"/>
  <c r="AR300"/>
  <c r="BA374"/>
  <c r="AZ374"/>
  <c r="AY374"/>
  <c r="AX374"/>
  <c r="AW374"/>
  <c r="AV374"/>
  <c r="AU374"/>
  <c r="AT374"/>
  <c r="AS374"/>
  <c r="AR374"/>
  <c r="BA296"/>
  <c r="AZ296"/>
  <c r="AY296"/>
  <c r="AX296"/>
  <c r="AW296"/>
  <c r="AV296"/>
  <c r="AU296"/>
  <c r="AT296"/>
  <c r="AS296"/>
  <c r="AR296"/>
  <c r="BA23"/>
  <c r="AZ23"/>
  <c r="AY23"/>
  <c r="AX23"/>
  <c r="AW23"/>
  <c r="AV23"/>
  <c r="AU23"/>
  <c r="AT23"/>
  <c r="AS23"/>
  <c r="AR23"/>
  <c r="BA225"/>
  <c r="AZ225"/>
  <c r="AY225"/>
  <c r="AX225"/>
  <c r="AW225"/>
  <c r="AV225"/>
  <c r="AU225"/>
  <c r="AT225"/>
  <c r="AS225"/>
  <c r="AR225"/>
  <c r="BA224"/>
  <c r="AZ224"/>
  <c r="AY224"/>
  <c r="AX224"/>
  <c r="AW224"/>
  <c r="AV224"/>
  <c r="AU224"/>
  <c r="AT224"/>
  <c r="AS224"/>
  <c r="AR224"/>
  <c r="BA117"/>
  <c r="AZ117"/>
  <c r="AY117"/>
  <c r="AX117"/>
  <c r="AW117"/>
  <c r="AV117"/>
  <c r="AU117"/>
  <c r="AT117"/>
  <c r="AS117"/>
  <c r="AR117"/>
  <c r="BA258"/>
  <c r="AZ258"/>
  <c r="AY258"/>
  <c r="AX258"/>
  <c r="AW258"/>
  <c r="AV258"/>
  <c r="AU258"/>
  <c r="AT258"/>
  <c r="AS258"/>
  <c r="AR258"/>
  <c r="BA410"/>
  <c r="AZ410"/>
  <c r="AY410"/>
  <c r="AX410"/>
  <c r="AW410"/>
  <c r="AV410"/>
  <c r="AU410"/>
  <c r="AT410"/>
  <c r="AS410"/>
  <c r="AR410"/>
  <c r="BA165"/>
  <c r="AZ165"/>
  <c r="AY165"/>
  <c r="AX165"/>
  <c r="AW165"/>
  <c r="AV165"/>
  <c r="AU165"/>
  <c r="AT165"/>
  <c r="AS165"/>
  <c r="AR165"/>
  <c r="BA261"/>
  <c r="AZ261"/>
  <c r="AY261"/>
  <c r="AX261"/>
  <c r="AW261"/>
  <c r="AV261"/>
  <c r="AU261"/>
  <c r="AT261"/>
  <c r="AS261"/>
  <c r="AR261"/>
  <c r="BA348"/>
  <c r="AZ348"/>
  <c r="AY348"/>
  <c r="AX348"/>
  <c r="AW348"/>
  <c r="AV348"/>
  <c r="AU348"/>
  <c r="AT348"/>
  <c r="AS348"/>
  <c r="AR348"/>
  <c r="BA408"/>
  <c r="AZ408"/>
  <c r="AY408"/>
  <c r="AX408"/>
  <c r="AW408"/>
  <c r="AV408"/>
  <c r="AU408"/>
  <c r="AT408"/>
  <c r="AS408"/>
  <c r="AR408"/>
  <c r="BA347"/>
  <c r="AZ347"/>
  <c r="AY347"/>
  <c r="AX347"/>
  <c r="AW347"/>
  <c r="AV347"/>
  <c r="AU347"/>
  <c r="AT347"/>
  <c r="AS347"/>
  <c r="AR347"/>
  <c r="BK69"/>
  <c r="BF69"/>
  <c r="BA87"/>
  <c r="AZ87"/>
  <c r="AY87"/>
  <c r="AX87"/>
  <c r="AW87"/>
  <c r="AV87"/>
  <c r="AU87"/>
  <c r="AT87"/>
  <c r="AS87"/>
  <c r="AR87"/>
  <c r="BA272"/>
  <c r="AZ272"/>
  <c r="AY272"/>
  <c r="AX272"/>
  <c r="AW272"/>
  <c r="AV272"/>
  <c r="AU272"/>
  <c r="AT272"/>
  <c r="AS272"/>
  <c r="AR272"/>
  <c r="BA74"/>
  <c r="AZ74"/>
  <c r="AY74"/>
  <c r="AX74"/>
  <c r="AW74"/>
  <c r="AV74"/>
  <c r="AU74"/>
  <c r="AT74"/>
  <c r="AS74"/>
  <c r="AR74"/>
  <c r="BA271"/>
  <c r="AZ271"/>
  <c r="AY271"/>
  <c r="AX271"/>
  <c r="AW271"/>
  <c r="AV271"/>
  <c r="AU271"/>
  <c r="AT271"/>
  <c r="AS271"/>
  <c r="AR271"/>
  <c r="BA200"/>
  <c r="AZ200"/>
  <c r="AY200"/>
  <c r="AX200"/>
  <c r="AW200"/>
  <c r="AV200"/>
  <c r="AU200"/>
  <c r="AT200"/>
  <c r="AS200"/>
  <c r="AR200"/>
  <c r="BA411"/>
  <c r="AZ411"/>
  <c r="AY411"/>
  <c r="AX411"/>
  <c r="AW411"/>
  <c r="AV411"/>
  <c r="AU411"/>
  <c r="AT411"/>
  <c r="AS411"/>
  <c r="AR411"/>
  <c r="BA395"/>
  <c r="AZ395"/>
  <c r="AY395"/>
  <c r="AX395"/>
  <c r="AW395"/>
  <c r="AV395"/>
  <c r="AU395"/>
  <c r="AT395"/>
  <c r="AS395"/>
  <c r="AR395"/>
  <c r="BA149"/>
  <c r="AZ149"/>
  <c r="AY149"/>
  <c r="AX149"/>
  <c r="AW149"/>
  <c r="AV149"/>
  <c r="AU149"/>
  <c r="AT149"/>
  <c r="AS149"/>
  <c r="AR149"/>
  <c r="BA285"/>
  <c r="AZ285"/>
  <c r="AY285"/>
  <c r="AX285"/>
  <c r="AW285"/>
  <c r="AV285"/>
  <c r="AU285"/>
  <c r="AT285"/>
  <c r="AS285"/>
  <c r="AR285"/>
  <c r="BK87"/>
  <c r="BI87"/>
  <c r="BF87"/>
  <c r="BE87"/>
  <c r="BA363"/>
  <c r="AZ363"/>
  <c r="AY363"/>
  <c r="AX363"/>
  <c r="AW363"/>
  <c r="AV363"/>
  <c r="AU363"/>
  <c r="AT363"/>
  <c r="AS363"/>
  <c r="AR363"/>
  <c r="BA146"/>
  <c r="AZ146"/>
  <c r="AY146"/>
  <c r="AX146"/>
  <c r="AW146"/>
  <c r="AV146"/>
  <c r="AU146"/>
  <c r="AT146"/>
  <c r="AS146"/>
  <c r="AR146"/>
  <c r="BA75"/>
  <c r="AZ75"/>
  <c r="AY75"/>
  <c r="AX75"/>
  <c r="AW75"/>
  <c r="AV75"/>
  <c r="AU75"/>
  <c r="AT75"/>
  <c r="AS75"/>
  <c r="AR75"/>
  <c r="BA189"/>
  <c r="AZ189"/>
  <c r="AY189"/>
  <c r="AX189"/>
  <c r="AW189"/>
  <c r="AV189"/>
  <c r="AU189"/>
  <c r="AT189"/>
  <c r="AS189"/>
  <c r="AR189"/>
  <c r="BA79"/>
  <c r="AZ79"/>
  <c r="AY79"/>
  <c r="AX79"/>
  <c r="AW79"/>
  <c r="AV79"/>
  <c r="AU79"/>
  <c r="AT79"/>
  <c r="AS79"/>
  <c r="AR79"/>
  <c r="BA188"/>
  <c r="AZ188"/>
  <c r="AY188"/>
  <c r="AX188"/>
  <c r="AW188"/>
  <c r="AV188"/>
  <c r="AU188"/>
  <c r="AT188"/>
  <c r="AS188"/>
  <c r="AR188"/>
  <c r="BA103"/>
  <c r="AZ103"/>
  <c r="AY103"/>
  <c r="AX103"/>
  <c r="AW103"/>
  <c r="AV103"/>
  <c r="AU103"/>
  <c r="AT103"/>
  <c r="AS103"/>
  <c r="AR103"/>
  <c r="BA235"/>
  <c r="AZ235"/>
  <c r="AY235"/>
  <c r="AX235"/>
  <c r="AW235"/>
  <c r="AV235"/>
  <c r="AU235"/>
  <c r="AT235"/>
  <c r="AS235"/>
  <c r="AR235"/>
  <c r="BA43"/>
  <c r="AZ43"/>
  <c r="AY43"/>
  <c r="AX43"/>
  <c r="AW43"/>
  <c r="AV43"/>
  <c r="AU43"/>
  <c r="AT43"/>
  <c r="AS43"/>
  <c r="AR43"/>
  <c r="BA111"/>
  <c r="AZ111"/>
  <c r="AY111"/>
  <c r="AX111"/>
  <c r="AW111"/>
  <c r="AV111"/>
  <c r="AU111"/>
  <c r="AT111"/>
  <c r="AS111"/>
  <c r="AR111"/>
  <c r="BA238"/>
  <c r="AZ238"/>
  <c r="AY238"/>
  <c r="AX238"/>
  <c r="AW238"/>
  <c r="AV238"/>
  <c r="AU238"/>
  <c r="AT238"/>
  <c r="AS238"/>
  <c r="AR238"/>
  <c r="BA112"/>
  <c r="AZ112"/>
  <c r="AY112"/>
  <c r="AX112"/>
  <c r="AW112"/>
  <c r="AV112"/>
  <c r="AU112"/>
  <c r="AT112"/>
  <c r="AS112"/>
  <c r="AR112"/>
  <c r="BA377"/>
  <c r="AZ377"/>
  <c r="AY377"/>
  <c r="AX377"/>
  <c r="AW377"/>
  <c r="AV377"/>
  <c r="AU377"/>
  <c r="AT377"/>
  <c r="AS377"/>
  <c r="AR377"/>
  <c r="BA396"/>
  <c r="AZ396"/>
  <c r="AY396"/>
  <c r="AX396"/>
  <c r="AW396"/>
  <c r="AV396"/>
  <c r="AU396"/>
  <c r="AT396"/>
  <c r="AS396"/>
  <c r="AR396"/>
  <c r="BA29"/>
  <c r="AZ29"/>
  <c r="AY29"/>
  <c r="AX29"/>
  <c r="AW29"/>
  <c r="AV29"/>
  <c r="AU29"/>
  <c r="AT29"/>
  <c r="AS29"/>
  <c r="AR29"/>
  <c r="BA202"/>
  <c r="AZ202"/>
  <c r="AY202"/>
  <c r="AX202"/>
  <c r="AW202"/>
  <c r="AV202"/>
  <c r="AU202"/>
  <c r="AT202"/>
  <c r="AS202"/>
  <c r="AR202"/>
  <c r="BA362"/>
  <c r="AZ362"/>
  <c r="AY362"/>
  <c r="AX362"/>
  <c r="AW362"/>
  <c r="AV362"/>
  <c r="AU362"/>
  <c r="AT362"/>
  <c r="AS362"/>
  <c r="AR362"/>
  <c r="BA106"/>
  <c r="AZ106"/>
  <c r="AY106"/>
  <c r="AX106"/>
  <c r="AW106"/>
  <c r="AV106"/>
  <c r="AU106"/>
  <c r="AT106"/>
  <c r="AS106"/>
  <c r="AR106"/>
  <c r="BA154"/>
  <c r="AZ154"/>
  <c r="AY154"/>
  <c r="AX154"/>
  <c r="AW154"/>
  <c r="AV154"/>
  <c r="AU154"/>
  <c r="AT154"/>
  <c r="AS154"/>
  <c r="AR154"/>
  <c r="BA105"/>
  <c r="AZ105"/>
  <c r="AY105"/>
  <c r="AX105"/>
  <c r="AW105"/>
  <c r="AV105"/>
  <c r="AU105"/>
  <c r="AT105"/>
  <c r="AS105"/>
  <c r="AR105"/>
  <c r="BA153"/>
  <c r="AZ153"/>
  <c r="AY153"/>
  <c r="AX153"/>
  <c r="AW153"/>
  <c r="AV153"/>
  <c r="AU153"/>
  <c r="AT153"/>
  <c r="AS153"/>
  <c r="AR153"/>
  <c r="BA110"/>
  <c r="AZ110"/>
  <c r="AY110"/>
  <c r="AX110"/>
  <c r="AW110"/>
  <c r="AV110"/>
  <c r="AU110"/>
  <c r="AT110"/>
  <c r="AS110"/>
  <c r="AR110"/>
  <c r="BA28"/>
  <c r="AZ28"/>
  <c r="AY28"/>
  <c r="AX28"/>
  <c r="AW28"/>
  <c r="AV28"/>
  <c r="AU28"/>
  <c r="AT28"/>
  <c r="AS28"/>
  <c r="AR28"/>
  <c r="BA370"/>
  <c r="AZ370"/>
  <c r="AY370"/>
  <c r="AX370"/>
  <c r="AW370"/>
  <c r="AV370"/>
  <c r="AU370"/>
  <c r="AT370"/>
  <c r="AS370"/>
  <c r="AR370"/>
  <c r="BA22"/>
  <c r="AZ22"/>
  <c r="AY22"/>
  <c r="AX22"/>
  <c r="AW22"/>
  <c r="AV22"/>
  <c r="AU22"/>
  <c r="AT22"/>
  <c r="AS22"/>
  <c r="AR22"/>
  <c r="BA372"/>
  <c r="AZ372"/>
  <c r="AY372"/>
  <c r="AX372"/>
  <c r="AW372"/>
  <c r="AV372"/>
  <c r="AU372"/>
  <c r="AT372"/>
  <c r="AS372"/>
  <c r="AR372"/>
  <c r="BA198"/>
  <c r="AZ198"/>
  <c r="AY198"/>
  <c r="AX198"/>
  <c r="AW198"/>
  <c r="AV198"/>
  <c r="AU198"/>
  <c r="AT198"/>
  <c r="AS198"/>
  <c r="AR198"/>
  <c r="BA275"/>
  <c r="AZ275"/>
  <c r="AY275"/>
  <c r="AX275"/>
  <c r="AW275"/>
  <c r="AV275"/>
  <c r="AU275"/>
  <c r="AT275"/>
  <c r="AS275"/>
  <c r="AR275"/>
  <c r="BA148"/>
  <c r="AZ148"/>
  <c r="AY148"/>
  <c r="AX148"/>
  <c r="AW148"/>
  <c r="AV148"/>
  <c r="AU148"/>
  <c r="AT148"/>
  <c r="AS148"/>
  <c r="AR148"/>
  <c r="BA376"/>
  <c r="AZ376"/>
  <c r="AY376"/>
  <c r="AX376"/>
  <c r="AW376"/>
  <c r="AV376"/>
  <c r="AU376"/>
  <c r="AT376"/>
  <c r="AR376"/>
  <c r="BA36"/>
  <c r="AZ36"/>
  <c r="AY36"/>
  <c r="AX36"/>
  <c r="AW36"/>
  <c r="AV36"/>
  <c r="AU36"/>
  <c r="AT36"/>
  <c r="AS36"/>
  <c r="AR36"/>
  <c r="BA381"/>
  <c r="AZ381"/>
  <c r="AY381"/>
  <c r="AX381"/>
  <c r="AW381"/>
  <c r="AV381"/>
  <c r="AU381"/>
  <c r="AT381"/>
  <c r="AS381"/>
  <c r="AR381"/>
  <c r="BA39"/>
  <c r="AZ39"/>
  <c r="AY39"/>
  <c r="AX39"/>
  <c r="AW39"/>
  <c r="AV39"/>
  <c r="AU39"/>
  <c r="AT39"/>
  <c r="AS39"/>
  <c r="AR39"/>
  <c r="BA56"/>
  <c r="AZ56"/>
  <c r="AY56"/>
  <c r="AX56"/>
  <c r="AW56"/>
  <c r="AV56"/>
  <c r="AU56"/>
  <c r="AT56"/>
  <c r="AS56"/>
  <c r="AR56"/>
  <c r="BA361"/>
  <c r="AZ361"/>
  <c r="AY361"/>
  <c r="AX361"/>
  <c r="AW361"/>
  <c r="AV361"/>
  <c r="AU361"/>
  <c r="AT361"/>
  <c r="AS361"/>
  <c r="AR361"/>
  <c r="BA116"/>
  <c r="AZ116"/>
  <c r="AY116"/>
  <c r="AX116"/>
  <c r="AW116"/>
  <c r="AV116"/>
  <c r="AU116"/>
  <c r="AT116"/>
  <c r="AS116"/>
  <c r="AR116"/>
  <c r="BA55"/>
  <c r="AZ55"/>
  <c r="AY55"/>
  <c r="AX55"/>
  <c r="AW55"/>
  <c r="AV55"/>
  <c r="AU55"/>
  <c r="AT55"/>
  <c r="AS55"/>
  <c r="AR55"/>
  <c r="BA378"/>
  <c r="AZ378"/>
  <c r="AW378"/>
  <c r="AV378"/>
  <c r="AT378"/>
  <c r="AS378"/>
  <c r="AR378"/>
  <c r="BA54"/>
  <c r="AZ54"/>
  <c r="AY54"/>
  <c r="AX54"/>
  <c r="AV54"/>
  <c r="AU54"/>
  <c r="AT54"/>
  <c r="AR54"/>
  <c r="BA360"/>
  <c r="AZ360"/>
  <c r="AY360"/>
  <c r="AX360"/>
  <c r="AW360"/>
  <c r="AV360"/>
  <c r="AU360"/>
  <c r="AT360"/>
  <c r="AS360"/>
  <c r="AR360"/>
  <c r="BA134"/>
  <c r="AZ134"/>
  <c r="AY134"/>
  <c r="AX134"/>
  <c r="AW134"/>
  <c r="AV134"/>
  <c r="AU134"/>
  <c r="AT134"/>
  <c r="AS134"/>
  <c r="AR134"/>
  <c r="BA359"/>
  <c r="AZ359"/>
  <c r="AW359"/>
  <c r="AV359"/>
  <c r="AT359"/>
  <c r="AS359"/>
  <c r="AR359"/>
  <c r="BK363"/>
  <c r="BF363"/>
  <c r="BA393"/>
  <c r="AZ393"/>
  <c r="AY393"/>
  <c r="AX393"/>
  <c r="AW393"/>
  <c r="AV393"/>
  <c r="AU393"/>
  <c r="AT393"/>
  <c r="AS393"/>
  <c r="AR393"/>
  <c r="BA369"/>
  <c r="AZ369"/>
  <c r="AY369"/>
  <c r="AX369"/>
  <c r="AW369"/>
  <c r="AV369"/>
  <c r="AU369"/>
  <c r="AT369"/>
  <c r="AS369"/>
  <c r="AR369"/>
  <c r="BA283"/>
  <c r="AZ283"/>
  <c r="AY283"/>
  <c r="AX283"/>
  <c r="AW283"/>
  <c r="AV283"/>
  <c r="AU283"/>
  <c r="AT283"/>
  <c r="AS283"/>
  <c r="AR283"/>
  <c r="BA284"/>
  <c r="AZ284"/>
  <c r="AY284"/>
  <c r="AX284"/>
  <c r="AW284"/>
  <c r="AV284"/>
  <c r="AU284"/>
  <c r="AT284"/>
  <c r="AS284"/>
  <c r="AR284"/>
  <c r="BA401"/>
  <c r="AZ401"/>
  <c r="AY401"/>
  <c r="AX401"/>
  <c r="AW401"/>
  <c r="AV401"/>
  <c r="AU401"/>
  <c r="AT401"/>
  <c r="AS401"/>
  <c r="AR401"/>
  <c r="BA282"/>
  <c r="AZ282"/>
  <c r="AY282"/>
  <c r="AX282"/>
  <c r="AW282"/>
  <c r="AV282"/>
  <c r="AU282"/>
  <c r="AT282"/>
  <c r="AS282"/>
  <c r="AR282"/>
  <c r="BA64"/>
  <c r="AZ64"/>
  <c r="AY64"/>
  <c r="AX64"/>
  <c r="AW64"/>
  <c r="AV64"/>
  <c r="AU64"/>
  <c r="AT64"/>
  <c r="BA371"/>
  <c r="AZ371"/>
  <c r="AY371"/>
  <c r="AX371"/>
  <c r="AW371"/>
  <c r="AV371"/>
  <c r="AU371"/>
  <c r="AT371"/>
  <c r="AS371"/>
  <c r="AR371"/>
  <c r="BA187"/>
  <c r="AZ187"/>
  <c r="AY187"/>
  <c r="AX187"/>
  <c r="AW187"/>
  <c r="AV187"/>
  <c r="AU187"/>
  <c r="AT187"/>
  <c r="AS187"/>
  <c r="AR187"/>
  <c r="BA192"/>
  <c r="AZ192"/>
  <c r="AY192"/>
  <c r="AX192"/>
  <c r="AW192"/>
  <c r="AV192"/>
  <c r="AU192"/>
  <c r="AT192"/>
  <c r="AS192"/>
  <c r="AR192"/>
  <c r="BA281"/>
  <c r="AZ281"/>
  <c r="AY281"/>
  <c r="AX281"/>
  <c r="AW281"/>
  <c r="AV281"/>
  <c r="AU281"/>
  <c r="AT281"/>
  <c r="AS281"/>
  <c r="AR281"/>
  <c r="BA102"/>
  <c r="AZ102"/>
  <c r="AY102"/>
  <c r="AX102"/>
  <c r="AW102"/>
  <c r="AV102"/>
  <c r="AU102"/>
  <c r="AT102"/>
  <c r="AS102"/>
  <c r="AR102"/>
  <c r="BA93"/>
  <c r="AZ93"/>
  <c r="AY93"/>
  <c r="AX93"/>
  <c r="AW93"/>
  <c r="AV93"/>
  <c r="AU93"/>
  <c r="AT93"/>
  <c r="AS93"/>
  <c r="AR93"/>
  <c r="BA373"/>
  <c r="AZ373"/>
  <c r="AY373"/>
  <c r="AX373"/>
  <c r="AW373"/>
  <c r="AV373"/>
  <c r="AU373"/>
  <c r="AT373"/>
  <c r="BA92"/>
  <c r="AZ92"/>
  <c r="AY92"/>
  <c r="AX92"/>
  <c r="AW92"/>
  <c r="AV92"/>
  <c r="AU92"/>
  <c r="AT92"/>
  <c r="AS92"/>
  <c r="AR92"/>
  <c r="BA199"/>
  <c r="AZ199"/>
  <c r="AY199"/>
  <c r="AX199"/>
  <c r="AW199"/>
  <c r="AV199"/>
  <c r="AU199"/>
  <c r="AT199"/>
  <c r="AS199"/>
  <c r="AR199"/>
  <c r="BA91"/>
  <c r="AZ91"/>
  <c r="AY91"/>
  <c r="AX91"/>
  <c r="AW91"/>
  <c r="AV91"/>
  <c r="AU91"/>
  <c r="AT91"/>
  <c r="BA40"/>
  <c r="AZ40"/>
  <c r="AY40"/>
  <c r="AX40"/>
  <c r="AW40"/>
  <c r="AV40"/>
  <c r="AU40"/>
  <c r="AT40"/>
  <c r="AS40"/>
  <c r="AR40"/>
  <c r="BA27"/>
  <c r="AZ27"/>
  <c r="AY27"/>
  <c r="AX27"/>
  <c r="AW27"/>
  <c r="AV27"/>
  <c r="AU27"/>
  <c r="AT27"/>
  <c r="AS27"/>
  <c r="AR27"/>
  <c r="BA398"/>
  <c r="AZ398"/>
  <c r="AY398"/>
  <c r="AX398"/>
  <c r="AW398"/>
  <c r="AV398"/>
  <c r="AU398"/>
  <c r="AT398"/>
  <c r="AS398"/>
  <c r="AR398"/>
  <c r="BA90"/>
  <c r="AZ90"/>
  <c r="AY90"/>
  <c r="AX90"/>
  <c r="AW90"/>
  <c r="AV90"/>
  <c r="AU90"/>
  <c r="AT90"/>
  <c r="AS90"/>
  <c r="AR90"/>
  <c r="BA135"/>
  <c r="AZ135"/>
  <c r="AY135"/>
  <c r="AX135"/>
  <c r="AW135"/>
  <c r="AV135"/>
  <c r="AU135"/>
  <c r="AT135"/>
  <c r="AS135"/>
  <c r="AR135"/>
  <c r="BA294"/>
  <c r="AZ294"/>
  <c r="AY294"/>
  <c r="AX294"/>
  <c r="AW294"/>
  <c r="AV294"/>
  <c r="AU294"/>
  <c r="AT294"/>
  <c r="AS294"/>
  <c r="AR294"/>
  <c r="BA234"/>
  <c r="AZ234"/>
  <c r="AY234"/>
  <c r="AX234"/>
  <c r="AW234"/>
  <c r="AV234"/>
  <c r="AU234"/>
  <c r="AT234"/>
  <c r="AS234"/>
  <c r="AR234"/>
  <c r="BA108"/>
  <c r="AZ108"/>
  <c r="AY108"/>
  <c r="AX108"/>
  <c r="AW108"/>
  <c r="AV108"/>
  <c r="AU108"/>
  <c r="AT108"/>
  <c r="AS108"/>
  <c r="AR108"/>
  <c r="BA89"/>
  <c r="AZ89"/>
  <c r="AY89"/>
  <c r="AX89"/>
  <c r="AW89"/>
  <c r="AV89"/>
  <c r="AU89"/>
  <c r="AT89"/>
  <c r="AS89"/>
  <c r="AR89"/>
  <c r="BA34"/>
  <c r="AZ34"/>
  <c r="AY34"/>
  <c r="AX34"/>
  <c r="AW34"/>
  <c r="AV34"/>
  <c r="AU34"/>
  <c r="AT34"/>
  <c r="AS34"/>
  <c r="AR34"/>
  <c r="BA88"/>
  <c r="AZ88"/>
  <c r="AY88"/>
  <c r="AX88"/>
  <c r="AW88"/>
  <c r="AV88"/>
  <c r="AU88"/>
  <c r="AT88"/>
  <c r="AS88"/>
  <c r="AR88"/>
  <c r="BA397"/>
  <c r="AZ397"/>
  <c r="AY397"/>
  <c r="AX397"/>
  <c r="AW397"/>
  <c r="AV397"/>
  <c r="AU397"/>
  <c r="AT397"/>
  <c r="AS397"/>
  <c r="AR397"/>
  <c r="BA298"/>
  <c r="AZ298"/>
  <c r="AY298"/>
  <c r="AX298"/>
  <c r="AW298"/>
  <c r="AV298"/>
  <c r="AU298"/>
  <c r="AT298"/>
  <c r="AS298"/>
  <c r="AR298"/>
  <c r="BK393"/>
  <c r="BF393"/>
  <c r="AJ81" l="1"/>
  <c r="AN81" s="1"/>
  <c r="AK73"/>
  <c r="BI73" s="1"/>
  <c r="AJ73"/>
  <c r="AN73" s="1"/>
  <c r="AO73" s="1"/>
  <c r="AL73"/>
  <c r="AM73"/>
  <c r="BG73" l="1"/>
  <c r="BE73"/>
  <c r="BH73"/>
  <c r="BB73"/>
  <c r="BJ73"/>
  <c r="BC73"/>
  <c r="BD73"/>
  <c r="BA407" l="1"/>
  <c r="AZ407"/>
  <c r="AY407"/>
  <c r="AX407"/>
  <c r="AW407"/>
  <c r="AV407"/>
  <c r="AU407"/>
  <c r="AT407"/>
  <c r="AS407"/>
  <c r="AR407"/>
  <c r="BA58"/>
  <c r="AZ58"/>
  <c r="AY58"/>
  <c r="AX58"/>
  <c r="AW58"/>
  <c r="AV58"/>
  <c r="AU58"/>
  <c r="AT58"/>
  <c r="AS58"/>
  <c r="AR58"/>
  <c r="BA66"/>
  <c r="AZ66"/>
  <c r="AY66"/>
  <c r="AX66"/>
  <c r="AW66"/>
  <c r="AV66"/>
  <c r="AU66"/>
  <c r="AT66"/>
  <c r="AS66"/>
  <c r="AR66"/>
  <c r="BA318"/>
  <c r="AZ318"/>
  <c r="AY318"/>
  <c r="AX318"/>
  <c r="AW318"/>
  <c r="AV318"/>
  <c r="AU318"/>
  <c r="AT318"/>
  <c r="AS318"/>
  <c r="AR318"/>
  <c r="BA70"/>
  <c r="AZ70"/>
  <c r="AY70"/>
  <c r="AX70"/>
  <c r="AW70"/>
  <c r="AV70"/>
  <c r="AU70"/>
  <c r="AT70"/>
  <c r="AS70"/>
  <c r="AR70"/>
  <c r="BA139"/>
  <c r="AZ139"/>
  <c r="AY139"/>
  <c r="AX139"/>
  <c r="AV139"/>
  <c r="AT139"/>
  <c r="AR139"/>
  <c r="BA78"/>
  <c r="AZ78"/>
  <c r="AY78"/>
  <c r="AX78"/>
  <c r="AW78"/>
  <c r="AV78"/>
  <c r="AU78"/>
  <c r="AT78"/>
  <c r="AS78"/>
  <c r="AR78"/>
  <c r="BA71"/>
  <c r="AZ71"/>
  <c r="AY71"/>
  <c r="AX71"/>
  <c r="AW71"/>
  <c r="AV71"/>
  <c r="AU71"/>
  <c r="AT71"/>
  <c r="AS71"/>
  <c r="AR71"/>
  <c r="BA76"/>
  <c r="AZ76"/>
  <c r="AY76"/>
  <c r="AX76"/>
  <c r="AW76"/>
  <c r="AV76"/>
  <c r="AU76"/>
  <c r="AT76"/>
  <c r="AS76"/>
  <c r="AR76"/>
  <c r="BA65"/>
  <c r="AZ65"/>
  <c r="AY65"/>
  <c r="AX65"/>
  <c r="AW65"/>
  <c r="AV65"/>
  <c r="AU65"/>
  <c r="AT65"/>
  <c r="AS65"/>
  <c r="AR65"/>
  <c r="BA136"/>
  <c r="AZ136"/>
  <c r="AY136"/>
  <c r="AX136"/>
  <c r="AW136"/>
  <c r="AV136"/>
  <c r="AU136"/>
  <c r="AT136"/>
  <c r="AS136"/>
  <c r="AR136"/>
  <c r="BA193"/>
  <c r="AZ193"/>
  <c r="AY193"/>
  <c r="AX193"/>
  <c r="AW193"/>
  <c r="AV193"/>
  <c r="AU193"/>
  <c r="AT193"/>
  <c r="AS193"/>
  <c r="AR193"/>
  <c r="BA254"/>
  <c r="AZ254"/>
  <c r="AY254"/>
  <c r="AX254"/>
  <c r="AW254"/>
  <c r="AV254"/>
  <c r="AU254"/>
  <c r="AT254"/>
  <c r="AS254"/>
  <c r="AR254"/>
  <c r="BA269"/>
  <c r="AZ269"/>
  <c r="AY269"/>
  <c r="AX269"/>
  <c r="AW269"/>
  <c r="AV269"/>
  <c r="AU269"/>
  <c r="AT269"/>
  <c r="AS269"/>
  <c r="AR269"/>
  <c r="BK407"/>
  <c r="BF407"/>
  <c r="BA96"/>
  <c r="AZ96"/>
  <c r="AY96"/>
  <c r="AX96"/>
  <c r="AW96"/>
  <c r="AV96"/>
  <c r="AU96"/>
  <c r="AT96"/>
  <c r="AS96"/>
  <c r="AR96"/>
  <c r="BA180"/>
  <c r="AZ180"/>
  <c r="AY180"/>
  <c r="AX180"/>
  <c r="AW180"/>
  <c r="AV180"/>
  <c r="AU180"/>
  <c r="AT180"/>
  <c r="AS180"/>
  <c r="AR180"/>
  <c r="BA95"/>
  <c r="AZ95"/>
  <c r="AY95"/>
  <c r="AX95"/>
  <c r="AW95"/>
  <c r="AV95"/>
  <c r="AU95"/>
  <c r="AT95"/>
  <c r="AS95"/>
  <c r="AR95"/>
  <c r="BA30"/>
  <c r="AZ30"/>
  <c r="AY30"/>
  <c r="AX30"/>
  <c r="AW30"/>
  <c r="AV30"/>
  <c r="AU30"/>
  <c r="AT30"/>
  <c r="AS30"/>
  <c r="AR30"/>
  <c r="BA109"/>
  <c r="AZ109"/>
  <c r="AY109"/>
  <c r="AX109"/>
  <c r="AW109"/>
  <c r="AV109"/>
  <c r="AU109"/>
  <c r="AT109"/>
  <c r="AS109"/>
  <c r="AR109"/>
  <c r="BA364"/>
  <c r="AZ364"/>
  <c r="AY364"/>
  <c r="AX364"/>
  <c r="AW364"/>
  <c r="AV364"/>
  <c r="AU364"/>
  <c r="AT364"/>
  <c r="AS364"/>
  <c r="AR364"/>
  <c r="BA244"/>
  <c r="AZ244"/>
  <c r="AY244"/>
  <c r="AX244"/>
  <c r="AW244"/>
  <c r="AV244"/>
  <c r="AU244"/>
  <c r="AT244"/>
  <c r="AS244"/>
  <c r="AR244"/>
  <c r="BA68"/>
  <c r="AZ68"/>
  <c r="AY68"/>
  <c r="AX68"/>
  <c r="AW68"/>
  <c r="AV68"/>
  <c r="AU68"/>
  <c r="AT68"/>
  <c r="AS68"/>
  <c r="AR68"/>
  <c r="BA57"/>
  <c r="AZ57"/>
  <c r="AY57"/>
  <c r="AX57"/>
  <c r="AW57"/>
  <c r="AV57"/>
  <c r="AU57"/>
  <c r="AT57"/>
  <c r="AS57"/>
  <c r="AR57"/>
  <c r="BA67"/>
  <c r="AZ67"/>
  <c r="AY67"/>
  <c r="AX67"/>
  <c r="AW67"/>
  <c r="AV67"/>
  <c r="AU67"/>
  <c r="AT67"/>
  <c r="AS67"/>
  <c r="AR67"/>
  <c r="BA197"/>
  <c r="AZ197"/>
  <c r="AY197"/>
  <c r="AX197"/>
  <c r="AW197"/>
  <c r="AV197"/>
  <c r="AU197"/>
  <c r="AT197"/>
  <c r="AS197"/>
  <c r="AR197"/>
  <c r="BA94"/>
  <c r="AZ94"/>
  <c r="AY94"/>
  <c r="AX94"/>
  <c r="AW94"/>
  <c r="AV94"/>
  <c r="AU94"/>
  <c r="AT94"/>
  <c r="AS94"/>
  <c r="AR94"/>
  <c r="BA380"/>
  <c r="AZ380"/>
  <c r="AY380"/>
  <c r="AX380"/>
  <c r="AW380"/>
  <c r="AV380"/>
  <c r="AU380"/>
  <c r="AT380"/>
  <c r="AS380"/>
  <c r="AR380"/>
  <c r="BA236"/>
  <c r="AZ236"/>
  <c r="AY236"/>
  <c r="AX236"/>
  <c r="AW236"/>
  <c r="AV236"/>
  <c r="AU236"/>
  <c r="AT236"/>
  <c r="AS236"/>
  <c r="AR236"/>
  <c r="BK96"/>
  <c r="BJ96"/>
  <c r="BI96"/>
  <c r="BF96"/>
  <c r="AP5"/>
  <c r="BK237"/>
  <c r="BF237"/>
  <c r="BA237"/>
  <c r="AZ237"/>
  <c r="AY237"/>
  <c r="AX237"/>
  <c r="AW237"/>
  <c r="AV237"/>
  <c r="AU237"/>
  <c r="AT237"/>
  <c r="AS237"/>
  <c r="AR237"/>
  <c r="BA156"/>
  <c r="AZ156"/>
  <c r="AY156"/>
  <c r="AX156"/>
  <c r="AW156"/>
  <c r="AV156"/>
  <c r="AU156"/>
  <c r="AT156"/>
  <c r="AS156"/>
  <c r="AR156"/>
  <c r="BA308"/>
  <c r="AZ308"/>
  <c r="AY308"/>
  <c r="AX308"/>
  <c r="AW308"/>
  <c r="AV308"/>
  <c r="AU308"/>
  <c r="AT308"/>
  <c r="AS308"/>
  <c r="AR308"/>
  <c r="BA242"/>
  <c r="AZ242"/>
  <c r="AY242"/>
  <c r="AX242"/>
  <c r="AW242"/>
  <c r="AV242"/>
  <c r="AU242"/>
  <c r="AT242"/>
  <c r="AS242"/>
  <c r="AR242"/>
  <c r="BA100"/>
  <c r="AZ100"/>
  <c r="AY100"/>
  <c r="AX100"/>
  <c r="AW100"/>
  <c r="AV100"/>
  <c r="AU100"/>
  <c r="AT100"/>
  <c r="AS100"/>
  <c r="AR100"/>
  <c r="BA392"/>
  <c r="AZ392"/>
  <c r="AY392"/>
  <c r="AX392"/>
  <c r="AW392"/>
  <c r="AV392"/>
  <c r="AU392"/>
  <c r="AT392"/>
  <c r="AR392"/>
  <c r="BA104"/>
  <c r="AZ104"/>
  <c r="AY104"/>
  <c r="AX104"/>
  <c r="AW104"/>
  <c r="AV104"/>
  <c r="AU104"/>
  <c r="AT104"/>
  <c r="AS104"/>
  <c r="AR104"/>
  <c r="BA99"/>
  <c r="AZ99"/>
  <c r="AY99"/>
  <c r="AX99"/>
  <c r="AW99"/>
  <c r="AV99"/>
  <c r="AU99"/>
  <c r="AT99"/>
  <c r="AS99"/>
  <c r="AR99"/>
  <c r="BA42"/>
  <c r="AZ42"/>
  <c r="AY42"/>
  <c r="AX42"/>
  <c r="AW42"/>
  <c r="AV42"/>
  <c r="AU42"/>
  <c r="AT42"/>
  <c r="AS42"/>
  <c r="AR42"/>
  <c r="BA21"/>
  <c r="AZ21"/>
  <c r="AY21"/>
  <c r="AX21"/>
  <c r="AV21"/>
  <c r="AU21"/>
  <c r="AT21"/>
  <c r="AS21"/>
  <c r="BA147"/>
  <c r="AZ147"/>
  <c r="AY147"/>
  <c r="AX147"/>
  <c r="AV147"/>
  <c r="AU147"/>
  <c r="AT147"/>
  <c r="AS147"/>
  <c r="BA3"/>
  <c r="AZ3"/>
  <c r="AW3"/>
  <c r="AU3"/>
  <c r="AS3"/>
  <c r="BA365"/>
  <c r="AZ365"/>
  <c r="AY365"/>
  <c r="AX365"/>
  <c r="AW365"/>
  <c r="AV365"/>
  <c r="AU365"/>
  <c r="AT365"/>
  <c r="AS365"/>
  <c r="AR365"/>
  <c r="BA133"/>
  <c r="AZ133"/>
  <c r="AY133"/>
  <c r="AX133"/>
  <c r="AW133"/>
  <c r="AV133"/>
  <c r="AU133"/>
  <c r="AT133"/>
  <c r="AR133"/>
  <c r="BA390"/>
  <c r="AZ390"/>
  <c r="AY390"/>
  <c r="AX390"/>
  <c r="AW390"/>
  <c r="AV390"/>
  <c r="AU390"/>
  <c r="AT390"/>
  <c r="AS390"/>
  <c r="AR390"/>
  <c r="BA391"/>
  <c r="AZ391"/>
  <c r="AY391"/>
  <c r="AX391"/>
  <c r="AW391"/>
  <c r="AV391"/>
  <c r="AU391"/>
  <c r="AT391"/>
  <c r="AS391"/>
  <c r="AR391"/>
  <c r="BA194"/>
  <c r="AZ194"/>
  <c r="AY194"/>
  <c r="AX194"/>
  <c r="AW194"/>
  <c r="AV194"/>
  <c r="AU194"/>
  <c r="AT194"/>
  <c r="AS194"/>
  <c r="AR194"/>
  <c r="BA97"/>
  <c r="AZ97"/>
  <c r="AY97"/>
  <c r="AX97"/>
  <c r="AW97"/>
  <c r="AV97"/>
  <c r="AU97"/>
  <c r="AT97"/>
  <c r="AS97"/>
  <c r="AR97"/>
  <c r="BA31"/>
  <c r="AZ31"/>
  <c r="AY31"/>
  <c r="AX31"/>
  <c r="AW31"/>
  <c r="AV31"/>
  <c r="AU31"/>
  <c r="AT31"/>
  <c r="AS31"/>
  <c r="AR31"/>
  <c r="BA155"/>
  <c r="AZ155"/>
  <c r="AY155"/>
  <c r="AX155"/>
  <c r="AW155"/>
  <c r="AV155"/>
  <c r="AU155"/>
  <c r="AT155"/>
  <c r="AS155"/>
  <c r="AR155"/>
  <c r="BA32"/>
  <c r="AZ32"/>
  <c r="AY32"/>
  <c r="AX32"/>
  <c r="AW32"/>
  <c r="AV32"/>
  <c r="AU32"/>
  <c r="AT32"/>
  <c r="AS32"/>
  <c r="AR32"/>
  <c r="BA195"/>
  <c r="AZ195"/>
  <c r="AY195"/>
  <c r="AX195"/>
  <c r="AW195"/>
  <c r="AV195"/>
  <c r="AU195"/>
  <c r="AT195"/>
  <c r="AS195"/>
  <c r="AR195"/>
  <c r="BA98"/>
  <c r="AZ98"/>
  <c r="AY98"/>
  <c r="AX98"/>
  <c r="AW98"/>
  <c r="AV98"/>
  <c r="AU98"/>
  <c r="AT98"/>
  <c r="AS98"/>
  <c r="AR98"/>
  <c r="BA394"/>
  <c r="AZ394"/>
  <c r="AY394"/>
  <c r="AX394"/>
  <c r="AW394"/>
  <c r="AV394"/>
  <c r="AU394"/>
  <c r="AT394"/>
  <c r="AS394"/>
  <c r="AR394"/>
  <c r="AT221"/>
  <c r="BK3"/>
  <c r="BJ3"/>
  <c r="BG3"/>
  <c r="BE3"/>
  <c r="BC3"/>
  <c r="AJ349" l="1"/>
  <c r="AN349" s="1"/>
  <c r="AJ417"/>
  <c r="AN417" s="1"/>
  <c r="CL328"/>
  <c r="DV378"/>
  <c r="DV359"/>
  <c r="EH378"/>
  <c r="EH359"/>
  <c r="DV279"/>
  <c r="DV44"/>
  <c r="DV402"/>
  <c r="DV366"/>
  <c r="DV367"/>
  <c r="DV368"/>
  <c r="BZ279"/>
  <c r="BZ44"/>
  <c r="BZ402"/>
  <c r="BZ366"/>
  <c r="BZ367"/>
  <c r="BZ368"/>
  <c r="BN64"/>
  <c r="BN373"/>
  <c r="BN91"/>
  <c r="BN279"/>
  <c r="BN44"/>
  <c r="BN402"/>
  <c r="BN366"/>
  <c r="BN367"/>
  <c r="BN368"/>
  <c r="BS368"/>
  <c r="BN293"/>
  <c r="BN21"/>
  <c r="BN147"/>
  <c r="BN7"/>
  <c r="AJ246" l="1"/>
  <c r="AN246" s="1"/>
  <c r="AD316"/>
  <c r="AF316" s="1"/>
  <c r="BN249"/>
  <c r="BN218"/>
  <c r="EH249"/>
  <c r="EH218"/>
  <c r="DV249"/>
  <c r="DV218"/>
  <c r="BA249"/>
  <c r="AZ249"/>
  <c r="AV249"/>
  <c r="AU249"/>
  <c r="AT249"/>
  <c r="BA218"/>
  <c r="AZ218"/>
  <c r="AV218"/>
  <c r="AU218"/>
  <c r="AT218"/>
  <c r="CY249"/>
  <c r="DM249"/>
  <c r="DN249" s="1"/>
  <c r="DM218"/>
  <c r="DN218" s="1"/>
  <c r="AS332"/>
  <c r="CY115"/>
  <c r="BA53"/>
  <c r="AZ53"/>
  <c r="AY53"/>
  <c r="AX53"/>
  <c r="AW53"/>
  <c r="AV53"/>
  <c r="AU53"/>
  <c r="AT53"/>
  <c r="AS53"/>
  <c r="AR53"/>
  <c r="BA140"/>
  <c r="AZ140"/>
  <c r="AY140"/>
  <c r="AX140"/>
  <c r="AW140"/>
  <c r="AV140"/>
  <c r="AU140"/>
  <c r="AT140"/>
  <c r="AS140"/>
  <c r="AR140"/>
  <c r="BA141"/>
  <c r="AZ141"/>
  <c r="AY141"/>
  <c r="AX141"/>
  <c r="AW141"/>
  <c r="AV141"/>
  <c r="AU141"/>
  <c r="AT141"/>
  <c r="AR141"/>
  <c r="BA291"/>
  <c r="AZ291"/>
  <c r="AY291"/>
  <c r="AX291"/>
  <c r="AW291"/>
  <c r="AV291"/>
  <c r="AU291"/>
  <c r="AT291"/>
  <c r="AS291"/>
  <c r="AR291"/>
  <c r="BA293"/>
  <c r="AZ293"/>
  <c r="AY293"/>
  <c r="AX293"/>
  <c r="AW293"/>
  <c r="AV293"/>
  <c r="AU293"/>
  <c r="AT293"/>
  <c r="AS293"/>
  <c r="BA292"/>
  <c r="AZ292"/>
  <c r="AY292"/>
  <c r="AX292"/>
  <c r="AW292"/>
  <c r="AV292"/>
  <c r="AU292"/>
  <c r="AT292"/>
  <c r="AS292"/>
  <c r="AR292"/>
  <c r="BA253"/>
  <c r="AZ253"/>
  <c r="AY253"/>
  <c r="AX253"/>
  <c r="AW253"/>
  <c r="AV253"/>
  <c r="AU253"/>
  <c r="AT253"/>
  <c r="AS253"/>
  <c r="AR253"/>
  <c r="BA38"/>
  <c r="AZ38"/>
  <c r="AY38"/>
  <c r="AX38"/>
  <c r="AW38"/>
  <c r="AV38"/>
  <c r="AU38"/>
  <c r="AT38"/>
  <c r="AS38"/>
  <c r="AR38"/>
  <c r="BA115"/>
  <c r="AZ115"/>
  <c r="AY115"/>
  <c r="AX115"/>
  <c r="AW115"/>
  <c r="AV115"/>
  <c r="AU115"/>
  <c r="AT115"/>
  <c r="AR115"/>
  <c r="BA332"/>
  <c r="AZ332"/>
  <c r="AY332"/>
  <c r="AX332"/>
  <c r="AW332"/>
  <c r="AV332"/>
  <c r="AU332"/>
  <c r="AT332"/>
  <c r="AR332"/>
  <c r="BA415"/>
  <c r="AZ415"/>
  <c r="AY415"/>
  <c r="AX415"/>
  <c r="AW415"/>
  <c r="AV415"/>
  <c r="AU415"/>
  <c r="AT415"/>
  <c r="AS415"/>
  <c r="AR415"/>
  <c r="BA114"/>
  <c r="AZ114"/>
  <c r="AY114"/>
  <c r="AX114"/>
  <c r="AW114"/>
  <c r="AV114"/>
  <c r="AU114"/>
  <c r="AT114"/>
  <c r="AS114"/>
  <c r="AR114"/>
  <c r="AD140"/>
  <c r="AF140" s="1"/>
  <c r="AD293"/>
  <c r="AF293" s="1"/>
  <c r="AD38"/>
  <c r="AF38" s="1"/>
  <c r="BO293"/>
  <c r="BP293" s="1"/>
  <c r="CW115"/>
  <c r="CX115" s="1"/>
  <c r="CW332"/>
  <c r="CX332" s="1"/>
  <c r="AW147"/>
  <c r="AD21"/>
  <c r="AF21" s="1"/>
  <c r="CE256"/>
  <c r="BS256"/>
  <c r="EM256"/>
  <c r="EA256"/>
  <c r="AD144"/>
  <c r="AF144" s="1"/>
  <c r="AD409"/>
  <c r="AF409" s="1"/>
  <c r="BZ80"/>
  <c r="BZ302"/>
  <c r="BZ182"/>
  <c r="BZ18"/>
  <c r="BZ379"/>
  <c r="BZ181"/>
  <c r="BN80"/>
  <c r="BN302"/>
  <c r="BN182"/>
  <c r="BN18"/>
  <c r="BN379"/>
  <c r="BN181"/>
  <c r="EH80"/>
  <c r="EH302"/>
  <c r="EH182"/>
  <c r="EH18"/>
  <c r="EH379"/>
  <c r="EH181"/>
  <c r="DV80"/>
  <c r="DV302"/>
  <c r="DV182"/>
  <c r="DV18"/>
  <c r="DV379"/>
  <c r="DV181"/>
  <c r="AD379"/>
  <c r="AF379" s="1"/>
  <c r="AD18"/>
  <c r="AF18" s="1"/>
  <c r="ES181"/>
  <c r="ET181" s="1"/>
  <c r="ES379"/>
  <c r="ET379" s="1"/>
  <c r="DE18"/>
  <c r="DF18" s="1"/>
  <c r="ES182"/>
  <c r="ET182" s="1"/>
  <c r="ES302"/>
  <c r="ET302" s="1"/>
  <c r="ES80"/>
  <c r="ET80" s="1"/>
  <c r="EM393"/>
  <c r="EA393"/>
  <c r="CE393"/>
  <c r="BS393"/>
  <c r="AD89"/>
  <c r="AF89" s="1"/>
  <c r="CE363"/>
  <c r="BS363"/>
  <c r="EM363"/>
  <c r="EA363"/>
  <c r="AU378"/>
  <c r="AU359"/>
  <c r="AD134"/>
  <c r="AD55"/>
  <c r="AD361"/>
  <c r="AF361" s="1"/>
  <c r="AD39"/>
  <c r="AF39" s="1"/>
  <c r="AD36"/>
  <c r="AF36" s="1"/>
  <c r="AD22"/>
  <c r="AF22" s="1"/>
  <c r="AD153"/>
  <c r="AF153" s="1"/>
  <c r="AD105"/>
  <c r="AF105" s="1"/>
  <c r="AD106"/>
  <c r="AF106" s="1"/>
  <c r="AD29"/>
  <c r="AF29" s="1"/>
  <c r="AD377"/>
  <c r="AF377" s="1"/>
  <c r="AD112"/>
  <c r="AF112" s="1"/>
  <c r="CW376"/>
  <c r="CX376" s="1"/>
  <c r="CE87"/>
  <c r="BS87"/>
  <c r="EA87"/>
  <c r="AD285"/>
  <c r="AF285" s="1"/>
  <c r="AD395"/>
  <c r="AF395" s="1"/>
  <c r="AD271"/>
  <c r="AF271" s="1"/>
  <c r="AD272"/>
  <c r="AF272" s="1"/>
  <c r="CE237"/>
  <c r="BS237"/>
  <c r="EM237"/>
  <c r="EA237"/>
  <c r="AD104"/>
  <c r="AF104" s="1"/>
  <c r="AD100"/>
  <c r="AF100" s="1"/>
  <c r="CW392"/>
  <c r="CX392" s="1"/>
  <c r="AR21" l="1"/>
  <c r="BQ293"/>
  <c r="AR293"/>
  <c r="AX182"/>
  <c r="AR182"/>
  <c r="AY181"/>
  <c r="AT181"/>
  <c r="AU379"/>
  <c r="AZ379"/>
  <c r="AW379"/>
  <c r="AS379"/>
  <c r="AW18"/>
  <c r="AS18"/>
  <c r="AU18"/>
  <c r="AZ18"/>
  <c r="AW302"/>
  <c r="AS302"/>
  <c r="AU302"/>
  <c r="AZ302"/>
  <c r="AY379"/>
  <c r="AT379"/>
  <c r="AX18"/>
  <c r="AY302"/>
  <c r="AR18"/>
  <c r="AT302"/>
  <c r="CY80"/>
  <c r="AU80"/>
  <c r="AZ80"/>
  <c r="AW80"/>
  <c r="AS80"/>
  <c r="EU182"/>
  <c r="AU182"/>
  <c r="AZ182"/>
  <c r="AW182"/>
  <c r="AS182"/>
  <c r="AY80"/>
  <c r="AX379"/>
  <c r="AX80"/>
  <c r="AY182"/>
  <c r="AR379"/>
  <c r="AR80"/>
  <c r="AT182"/>
  <c r="CY181"/>
  <c r="AW181"/>
  <c r="AS181"/>
  <c r="AU181"/>
  <c r="AZ181"/>
  <c r="AT80"/>
  <c r="AX181"/>
  <c r="AX302"/>
  <c r="AY18"/>
  <c r="AR181"/>
  <c r="AR302"/>
  <c r="AT18"/>
  <c r="AY378"/>
  <c r="CY376"/>
  <c r="AS376"/>
  <c r="AY359"/>
  <c r="AX359"/>
  <c r="AW54"/>
  <c r="AS54"/>
  <c r="AX378"/>
  <c r="CY392"/>
  <c r="AS392"/>
  <c r="AR147"/>
  <c r="CW54"/>
  <c r="CX54" s="1"/>
  <c r="DM54"/>
  <c r="DN54" s="1"/>
  <c r="CY54"/>
  <c r="DO54"/>
  <c r="DE359"/>
  <c r="DF359" s="1"/>
  <c r="EI359"/>
  <c r="EJ359" s="1"/>
  <c r="DW359"/>
  <c r="DX359" s="1"/>
  <c r="DG378"/>
  <c r="DY378"/>
  <c r="EK378"/>
  <c r="CW141"/>
  <c r="CX141" s="1"/>
  <c r="DE141"/>
  <c r="DF141" s="1"/>
  <c r="DG359"/>
  <c r="EK359"/>
  <c r="DY359"/>
  <c r="CY141"/>
  <c r="DG141"/>
  <c r="DE378"/>
  <c r="DF378" s="1"/>
  <c r="DW378"/>
  <c r="DX378" s="1"/>
  <c r="EI378"/>
  <c r="EJ378" s="1"/>
  <c r="DM21"/>
  <c r="DN21" s="1"/>
  <c r="BO21"/>
  <c r="BP21" s="1"/>
  <c r="DM147"/>
  <c r="DN147" s="1"/>
  <c r="BO147"/>
  <c r="BP147" s="1"/>
  <c r="DO147"/>
  <c r="BQ147"/>
  <c r="CY332"/>
  <c r="AJ316"/>
  <c r="AN316" s="1"/>
  <c r="AO316" s="1"/>
  <c r="AJ107"/>
  <c r="AN107" s="1"/>
  <c r="AY218"/>
  <c r="DO218"/>
  <c r="EK249"/>
  <c r="AS218"/>
  <c r="AW218"/>
  <c r="CW218"/>
  <c r="CX218" s="1"/>
  <c r="AR249"/>
  <c r="DW249"/>
  <c r="DX249" s="1"/>
  <c r="AJ249"/>
  <c r="AN249" s="1"/>
  <c r="AY249"/>
  <c r="DY249"/>
  <c r="EI249"/>
  <c r="EJ249" s="1"/>
  <c r="BQ249"/>
  <c r="CW249"/>
  <c r="CX249" s="1"/>
  <c r="DO249"/>
  <c r="AX249"/>
  <c r="DW218"/>
  <c r="DX218" s="1"/>
  <c r="EI218"/>
  <c r="EJ218" s="1"/>
  <c r="BO249"/>
  <c r="BP249" s="1"/>
  <c r="CY218"/>
  <c r="AS249"/>
  <c r="AW249"/>
  <c r="BO218"/>
  <c r="BP218" s="1"/>
  <c r="AR218"/>
  <c r="BQ218"/>
  <c r="EK218"/>
  <c r="AX218"/>
  <c r="DY218"/>
  <c r="AJ218"/>
  <c r="AN218" s="1"/>
  <c r="AJ253"/>
  <c r="AN253" s="1"/>
  <c r="AJ291"/>
  <c r="AN291" s="1"/>
  <c r="AJ38"/>
  <c r="AN38" s="1"/>
  <c r="AO38" s="1"/>
  <c r="AJ114"/>
  <c r="AN114" s="1"/>
  <c r="AJ332"/>
  <c r="AN332" s="1"/>
  <c r="AJ415"/>
  <c r="AN415" s="1"/>
  <c r="AJ140"/>
  <c r="AN140" s="1"/>
  <c r="AO140" s="1"/>
  <c r="AS141"/>
  <c r="AJ292"/>
  <c r="AN292" s="1"/>
  <c r="AJ141"/>
  <c r="AN141" s="1"/>
  <c r="AJ53"/>
  <c r="AN53" s="1"/>
  <c r="AS115"/>
  <c r="AJ115"/>
  <c r="AN115" s="1"/>
  <c r="AJ147"/>
  <c r="AN147" s="1"/>
  <c r="AJ144"/>
  <c r="AN144" s="1"/>
  <c r="AO144" s="1"/>
  <c r="AJ256"/>
  <c r="AN256" s="1"/>
  <c r="AJ409"/>
  <c r="AN409" s="1"/>
  <c r="AO409" s="1"/>
  <c r="DE181"/>
  <c r="DF181" s="1"/>
  <c r="AJ299"/>
  <c r="AN299" s="1"/>
  <c r="CA302"/>
  <c r="CB302" s="1"/>
  <c r="CC379"/>
  <c r="DY379"/>
  <c r="BQ80"/>
  <c r="CW18"/>
  <c r="CX18" s="1"/>
  <c r="DE302"/>
  <c r="DF302" s="1"/>
  <c r="EI18"/>
  <c r="EJ18" s="1"/>
  <c r="EU80"/>
  <c r="DW18"/>
  <c r="DX18" s="1"/>
  <c r="EU181"/>
  <c r="AJ379"/>
  <c r="AN379" s="1"/>
  <c r="AO379" s="1"/>
  <c r="BO379"/>
  <c r="BP379" s="1"/>
  <c r="EK379"/>
  <c r="AJ18"/>
  <c r="AN18" s="1"/>
  <c r="AO18" s="1"/>
  <c r="AJ302"/>
  <c r="AN302" s="1"/>
  <c r="DY80"/>
  <c r="CA18"/>
  <c r="CB18" s="1"/>
  <c r="DM302"/>
  <c r="DN302" s="1"/>
  <c r="EU379"/>
  <c r="DE379"/>
  <c r="DF379" s="1"/>
  <c r="EI379"/>
  <c r="EJ379" s="1"/>
  <c r="DE80"/>
  <c r="DF80" s="1"/>
  <c r="CA379"/>
  <c r="CB379" s="1"/>
  <c r="CC182"/>
  <c r="CY379"/>
  <c r="DM379"/>
  <c r="DN379" s="1"/>
  <c r="CC181"/>
  <c r="CA182"/>
  <c r="CB182" s="1"/>
  <c r="DM181"/>
  <c r="DN181" s="1"/>
  <c r="DM80"/>
  <c r="DN80" s="1"/>
  <c r="ES18"/>
  <c r="ET18" s="1"/>
  <c r="BO182"/>
  <c r="BP182" s="1"/>
  <c r="CC18"/>
  <c r="DY18"/>
  <c r="BQ18"/>
  <c r="BQ302"/>
  <c r="CW182"/>
  <c r="CX182" s="1"/>
  <c r="DG182"/>
  <c r="AJ80"/>
  <c r="AN80" s="1"/>
  <c r="DW379"/>
  <c r="DX379" s="1"/>
  <c r="DY302"/>
  <c r="DW80"/>
  <c r="DX80" s="1"/>
  <c r="EK18"/>
  <c r="EK182"/>
  <c r="EK302"/>
  <c r="BQ379"/>
  <c r="BQ182"/>
  <c r="BO80"/>
  <c r="BP80" s="1"/>
  <c r="CA80"/>
  <c r="CB80" s="1"/>
  <c r="CW379"/>
  <c r="CX379" s="1"/>
  <c r="CY182"/>
  <c r="CW80"/>
  <c r="CX80" s="1"/>
  <c r="DO379"/>
  <c r="DM182"/>
  <c r="DN182" s="1"/>
  <c r="DO80"/>
  <c r="DG379"/>
  <c r="DE182"/>
  <c r="DF182" s="1"/>
  <c r="DG80"/>
  <c r="CC302"/>
  <c r="CY302"/>
  <c r="DO18"/>
  <c r="EU302"/>
  <c r="DG18"/>
  <c r="AJ182"/>
  <c r="AN182" s="1"/>
  <c r="DW181"/>
  <c r="DX181" s="1"/>
  <c r="DW182"/>
  <c r="DX182" s="1"/>
  <c r="EI182"/>
  <c r="EJ182" s="1"/>
  <c r="EI302"/>
  <c r="EJ302" s="1"/>
  <c r="CA181"/>
  <c r="CB181" s="1"/>
  <c r="DO182"/>
  <c r="AJ181"/>
  <c r="AN181" s="1"/>
  <c r="DY181"/>
  <c r="DY182"/>
  <c r="DW302"/>
  <c r="DX302" s="1"/>
  <c r="EI181"/>
  <c r="EJ181" s="1"/>
  <c r="EI80"/>
  <c r="EJ80" s="1"/>
  <c r="BO18"/>
  <c r="BP18" s="1"/>
  <c r="BO302"/>
  <c r="BP302" s="1"/>
  <c r="CW181"/>
  <c r="CX181" s="1"/>
  <c r="CY18"/>
  <c r="CW302"/>
  <c r="CX302" s="1"/>
  <c r="DO181"/>
  <c r="DM18"/>
  <c r="DN18" s="1"/>
  <c r="DO302"/>
  <c r="EU18"/>
  <c r="DG181"/>
  <c r="DG302"/>
  <c r="CC80"/>
  <c r="BO181"/>
  <c r="BP181" s="1"/>
  <c r="BQ181"/>
  <c r="EK80"/>
  <c r="EK181"/>
  <c r="AJ298"/>
  <c r="AN298" s="1"/>
  <c r="AJ89"/>
  <c r="AN89" s="1"/>
  <c r="AJ82"/>
  <c r="AN82" s="1"/>
  <c r="AJ381"/>
  <c r="AN381" s="1"/>
  <c r="AJ112"/>
  <c r="AN112" s="1"/>
  <c r="AO112" s="1"/>
  <c r="AJ105"/>
  <c r="AN105" s="1"/>
  <c r="AO105" s="1"/>
  <c r="AJ39"/>
  <c r="AN39" s="1"/>
  <c r="AJ134"/>
  <c r="AN134" s="1"/>
  <c r="AO134" s="1"/>
  <c r="AJ377"/>
  <c r="AN377" s="1"/>
  <c r="AO377" s="1"/>
  <c r="AJ153"/>
  <c r="AN153" s="1"/>
  <c r="AO153" s="1"/>
  <c r="AJ116"/>
  <c r="AN116" s="1"/>
  <c r="AJ28"/>
  <c r="AN28" s="1"/>
  <c r="AJ202"/>
  <c r="AN202" s="1"/>
  <c r="AJ363"/>
  <c r="AN363" s="1"/>
  <c r="AJ55"/>
  <c r="AN55" s="1"/>
  <c r="AO55" s="1"/>
  <c r="AJ359"/>
  <c r="AN359" s="1"/>
  <c r="AJ56"/>
  <c r="AN56" s="1"/>
  <c r="AJ103"/>
  <c r="AN103" s="1"/>
  <c r="AJ376"/>
  <c r="AN376" s="1"/>
  <c r="AJ189"/>
  <c r="AN189" s="1"/>
  <c r="AJ106"/>
  <c r="AN106" s="1"/>
  <c r="AO106" s="1"/>
  <c r="AJ36"/>
  <c r="AN36" s="1"/>
  <c r="AO36" s="1"/>
  <c r="AJ54"/>
  <c r="AN54" s="1"/>
  <c r="AO54" s="1"/>
  <c r="AJ148"/>
  <c r="AN148" s="1"/>
  <c r="AJ370"/>
  <c r="AN370" s="1"/>
  <c r="AJ361"/>
  <c r="AN361" s="1"/>
  <c r="AO361" s="1"/>
  <c r="AO39"/>
  <c r="AJ43"/>
  <c r="AN43" s="1"/>
  <c r="AJ29"/>
  <c r="AN29" s="1"/>
  <c r="AO29" s="1"/>
  <c r="AJ22"/>
  <c r="AN22" s="1"/>
  <c r="AO22" s="1"/>
  <c r="AJ360"/>
  <c r="AN360" s="1"/>
  <c r="AJ372"/>
  <c r="AN372" s="1"/>
  <c r="AJ110"/>
  <c r="AN110" s="1"/>
  <c r="AJ396"/>
  <c r="AN396" s="1"/>
  <c r="AJ75"/>
  <c r="AN75" s="1"/>
  <c r="AJ362"/>
  <c r="AN362" s="1"/>
  <c r="AJ111"/>
  <c r="AN111" s="1"/>
  <c r="AJ79"/>
  <c r="AN79" s="1"/>
  <c r="AJ378"/>
  <c r="AN378" s="1"/>
  <c r="AJ275"/>
  <c r="AN275" s="1"/>
  <c r="AJ154"/>
  <c r="AN154" s="1"/>
  <c r="AJ238"/>
  <c r="AN238" s="1"/>
  <c r="AJ188"/>
  <c r="AN188" s="1"/>
  <c r="AJ146"/>
  <c r="AN146" s="1"/>
  <c r="AJ271"/>
  <c r="AN271" s="1"/>
  <c r="AO271" s="1"/>
  <c r="AJ149"/>
  <c r="AN149" s="1"/>
  <c r="AJ74"/>
  <c r="AN74" s="1"/>
  <c r="AJ200"/>
  <c r="AN200" s="1"/>
  <c r="AJ395"/>
  <c r="AN395" s="1"/>
  <c r="AO395" s="1"/>
  <c r="AJ411"/>
  <c r="AN411" s="1"/>
  <c r="AJ272"/>
  <c r="AN272" s="1"/>
  <c r="AO272" s="1"/>
  <c r="AJ87"/>
  <c r="AN87" s="1"/>
  <c r="AJ285"/>
  <c r="AN285" s="1"/>
  <c r="AO285" s="1"/>
  <c r="AJ42"/>
  <c r="AN42" s="1"/>
  <c r="AL237"/>
  <c r="AM237"/>
  <c r="AK237"/>
  <c r="BI237" s="1"/>
  <c r="AJ392"/>
  <c r="AN392" s="1"/>
  <c r="AJ237"/>
  <c r="AN237" s="1"/>
  <c r="AJ100"/>
  <c r="AN100" s="1"/>
  <c r="AO100" s="1"/>
  <c r="AJ393"/>
  <c r="AN393" s="1"/>
  <c r="AJ99"/>
  <c r="AN99" s="1"/>
  <c r="AJ308"/>
  <c r="AN308" s="1"/>
  <c r="AJ104"/>
  <c r="AN104" s="1"/>
  <c r="AO104" s="1"/>
  <c r="AJ242"/>
  <c r="AN242" s="1"/>
  <c r="AJ156"/>
  <c r="AN156" s="1"/>
  <c r="AJ293" l="1"/>
  <c r="AN293" s="1"/>
  <c r="AO293" s="1"/>
  <c r="BQ21"/>
  <c r="AW21"/>
  <c r="AJ21"/>
  <c r="AN21" s="1"/>
  <c r="AO21" s="1"/>
  <c r="DO21"/>
  <c r="BE237"/>
  <c r="BJ237"/>
  <c r="BG237"/>
  <c r="BC237"/>
  <c r="BH237"/>
  <c r="BD237"/>
  <c r="BB237"/>
  <c r="AD135" l="1"/>
  <c r="AF135" s="1"/>
  <c r="AD90"/>
  <c r="AF90" s="1"/>
  <c r="AD91"/>
  <c r="AF91" s="1"/>
  <c r="AD373"/>
  <c r="AF373" s="1"/>
  <c r="AD102"/>
  <c r="AF102" s="1"/>
  <c r="AD198"/>
  <c r="AF198" s="1"/>
  <c r="CE221"/>
  <c r="BS221"/>
  <c r="EM221"/>
  <c r="EA221"/>
  <c r="BA221"/>
  <c r="AZ221"/>
  <c r="AY221"/>
  <c r="AX221"/>
  <c r="AW221"/>
  <c r="AV221"/>
  <c r="AU221"/>
  <c r="AS221"/>
  <c r="AR221"/>
  <c r="AD133"/>
  <c r="AF133" s="1"/>
  <c r="AD391"/>
  <c r="AF391" s="1"/>
  <c r="AD97"/>
  <c r="AF97" s="1"/>
  <c r="AD195"/>
  <c r="AF195" s="1"/>
  <c r="CW133"/>
  <c r="CX133" s="1"/>
  <c r="AS91" l="1"/>
  <c r="AR91"/>
  <c r="AS64"/>
  <c r="AR64"/>
  <c r="AS373"/>
  <c r="AR373"/>
  <c r="CY133"/>
  <c r="AS133"/>
  <c r="CW373"/>
  <c r="CX373" s="1"/>
  <c r="BO373"/>
  <c r="BP373" s="1"/>
  <c r="CY91"/>
  <c r="BQ91"/>
  <c r="CW91"/>
  <c r="CX91" s="1"/>
  <c r="BO91"/>
  <c r="BP91" s="1"/>
  <c r="CY373"/>
  <c r="BQ373"/>
  <c r="CY64"/>
  <c r="BQ64"/>
  <c r="CW64"/>
  <c r="CX64" s="1"/>
  <c r="BO64"/>
  <c r="BP64" s="1"/>
  <c r="AJ369"/>
  <c r="AN369" s="1"/>
  <c r="AJ283"/>
  <c r="AN283" s="1"/>
  <c r="AJ102"/>
  <c r="AN102" s="1"/>
  <c r="AO102" s="1"/>
  <c r="AJ282"/>
  <c r="AN282" s="1"/>
  <c r="AJ92"/>
  <c r="AN92" s="1"/>
  <c r="AJ187"/>
  <c r="AN187" s="1"/>
  <c r="AJ90"/>
  <c r="AN90" s="1"/>
  <c r="AO90" s="1"/>
  <c r="AJ198"/>
  <c r="AN198" s="1"/>
  <c r="AO198" s="1"/>
  <c r="AJ234"/>
  <c r="AN234" s="1"/>
  <c r="AJ373"/>
  <c r="AN373" s="1"/>
  <c r="AO373" s="1"/>
  <c r="AJ192"/>
  <c r="AN192" s="1"/>
  <c r="AJ133"/>
  <c r="AN133" s="1"/>
  <c r="AO133" s="1"/>
  <c r="AJ397"/>
  <c r="AN397" s="1"/>
  <c r="AJ91"/>
  <c r="AN91" s="1"/>
  <c r="AO91" s="1"/>
  <c r="AJ108"/>
  <c r="AN108" s="1"/>
  <c r="AJ27"/>
  <c r="AN27" s="1"/>
  <c r="AJ371"/>
  <c r="AN371" s="1"/>
  <c r="AJ284"/>
  <c r="AN284" s="1"/>
  <c r="AJ93"/>
  <c r="AN93" s="1"/>
  <c r="AJ398"/>
  <c r="AN398" s="1"/>
  <c r="AJ401"/>
  <c r="AN401" s="1"/>
  <c r="AJ294"/>
  <c r="AN294" s="1"/>
  <c r="AJ88"/>
  <c r="AN88" s="1"/>
  <c r="AJ199"/>
  <c r="AN199" s="1"/>
  <c r="AJ135"/>
  <c r="AN135" s="1"/>
  <c r="AO135" s="1"/>
  <c r="AJ34"/>
  <c r="AN34" s="1"/>
  <c r="AJ40"/>
  <c r="AN40" s="1"/>
  <c r="AJ281"/>
  <c r="AN281" s="1"/>
  <c r="AJ64"/>
  <c r="AN64" s="1"/>
  <c r="AJ194"/>
  <c r="AN194" s="1"/>
  <c r="AJ365"/>
  <c r="AN365" s="1"/>
  <c r="AJ195"/>
  <c r="AN195" s="1"/>
  <c r="AO195" s="1"/>
  <c r="AJ98"/>
  <c r="AN98" s="1"/>
  <c r="AJ391"/>
  <c r="AN391" s="1"/>
  <c r="AO391" s="1"/>
  <c r="AJ390"/>
  <c r="AN390" s="1"/>
  <c r="AJ32"/>
  <c r="AN32" s="1"/>
  <c r="AJ155"/>
  <c r="AN155" s="1"/>
  <c r="AJ31"/>
  <c r="AN31" s="1"/>
  <c r="AJ394"/>
  <c r="AN394" s="1"/>
  <c r="AJ97"/>
  <c r="AN97" s="1"/>
  <c r="AO97" s="1"/>
  <c r="AJ221"/>
  <c r="AN221" s="1"/>
  <c r="CE368" l="1"/>
  <c r="EM368"/>
  <c r="EA368"/>
  <c r="AD77" l="1"/>
  <c r="AF77" s="1"/>
  <c r="AD186"/>
  <c r="AF186" s="1"/>
  <c r="AD37"/>
  <c r="AF37" s="1"/>
  <c r="AD366"/>
  <c r="AF366" s="1"/>
  <c r="DW279"/>
  <c r="DX279" s="1"/>
  <c r="DW44"/>
  <c r="DX44" s="1"/>
  <c r="CE96"/>
  <c r="BS96"/>
  <c r="EA96"/>
  <c r="CE407"/>
  <c r="BS407"/>
  <c r="EM407"/>
  <c r="EA407"/>
  <c r="DM139"/>
  <c r="DN139" s="1"/>
  <c r="AD254"/>
  <c r="AF254" s="1"/>
  <c r="AD235"/>
  <c r="AF235" s="1"/>
  <c r="AD65"/>
  <c r="AF65" s="1"/>
  <c r="AD66"/>
  <c r="AF66" s="1"/>
  <c r="AD58"/>
  <c r="AF58" s="1"/>
  <c r="AD380"/>
  <c r="AF380" s="1"/>
  <c r="AD197"/>
  <c r="AF197" s="1"/>
  <c r="AD68"/>
  <c r="AF68" s="1"/>
  <c r="AD109"/>
  <c r="AF109" s="1"/>
  <c r="AD95"/>
  <c r="AF95" s="1"/>
  <c r="AD96"/>
  <c r="AF96" s="1"/>
  <c r="EA69"/>
  <c r="CE69"/>
  <c r="EM69"/>
  <c r="BS69"/>
  <c r="CW300"/>
  <c r="CX300" s="1"/>
  <c r="AD261"/>
  <c r="AF261" s="1"/>
  <c r="AD165"/>
  <c r="AF165" s="1"/>
  <c r="AD258"/>
  <c r="AF258" s="1"/>
  <c r="AD117"/>
  <c r="AF117" s="1"/>
  <c r="AD300"/>
  <c r="AF300" s="1"/>
  <c r="AD201"/>
  <c r="AF201" s="1"/>
  <c r="AD295"/>
  <c r="AF295" s="1"/>
  <c r="BN164"/>
  <c r="BN113"/>
  <c r="BZ164"/>
  <c r="BZ113"/>
  <c r="EH164"/>
  <c r="EH113"/>
  <c r="BZ11"/>
  <c r="BZ323"/>
  <c r="BZ346"/>
  <c r="BZ322"/>
  <c r="BZ326"/>
  <c r="BZ233"/>
  <c r="BZ150"/>
  <c r="BZ12"/>
  <c r="BZ324"/>
  <c r="BN11"/>
  <c r="BN323"/>
  <c r="BN346"/>
  <c r="BN322"/>
  <c r="BN326"/>
  <c r="BN233"/>
  <c r="BN150"/>
  <c r="BN12"/>
  <c r="BN324"/>
  <c r="EH297"/>
  <c r="DV297"/>
  <c r="DV325"/>
  <c r="AS323"/>
  <c r="AS11"/>
  <c r="CY322"/>
  <c r="CY233"/>
  <c r="AT150"/>
  <c r="CY324"/>
  <c r="AU297"/>
  <c r="EH325"/>
  <c r="BA324"/>
  <c r="AY324"/>
  <c r="AX324"/>
  <c r="AV324"/>
  <c r="BA12"/>
  <c r="AY12"/>
  <c r="AX12"/>
  <c r="AV12"/>
  <c r="BA150"/>
  <c r="AY150"/>
  <c r="AX150"/>
  <c r="AV150"/>
  <c r="BA233"/>
  <c r="AY233"/>
  <c r="AX233"/>
  <c r="AW233"/>
  <c r="AV233"/>
  <c r="BA326"/>
  <c r="AY326"/>
  <c r="AX326"/>
  <c r="AW326"/>
  <c r="AV326"/>
  <c r="BA322"/>
  <c r="AY322"/>
  <c r="AX322"/>
  <c r="AW322"/>
  <c r="AV322"/>
  <c r="BA11"/>
  <c r="AZ11"/>
  <c r="AY11"/>
  <c r="AX11"/>
  <c r="AW11"/>
  <c r="AV11"/>
  <c r="AU11"/>
  <c r="BA346"/>
  <c r="AZ346"/>
  <c r="AY346"/>
  <c r="AX346"/>
  <c r="AW346"/>
  <c r="AV346"/>
  <c r="BA323"/>
  <c r="AZ323"/>
  <c r="AY323"/>
  <c r="AX323"/>
  <c r="AW323"/>
  <c r="AV323"/>
  <c r="AU323"/>
  <c r="BA325"/>
  <c r="AZ325"/>
  <c r="AW325"/>
  <c r="AV325"/>
  <c r="AT325"/>
  <c r="AS325"/>
  <c r="AR325"/>
  <c r="BA297"/>
  <c r="AZ297"/>
  <c r="AW297"/>
  <c r="AV297"/>
  <c r="AT297"/>
  <c r="AS297"/>
  <c r="AR297"/>
  <c r="BA125"/>
  <c r="AZ125"/>
  <c r="AY125"/>
  <c r="AX125"/>
  <c r="AW125"/>
  <c r="AV125"/>
  <c r="AU125"/>
  <c r="AT125"/>
  <c r="AS125"/>
  <c r="AR125"/>
  <c r="BA163"/>
  <c r="AZ163"/>
  <c r="AY163"/>
  <c r="AX163"/>
  <c r="AW163"/>
  <c r="AV163"/>
  <c r="AU163"/>
  <c r="AT163"/>
  <c r="AS163"/>
  <c r="AR163"/>
  <c r="BA113"/>
  <c r="AX113"/>
  <c r="AV113"/>
  <c r="BA164"/>
  <c r="AZ164"/>
  <c r="AX164"/>
  <c r="AV164"/>
  <c r="AD12"/>
  <c r="AF12" s="1"/>
  <c r="AD326"/>
  <c r="AF326" s="1"/>
  <c r="AD346"/>
  <c r="AF346" s="1"/>
  <c r="AD125"/>
  <c r="AF125" s="1"/>
  <c r="AD113"/>
  <c r="AF113" s="1"/>
  <c r="DM324"/>
  <c r="DN324" s="1"/>
  <c r="ES12"/>
  <c r="ET12" s="1"/>
  <c r="CW150"/>
  <c r="CX150" s="1"/>
  <c r="DE233"/>
  <c r="DF233" s="1"/>
  <c r="DE326"/>
  <c r="DF326" s="1"/>
  <c r="ES322"/>
  <c r="ET322" s="1"/>
  <c r="CW11"/>
  <c r="CX11" s="1"/>
  <c r="CW346"/>
  <c r="CX346" s="1"/>
  <c r="DE325"/>
  <c r="DF325" s="1"/>
  <c r="DE297"/>
  <c r="DF297" s="1"/>
  <c r="ES113"/>
  <c r="ET113" s="1"/>
  <c r="CW164"/>
  <c r="CX164" s="1"/>
  <c r="CC113" l="1"/>
  <c r="CY12"/>
  <c r="AU326"/>
  <c r="DG326"/>
  <c r="DY366"/>
  <c r="AS366"/>
  <c r="AT366"/>
  <c r="AR366"/>
  <c r="AX366"/>
  <c r="DY368"/>
  <c r="AX368"/>
  <c r="AT368"/>
  <c r="AR368"/>
  <c r="AS368"/>
  <c r="AR367"/>
  <c r="AS367"/>
  <c r="AX367"/>
  <c r="AT367"/>
  <c r="AR402"/>
  <c r="AT402"/>
  <c r="AS402"/>
  <c r="AX402"/>
  <c r="DY44"/>
  <c r="AX44"/>
  <c r="AT44"/>
  <c r="AR44"/>
  <c r="AR279"/>
  <c r="AX279"/>
  <c r="AT279"/>
  <c r="CY300"/>
  <c r="AS300"/>
  <c r="AM363"/>
  <c r="AL363"/>
  <c r="AK363"/>
  <c r="DO139"/>
  <c r="AW139"/>
  <c r="AS139"/>
  <c r="AU139"/>
  <c r="CW139"/>
  <c r="CX139" s="1"/>
  <c r="DE139"/>
  <c r="DF139" s="1"/>
  <c r="CY139"/>
  <c r="DG139"/>
  <c r="CC367"/>
  <c r="DY367"/>
  <c r="CA367"/>
  <c r="CB367" s="1"/>
  <c r="DW367"/>
  <c r="DX367" s="1"/>
  <c r="DY279"/>
  <c r="CA368"/>
  <c r="CB368" s="1"/>
  <c r="DW368"/>
  <c r="DX368" s="1"/>
  <c r="CA366"/>
  <c r="CB366" s="1"/>
  <c r="DW366"/>
  <c r="DX366" s="1"/>
  <c r="CA402"/>
  <c r="CB402" s="1"/>
  <c r="DW402"/>
  <c r="DX402" s="1"/>
  <c r="CC402"/>
  <c r="DY402"/>
  <c r="BO44"/>
  <c r="BP44" s="1"/>
  <c r="CA44"/>
  <c r="CB44" s="1"/>
  <c r="BQ44"/>
  <c r="CC44"/>
  <c r="BO279"/>
  <c r="BP279" s="1"/>
  <c r="CA279"/>
  <c r="CB279" s="1"/>
  <c r="CC366"/>
  <c r="CC368"/>
  <c r="BQ279"/>
  <c r="CC279"/>
  <c r="CY367"/>
  <c r="BQ367"/>
  <c r="CY368"/>
  <c r="BQ368"/>
  <c r="CW368"/>
  <c r="CX368" s="1"/>
  <c r="BO368"/>
  <c r="BP368" s="1"/>
  <c r="CW366"/>
  <c r="CX366" s="1"/>
  <c r="BO366"/>
  <c r="BP366" s="1"/>
  <c r="CW367"/>
  <c r="CX367" s="1"/>
  <c r="BO367"/>
  <c r="BP367" s="1"/>
  <c r="CY366"/>
  <c r="BQ366"/>
  <c r="CW402"/>
  <c r="CX402" s="1"/>
  <c r="BO402"/>
  <c r="BP402" s="1"/>
  <c r="CY402"/>
  <c r="BQ402"/>
  <c r="AJ186"/>
  <c r="AN186" s="1"/>
  <c r="AO186" s="1"/>
  <c r="AJ37"/>
  <c r="AN37" s="1"/>
  <c r="AO37" s="1"/>
  <c r="AJ402"/>
  <c r="AN402" s="1"/>
  <c r="AJ278"/>
  <c r="AN278" s="1"/>
  <c r="AJ276"/>
  <c r="AN276" s="1"/>
  <c r="AJ368"/>
  <c r="AN368" s="1"/>
  <c r="AJ44"/>
  <c r="AN44" s="1"/>
  <c r="AJ77"/>
  <c r="AN77" s="1"/>
  <c r="AO77" s="1"/>
  <c r="AJ366"/>
  <c r="AN366" s="1"/>
  <c r="AO366" s="1"/>
  <c r="AJ367"/>
  <c r="AN367" s="1"/>
  <c r="AJ279"/>
  <c r="AN279" s="1"/>
  <c r="AJ185"/>
  <c r="AN185" s="1"/>
  <c r="AJ257"/>
  <c r="AN257" s="1"/>
  <c r="AJ301"/>
  <c r="AN301" s="1"/>
  <c r="AJ277"/>
  <c r="AN277" s="1"/>
  <c r="AJ138"/>
  <c r="AN138" s="1"/>
  <c r="AJ101"/>
  <c r="AN101" s="1"/>
  <c r="AJ265"/>
  <c r="AN265" s="1"/>
  <c r="AJ255"/>
  <c r="AN255" s="1"/>
  <c r="AJ137"/>
  <c r="AN137" s="1"/>
  <c r="AJ380"/>
  <c r="AN380" s="1"/>
  <c r="AO380" s="1"/>
  <c r="AJ65"/>
  <c r="AN65" s="1"/>
  <c r="AO65" s="1"/>
  <c r="AJ68"/>
  <c r="AN68" s="1"/>
  <c r="AO68" s="1"/>
  <c r="AJ66"/>
  <c r="AN66" s="1"/>
  <c r="AO66" s="1"/>
  <c r="AJ193"/>
  <c r="AN193" s="1"/>
  <c r="AJ94"/>
  <c r="AN94" s="1"/>
  <c r="AJ410"/>
  <c r="AN410" s="1"/>
  <c r="AJ76"/>
  <c r="AN76" s="1"/>
  <c r="AJ70"/>
  <c r="AN70" s="1"/>
  <c r="AJ30"/>
  <c r="AN30" s="1"/>
  <c r="AJ364"/>
  <c r="AN364" s="1"/>
  <c r="AJ201"/>
  <c r="AN201" s="1"/>
  <c r="AO201" s="1"/>
  <c r="AJ165"/>
  <c r="AN165" s="1"/>
  <c r="AO165" s="1"/>
  <c r="AJ266"/>
  <c r="AN266" s="1"/>
  <c r="AJ180"/>
  <c r="AN180" s="1"/>
  <c r="AJ96"/>
  <c r="AN96" s="1"/>
  <c r="AO96" s="1"/>
  <c r="AJ109"/>
  <c r="AN109" s="1"/>
  <c r="AO109" s="1"/>
  <c r="AJ136"/>
  <c r="AN136" s="1"/>
  <c r="AJ139"/>
  <c r="AN139" s="1"/>
  <c r="AJ67"/>
  <c r="AN67" s="1"/>
  <c r="AJ78"/>
  <c r="AN78" s="1"/>
  <c r="AJ236"/>
  <c r="AN236" s="1"/>
  <c r="AJ244"/>
  <c r="AN244" s="1"/>
  <c r="AJ407"/>
  <c r="AN407" s="1"/>
  <c r="AJ254"/>
  <c r="AN254" s="1"/>
  <c r="AO254" s="1"/>
  <c r="AJ269"/>
  <c r="AN269" s="1"/>
  <c r="AJ71"/>
  <c r="AN71" s="1"/>
  <c r="AJ318"/>
  <c r="AN318" s="1"/>
  <c r="AJ57"/>
  <c r="AN57" s="1"/>
  <c r="AJ235"/>
  <c r="AN235" s="1"/>
  <c r="AO235" s="1"/>
  <c r="AJ95"/>
  <c r="AN95" s="1"/>
  <c r="AO95" s="1"/>
  <c r="AJ197"/>
  <c r="AN197" s="1"/>
  <c r="AO197" s="1"/>
  <c r="AJ413"/>
  <c r="AN413" s="1"/>
  <c r="AJ261"/>
  <c r="AN261" s="1"/>
  <c r="AO261" s="1"/>
  <c r="AJ296"/>
  <c r="AN296" s="1"/>
  <c r="AT233"/>
  <c r="AJ224"/>
  <c r="AN224" s="1"/>
  <c r="AJ374"/>
  <c r="AN374" s="1"/>
  <c r="AJ35"/>
  <c r="AN35" s="1"/>
  <c r="AJ295"/>
  <c r="AN295" s="1"/>
  <c r="AO295" s="1"/>
  <c r="AJ348"/>
  <c r="AN348" s="1"/>
  <c r="AJ258"/>
  <c r="AN258" s="1"/>
  <c r="AO258" s="1"/>
  <c r="AJ346"/>
  <c r="AN346" s="1"/>
  <c r="AO346" s="1"/>
  <c r="AT323"/>
  <c r="AU233"/>
  <c r="AJ300"/>
  <c r="AN300" s="1"/>
  <c r="AO300" s="1"/>
  <c r="AJ225"/>
  <c r="AN225" s="1"/>
  <c r="AJ69"/>
  <c r="AN69" s="1"/>
  <c r="AJ408"/>
  <c r="AN408" s="1"/>
  <c r="AJ117"/>
  <c r="AN117" s="1"/>
  <c r="AO117" s="1"/>
  <c r="AJ23"/>
  <c r="AN23" s="1"/>
  <c r="AJ412"/>
  <c r="AN412" s="1"/>
  <c r="AJ347"/>
  <c r="AN347" s="1"/>
  <c r="EI164"/>
  <c r="EJ164" s="1"/>
  <c r="BO164"/>
  <c r="BP164" s="1"/>
  <c r="CA323"/>
  <c r="CB323" s="1"/>
  <c r="AJ164"/>
  <c r="AN164" s="1"/>
  <c r="DG297"/>
  <c r="DO324"/>
  <c r="CA346"/>
  <c r="CB346" s="1"/>
  <c r="DE164"/>
  <c r="DF164" s="1"/>
  <c r="AS233"/>
  <c r="AZ322"/>
  <c r="AZ233"/>
  <c r="DE346"/>
  <c r="DF346" s="1"/>
  <c r="ES233"/>
  <c r="ET233" s="1"/>
  <c r="AJ324"/>
  <c r="AN324" s="1"/>
  <c r="CW324"/>
  <c r="CX324" s="1"/>
  <c r="EU322"/>
  <c r="AJ125"/>
  <c r="AN125" s="1"/>
  <c r="AO125" s="1"/>
  <c r="AT164"/>
  <c r="AT11"/>
  <c r="AS322"/>
  <c r="AZ326"/>
  <c r="AU324"/>
  <c r="AZ324"/>
  <c r="AJ325"/>
  <c r="AN325" s="1"/>
  <c r="EI297"/>
  <c r="EJ297" s="1"/>
  <c r="BO233"/>
  <c r="BP233" s="1"/>
  <c r="BO323"/>
  <c r="BP323" s="1"/>
  <c r="CW326"/>
  <c r="CX326" s="1"/>
  <c r="DG233"/>
  <c r="AY164"/>
  <c r="BQ324"/>
  <c r="CW323"/>
  <c r="CX323" s="1"/>
  <c r="AT324"/>
  <c r="AJ297"/>
  <c r="AN297" s="1"/>
  <c r="AJ150"/>
  <c r="AN150" s="1"/>
  <c r="CC324"/>
  <c r="DG324"/>
  <c r="ES324"/>
  <c r="ET324" s="1"/>
  <c r="ES326"/>
  <c r="ET326" s="1"/>
  <c r="CC150"/>
  <c r="CY346"/>
  <c r="DE12"/>
  <c r="DF12" s="1"/>
  <c r="DE322"/>
  <c r="DF322" s="1"/>
  <c r="CC11"/>
  <c r="DM113"/>
  <c r="DN113" s="1"/>
  <c r="CA113"/>
  <c r="CB113" s="1"/>
  <c r="AW164"/>
  <c r="AU325"/>
  <c r="AS150"/>
  <c r="AJ163"/>
  <c r="AN163" s="1"/>
  <c r="BO150"/>
  <c r="BP150" s="1"/>
  <c r="CW322"/>
  <c r="CX322" s="1"/>
  <c r="CY11"/>
  <c r="DE150"/>
  <c r="DF150" s="1"/>
  <c r="DM150"/>
  <c r="DN150" s="1"/>
  <c r="DM164"/>
  <c r="DN164" s="1"/>
  <c r="BQ164"/>
  <c r="AU164"/>
  <c r="AT322"/>
  <c r="AS326"/>
  <c r="AU150"/>
  <c r="AS324"/>
  <c r="AW324"/>
  <c r="AJ233"/>
  <c r="AN233" s="1"/>
  <c r="AJ11"/>
  <c r="AN11" s="1"/>
  <c r="DY325"/>
  <c r="BO324"/>
  <c r="BP324" s="1"/>
  <c r="BO326"/>
  <c r="BP326" s="1"/>
  <c r="BQ346"/>
  <c r="BO11"/>
  <c r="BP11" s="1"/>
  <c r="CC233"/>
  <c r="CA326"/>
  <c r="CB326" s="1"/>
  <c r="CW233"/>
  <c r="CX233" s="1"/>
  <c r="DG325"/>
  <c r="DE324"/>
  <c r="DF324" s="1"/>
  <c r="DG150"/>
  <c r="DG346"/>
  <c r="CA11"/>
  <c r="CB11" s="1"/>
  <c r="EU324"/>
  <c r="ES150"/>
  <c r="ET150" s="1"/>
  <c r="DO150"/>
  <c r="DO164"/>
  <c r="DE113"/>
  <c r="DF113" s="1"/>
  <c r="BO113"/>
  <c r="BP113" s="1"/>
  <c r="AU346"/>
  <c r="CA12"/>
  <c r="CB12" s="1"/>
  <c r="CA322"/>
  <c r="CB322" s="1"/>
  <c r="CY150"/>
  <c r="DM12"/>
  <c r="DN12" s="1"/>
  <c r="AS164"/>
  <c r="AT346"/>
  <c r="AW150"/>
  <c r="AJ322"/>
  <c r="AN322" s="1"/>
  <c r="BO322"/>
  <c r="BP322" s="1"/>
  <c r="CW12"/>
  <c r="CX12" s="1"/>
  <c r="EU150"/>
  <c r="EK164"/>
  <c r="CY164"/>
  <c r="CC164"/>
  <c r="AU113"/>
  <c r="AX325"/>
  <c r="AS346"/>
  <c r="AU322"/>
  <c r="AT326"/>
  <c r="AZ150"/>
  <c r="EI325"/>
  <c r="EJ325" s="1"/>
  <c r="AJ323"/>
  <c r="AN323" s="1"/>
  <c r="DY297"/>
  <c r="BO12"/>
  <c r="BP12" s="1"/>
  <c r="BQ322"/>
  <c r="BO346"/>
  <c r="BP346" s="1"/>
  <c r="CA324"/>
  <c r="CB324" s="1"/>
  <c r="CA150"/>
  <c r="CB150" s="1"/>
  <c r="CA233"/>
  <c r="CB233" s="1"/>
  <c r="CC322"/>
  <c r="CY323"/>
  <c r="DG322"/>
  <c r="CC323"/>
  <c r="EU233"/>
  <c r="CW113"/>
  <c r="CX113" s="1"/>
  <c r="DG164"/>
  <c r="CA164"/>
  <c r="CB164" s="1"/>
  <c r="AR164"/>
  <c r="EI113"/>
  <c r="EJ113" s="1"/>
  <c r="CC346"/>
  <c r="BQ11"/>
  <c r="AR11"/>
  <c r="AR323"/>
  <c r="BQ323"/>
  <c r="AR346"/>
  <c r="AR324"/>
  <c r="AR322"/>
  <c r="BQ326"/>
  <c r="AR233"/>
  <c r="BQ233"/>
  <c r="BQ150"/>
  <c r="AR150"/>
  <c r="EK297"/>
  <c r="AY297"/>
  <c r="AX297"/>
  <c r="DW297"/>
  <c r="DX297" s="1"/>
  <c r="DW325"/>
  <c r="DX325" s="1"/>
  <c r="AY325"/>
  <c r="EK325"/>
  <c r="BQ12" l="1"/>
  <c r="AW12"/>
  <c r="CC12"/>
  <c r="DO12"/>
  <c r="DG12"/>
  <c r="AS12"/>
  <c r="EK113"/>
  <c r="AZ113"/>
  <c r="AR12"/>
  <c r="AY113"/>
  <c r="AU12"/>
  <c r="AJ12"/>
  <c r="AN12" s="1"/>
  <c r="AO12" s="1"/>
  <c r="EU326"/>
  <c r="AT12"/>
  <c r="CC326"/>
  <c r="DG113"/>
  <c r="EU12"/>
  <c r="EU113"/>
  <c r="AJ113"/>
  <c r="AN113" s="1"/>
  <c r="AO113" s="1"/>
  <c r="AR326"/>
  <c r="CY326"/>
  <c r="AJ326"/>
  <c r="AN326" s="1"/>
  <c r="AO326" s="1"/>
  <c r="AW113"/>
  <c r="CY113"/>
  <c r="AZ12"/>
  <c r="AJ58"/>
  <c r="AN58" s="1"/>
  <c r="AO58" s="1"/>
  <c r="BQ113"/>
  <c r="AS113"/>
  <c r="AR113"/>
  <c r="DO113"/>
  <c r="AT113"/>
  <c r="BJ363"/>
  <c r="BE363"/>
  <c r="BG363"/>
  <c r="BC363"/>
  <c r="BI363"/>
  <c r="BD363"/>
  <c r="BH363"/>
  <c r="BB363"/>
  <c r="EH424" l="1"/>
  <c r="DV424"/>
  <c r="CX424"/>
  <c r="BZ424"/>
  <c r="BN424"/>
  <c r="CX128"/>
  <c r="CX177"/>
  <c r="CX423"/>
  <c r="BZ128"/>
  <c r="BZ177"/>
  <c r="BZ423"/>
  <c r="BN128"/>
  <c r="BN177"/>
  <c r="BN423"/>
  <c r="EH128"/>
  <c r="EH177"/>
  <c r="EH423"/>
  <c r="DV128"/>
  <c r="DV177"/>
  <c r="DV423"/>
  <c r="AW423"/>
  <c r="AW177"/>
  <c r="DG424"/>
  <c r="AD128"/>
  <c r="AF128" s="1"/>
  <c r="DM423"/>
  <c r="DN423" s="1"/>
  <c r="DE177"/>
  <c r="DF177" s="1"/>
  <c r="DE424"/>
  <c r="DF424" s="1"/>
  <c r="ES128"/>
  <c r="ET128" s="1"/>
  <c r="BA423"/>
  <c r="AV423"/>
  <c r="BA177"/>
  <c r="AV177"/>
  <c r="BA424"/>
  <c r="AZ424"/>
  <c r="AV424"/>
  <c r="BA128"/>
  <c r="AV128"/>
  <c r="DV219"/>
  <c r="DV174"/>
  <c r="EH219"/>
  <c r="EH174"/>
  <c r="BZ219"/>
  <c r="BZ174"/>
  <c r="BN219"/>
  <c r="BN174"/>
  <c r="BN416"/>
  <c r="DE416"/>
  <c r="DF416" s="1"/>
  <c r="AD416"/>
  <c r="AF416" s="1"/>
  <c r="AD219"/>
  <c r="AF219" s="1"/>
  <c r="EH9"/>
  <c r="EH315"/>
  <c r="EH120"/>
  <c r="BZ50"/>
  <c r="BZ83"/>
  <c r="BZ49"/>
  <c r="BZ3"/>
  <c r="AT3" s="1"/>
  <c r="DV315"/>
  <c r="DV50"/>
  <c r="DV83"/>
  <c r="DV49"/>
  <c r="CW306"/>
  <c r="CX306" s="1"/>
  <c r="BN49"/>
  <c r="BN83"/>
  <c r="BN50"/>
  <c r="BN207"/>
  <c r="BN51"/>
  <c r="BN9"/>
  <c r="AR247"/>
  <c r="AR172"/>
  <c r="AR175"/>
  <c r="AR267"/>
  <c r="AR268"/>
  <c r="AR280"/>
  <c r="AR61"/>
  <c r="AR157"/>
  <c r="AR162"/>
  <c r="BN120"/>
  <c r="AS306"/>
  <c r="AS207"/>
  <c r="AD49"/>
  <c r="AF49" s="1"/>
  <c r="AD50"/>
  <c r="AF50" s="1"/>
  <c r="AD420"/>
  <c r="AF420" s="1"/>
  <c r="AD9"/>
  <c r="AF9" s="1"/>
  <c r="AD120"/>
  <c r="AF120" s="1"/>
  <c r="AD315"/>
  <c r="AF315" s="1"/>
  <c r="CW49"/>
  <c r="CX49" s="1"/>
  <c r="DE83"/>
  <c r="DF83" s="1"/>
  <c r="DE50"/>
  <c r="DF50" s="1"/>
  <c r="CW51"/>
  <c r="CX51" s="1"/>
  <c r="CW207"/>
  <c r="CX207" s="1"/>
  <c r="ES9"/>
  <c r="ET9" s="1"/>
  <c r="DM120"/>
  <c r="DN120" s="1"/>
  <c r="DM315"/>
  <c r="DN315" s="1"/>
  <c r="EM176"/>
  <c r="CA3" l="1"/>
  <c r="CB3" s="1"/>
  <c r="CC3"/>
  <c r="AY315"/>
  <c r="EU128"/>
  <c r="BQ128"/>
  <c r="AR51"/>
  <c r="AX50"/>
  <c r="AR9"/>
  <c r="AZ9"/>
  <c r="AS9"/>
  <c r="AR207"/>
  <c r="DO120"/>
  <c r="AW120"/>
  <c r="AU49"/>
  <c r="AS49"/>
  <c r="AS50"/>
  <c r="AU50"/>
  <c r="CY51"/>
  <c r="AS51"/>
  <c r="AR49"/>
  <c r="AY120"/>
  <c r="AT49"/>
  <c r="AR120"/>
  <c r="AR50"/>
  <c r="AX49"/>
  <c r="AT50"/>
  <c r="AY9"/>
  <c r="AX83"/>
  <c r="AT83"/>
  <c r="AU83"/>
  <c r="AR83"/>
  <c r="AS83"/>
  <c r="AR219"/>
  <c r="AY219"/>
  <c r="AR174"/>
  <c r="AY174"/>
  <c r="CC219"/>
  <c r="AT219"/>
  <c r="AR416"/>
  <c r="AX219"/>
  <c r="AS416"/>
  <c r="AU416"/>
  <c r="CC174"/>
  <c r="AT174"/>
  <c r="AX174"/>
  <c r="AT177"/>
  <c r="BO177"/>
  <c r="BP177" s="1"/>
  <c r="BO424"/>
  <c r="BP424" s="1"/>
  <c r="CY424"/>
  <c r="AU177"/>
  <c r="CA219"/>
  <c r="CB219" s="1"/>
  <c r="AZ177"/>
  <c r="EU424"/>
  <c r="AU424"/>
  <c r="AY424"/>
  <c r="CA128"/>
  <c r="CB128" s="1"/>
  <c r="DE128"/>
  <c r="DF128" s="1"/>
  <c r="EK424"/>
  <c r="AT424"/>
  <c r="AX424"/>
  <c r="AS177"/>
  <c r="AR177"/>
  <c r="CC177"/>
  <c r="AS424"/>
  <c r="AW424"/>
  <c r="DW128"/>
  <c r="DX128" s="1"/>
  <c r="DM424"/>
  <c r="DN424" s="1"/>
  <c r="BQ174"/>
  <c r="AJ423"/>
  <c r="AN423" s="1"/>
  <c r="EI423"/>
  <c r="EJ423" s="1"/>
  <c r="AJ177"/>
  <c r="AN177" s="1"/>
  <c r="CA423"/>
  <c r="CB423" s="1"/>
  <c r="AS423"/>
  <c r="DW177"/>
  <c r="DX177" s="1"/>
  <c r="EI128"/>
  <c r="EJ128" s="1"/>
  <c r="DM177"/>
  <c r="DN177" s="1"/>
  <c r="DW424"/>
  <c r="DX424" s="1"/>
  <c r="CY416"/>
  <c r="DG416"/>
  <c r="CY423"/>
  <c r="EU423"/>
  <c r="DG423"/>
  <c r="EI174"/>
  <c r="EJ174" s="1"/>
  <c r="CW416"/>
  <c r="CX416" s="1"/>
  <c r="AZ423"/>
  <c r="DW423"/>
  <c r="DX423" s="1"/>
  <c r="EI177"/>
  <c r="EJ177" s="1"/>
  <c r="BO128"/>
  <c r="BP128" s="1"/>
  <c r="DO423"/>
  <c r="DM128"/>
  <c r="DN128" s="1"/>
  <c r="DG177"/>
  <c r="BQ424"/>
  <c r="DY423"/>
  <c r="AJ174"/>
  <c r="AN174" s="1"/>
  <c r="AU423"/>
  <c r="AY423"/>
  <c r="AJ424"/>
  <c r="AN424" s="1"/>
  <c r="BO423"/>
  <c r="BP423" s="1"/>
  <c r="BQ177"/>
  <c r="CY177"/>
  <c r="DO177"/>
  <c r="ES423"/>
  <c r="ET423" s="1"/>
  <c r="EU177"/>
  <c r="DE423"/>
  <c r="DF423" s="1"/>
  <c r="DG128"/>
  <c r="CA424"/>
  <c r="CB424" s="1"/>
  <c r="DY424"/>
  <c r="ES424"/>
  <c r="ET424" s="1"/>
  <c r="BO174"/>
  <c r="BP174" s="1"/>
  <c r="CA174"/>
  <c r="CB174" s="1"/>
  <c r="AX177"/>
  <c r="AT423"/>
  <c r="AX423"/>
  <c r="DY177"/>
  <c r="EK423"/>
  <c r="CC423"/>
  <c r="CA177"/>
  <c r="CB177" s="1"/>
  <c r="ES177"/>
  <c r="ET177" s="1"/>
  <c r="CC424"/>
  <c r="DO424"/>
  <c r="EI424"/>
  <c r="EJ424" s="1"/>
  <c r="AR424"/>
  <c r="AR423"/>
  <c r="BQ423"/>
  <c r="EK177"/>
  <c r="AY177"/>
  <c r="AX128"/>
  <c r="AJ219"/>
  <c r="AN219" s="1"/>
  <c r="AO219" s="1"/>
  <c r="DY219"/>
  <c r="BQ219"/>
  <c r="EI219"/>
  <c r="EJ219" s="1"/>
  <c r="DW219"/>
  <c r="DX219" s="1"/>
  <c r="DW174"/>
  <c r="DX174" s="1"/>
  <c r="EK219"/>
  <c r="AJ416"/>
  <c r="AN416" s="1"/>
  <c r="AO416" s="1"/>
  <c r="BO219"/>
  <c r="BP219" s="1"/>
  <c r="EK174"/>
  <c r="DY174"/>
  <c r="BO416"/>
  <c r="BP416" s="1"/>
  <c r="BQ416"/>
  <c r="DY50"/>
  <c r="EI9"/>
  <c r="EJ9" s="1"/>
  <c r="BO9"/>
  <c r="BP9" s="1"/>
  <c r="BQ207"/>
  <c r="CC49"/>
  <c r="EK9"/>
  <c r="AJ315"/>
  <c r="AN315" s="1"/>
  <c r="AO315" s="1"/>
  <c r="DY83"/>
  <c r="BQ9"/>
  <c r="DG83"/>
  <c r="EI315"/>
  <c r="EJ315" s="1"/>
  <c r="EI120"/>
  <c r="EJ120" s="1"/>
  <c r="BO49"/>
  <c r="BP49" s="1"/>
  <c r="CC83"/>
  <c r="EK315"/>
  <c r="DW50"/>
  <c r="DX50" s="1"/>
  <c r="CA50"/>
  <c r="CB50" s="1"/>
  <c r="CY9"/>
  <c r="EU9"/>
  <c r="EK120"/>
  <c r="BO120"/>
  <c r="BP120" s="1"/>
  <c r="DW83"/>
  <c r="DX83" s="1"/>
  <c r="BO83"/>
  <c r="BP83" s="1"/>
  <c r="CY306"/>
  <c r="BO207"/>
  <c r="BP207" s="1"/>
  <c r="CW50"/>
  <c r="CX50" s="1"/>
  <c r="BQ49"/>
  <c r="BO51"/>
  <c r="BP51" s="1"/>
  <c r="BO50"/>
  <c r="BP50" s="1"/>
  <c r="CY207"/>
  <c r="CY83"/>
  <c r="CC50"/>
  <c r="CA83"/>
  <c r="CB83" s="1"/>
  <c r="CA49"/>
  <c r="CB49" s="1"/>
  <c r="BQ120"/>
  <c r="DW49"/>
  <c r="DX49" s="1"/>
  <c r="BQ50"/>
  <c r="CW9"/>
  <c r="CX9" s="1"/>
  <c r="CW83"/>
  <c r="CX83" s="1"/>
  <c r="DE49"/>
  <c r="DF49" s="1"/>
  <c r="DG50"/>
  <c r="DW315"/>
  <c r="DX315" s="1"/>
  <c r="DO315"/>
  <c r="DG49"/>
  <c r="CY49"/>
  <c r="CY50"/>
  <c r="DY49"/>
  <c r="BQ83"/>
  <c r="BQ51"/>
  <c r="AJ420"/>
  <c r="AN420" s="1"/>
  <c r="AO420" s="1"/>
  <c r="AJ305"/>
  <c r="AN305" s="1"/>
  <c r="AJ83"/>
  <c r="AN83" s="1"/>
  <c r="AJ120"/>
  <c r="AN120" s="1"/>
  <c r="AO120" s="1"/>
  <c r="AJ49"/>
  <c r="AN49" s="1"/>
  <c r="AO49" s="1"/>
  <c r="AJ51"/>
  <c r="AN51" s="1"/>
  <c r="AJ307"/>
  <c r="AN307" s="1"/>
  <c r="AJ9"/>
  <c r="AN9" s="1"/>
  <c r="AO9" s="1"/>
  <c r="AJ50"/>
  <c r="AN50" s="1"/>
  <c r="AO50" s="1"/>
  <c r="AJ207"/>
  <c r="AN207" s="1"/>
  <c r="AJ306"/>
  <c r="AN306" s="1"/>
  <c r="DY128" l="1"/>
  <c r="AY128"/>
  <c r="DO128"/>
  <c r="AR128"/>
  <c r="CY128"/>
  <c r="AS128"/>
  <c r="AZ128"/>
  <c r="AJ128"/>
  <c r="AN128" s="1"/>
  <c r="AU128"/>
  <c r="CC128"/>
  <c r="AT128"/>
  <c r="EK128"/>
  <c r="AW128"/>
  <c r="AX315"/>
  <c r="DY315"/>
  <c r="AW315"/>
  <c r="CE176"/>
  <c r="AR7"/>
  <c r="AD334"/>
  <c r="AF334" s="1"/>
  <c r="AD259"/>
  <c r="AF259" s="1"/>
  <c r="AD142"/>
  <c r="AF142" s="1"/>
  <c r="AD10"/>
  <c r="AF10" s="1"/>
  <c r="AD400"/>
  <c r="AF400" s="1"/>
  <c r="AD286"/>
  <c r="AF286" s="1"/>
  <c r="AD212"/>
  <c r="AF212" s="1"/>
  <c r="AD48"/>
  <c r="AF48" s="1"/>
  <c r="AD344"/>
  <c r="AF344" s="1"/>
  <c r="AD388"/>
  <c r="AF388" s="1"/>
  <c r="BO7"/>
  <c r="BP7" s="1"/>
  <c r="AJ205"/>
  <c r="AN205" s="1"/>
  <c r="BS176"/>
  <c r="EA176"/>
  <c r="AD45"/>
  <c r="AF45" s="1"/>
  <c r="AD220"/>
  <c r="AF220" s="1"/>
  <c r="AD123"/>
  <c r="AF123" s="1"/>
  <c r="AD337"/>
  <c r="AF337" s="1"/>
  <c r="AD404"/>
  <c r="AF404" s="1"/>
  <c r="AD46"/>
  <c r="AF46" s="1"/>
  <c r="AD124"/>
  <c r="AF124" s="1"/>
  <c r="AD14"/>
  <c r="AF14" s="1"/>
  <c r="AD211"/>
  <c r="AF211" s="1"/>
  <c r="AD226"/>
  <c r="AF226" s="1"/>
  <c r="AD178"/>
  <c r="AF178" s="1"/>
  <c r="AD422"/>
  <c r="AF422" s="1"/>
  <c r="CE251"/>
  <c r="BS251"/>
  <c r="EM251"/>
  <c r="EA251"/>
  <c r="AD170"/>
  <c r="AF170" s="1"/>
  <c r="AD251"/>
  <c r="AF251" s="1"/>
  <c r="BD61"/>
  <c r="BB61"/>
  <c r="BK61"/>
  <c r="BJ61"/>
  <c r="BI61"/>
  <c r="BH61"/>
  <c r="BG61"/>
  <c r="BF61"/>
  <c r="BE61"/>
  <c r="BC61"/>
  <c r="BA61"/>
  <c r="AY61"/>
  <c r="AX61"/>
  <c r="AW61"/>
  <c r="AV61"/>
  <c r="AU61"/>
  <c r="AT61"/>
  <c r="AS61"/>
  <c r="BA157"/>
  <c r="AZ157"/>
  <c r="AY157"/>
  <c r="AX157"/>
  <c r="AV157"/>
  <c r="AT157"/>
  <c r="AS157"/>
  <c r="BA162"/>
  <c r="AY162"/>
  <c r="AX162"/>
  <c r="AW162"/>
  <c r="AV162"/>
  <c r="AU162"/>
  <c r="AT162"/>
  <c r="AS162"/>
  <c r="AZ61"/>
  <c r="EU162"/>
  <c r="AD157"/>
  <c r="AF157" s="1"/>
  <c r="ES61"/>
  <c r="ET61" s="1"/>
  <c r="DM157"/>
  <c r="DN157" s="1"/>
  <c r="ES162"/>
  <c r="ET162" s="1"/>
  <c r="CE152"/>
  <c r="BS152"/>
  <c r="EM152"/>
  <c r="EA152"/>
  <c r="AD341"/>
  <c r="AF341" s="1"/>
  <c r="AD425"/>
  <c r="AF425" s="1"/>
  <c r="AD62"/>
  <c r="AF62" s="1"/>
  <c r="AD167"/>
  <c r="AF167" s="1"/>
  <c r="AD243"/>
  <c r="AF243" s="1"/>
  <c r="BS262"/>
  <c r="CE262"/>
  <c r="EA262"/>
  <c r="EM262"/>
  <c r="AD250"/>
  <c r="AF250" s="1"/>
  <c r="AD310"/>
  <c r="AF310" s="1"/>
  <c r="AD303"/>
  <c r="AF303" s="1"/>
  <c r="AD312"/>
  <c r="AF312" s="1"/>
  <c r="AD262"/>
  <c r="AF262" s="1"/>
  <c r="CE3"/>
  <c r="BD3" s="1"/>
  <c r="CE215"/>
  <c r="BZ313"/>
  <c r="BZ223"/>
  <c r="BZ214"/>
  <c r="BZ314"/>
  <c r="BN3"/>
  <c r="AR3" s="1"/>
  <c r="BS3"/>
  <c r="BB3" s="1"/>
  <c r="BN313"/>
  <c r="BN223"/>
  <c r="BN214"/>
  <c r="BN314"/>
  <c r="BS215"/>
  <c r="AD313"/>
  <c r="AF313" s="1"/>
  <c r="AD215"/>
  <c r="AF215" s="1"/>
  <c r="AJ243" l="1"/>
  <c r="AN243" s="1"/>
  <c r="AO243" s="1"/>
  <c r="AJ337"/>
  <c r="AN337" s="1"/>
  <c r="AO337" s="1"/>
  <c r="AJ220"/>
  <c r="AN220" s="1"/>
  <c r="AO220" s="1"/>
  <c r="AT223"/>
  <c r="AR214"/>
  <c r="AT313"/>
  <c r="AR314"/>
  <c r="AR313"/>
  <c r="AT214"/>
  <c r="AR223"/>
  <c r="AT314"/>
  <c r="BQ7"/>
  <c r="BO3"/>
  <c r="BP3" s="1"/>
  <c r="AJ8"/>
  <c r="AN8" s="1"/>
  <c r="CC313"/>
  <c r="CA313"/>
  <c r="CB313" s="1"/>
  <c r="CC223"/>
  <c r="CA223"/>
  <c r="CB223" s="1"/>
  <c r="CC214"/>
  <c r="CA214"/>
  <c r="CB214" s="1"/>
  <c r="CC314"/>
  <c r="CA314"/>
  <c r="CB314" s="1"/>
  <c r="AJ41"/>
  <c r="AN41" s="1"/>
  <c r="AJ286"/>
  <c r="AN286" s="1"/>
  <c r="AO286" s="1"/>
  <c r="AJ418"/>
  <c r="AN418" s="1"/>
  <c r="AJ212"/>
  <c r="AN212" s="1"/>
  <c r="AO212" s="1"/>
  <c r="AJ10"/>
  <c r="AN10" s="1"/>
  <c r="AO10" s="1"/>
  <c r="AJ344"/>
  <c r="AN344" s="1"/>
  <c r="AO344" s="1"/>
  <c r="AJ400"/>
  <c r="AN400" s="1"/>
  <c r="AO400" s="1"/>
  <c r="AJ334"/>
  <c r="AN334" s="1"/>
  <c r="AO334" s="1"/>
  <c r="AJ333"/>
  <c r="AN333" s="1"/>
  <c r="AJ48"/>
  <c r="AN48" s="1"/>
  <c r="AO48" s="1"/>
  <c r="AJ386"/>
  <c r="AN386" s="1"/>
  <c r="AJ209"/>
  <c r="AN209" s="1"/>
  <c r="AJ127"/>
  <c r="AN127" s="1"/>
  <c r="AJ206"/>
  <c r="AN206" s="1"/>
  <c r="AJ72"/>
  <c r="AN72" s="1"/>
  <c r="AJ419"/>
  <c r="AN419" s="1"/>
  <c r="AJ388"/>
  <c r="AN388" s="1"/>
  <c r="AO388" s="1"/>
  <c r="AJ259"/>
  <c r="AN259" s="1"/>
  <c r="AO259" s="1"/>
  <c r="AJ166"/>
  <c r="AN166" s="1"/>
  <c r="AJ142"/>
  <c r="AN142" s="1"/>
  <c r="AO142" s="1"/>
  <c r="AJ389"/>
  <c r="AN389" s="1"/>
  <c r="AJ342"/>
  <c r="AN342" s="1"/>
  <c r="AJ7"/>
  <c r="AN7" s="1"/>
  <c r="AJ403"/>
  <c r="AN403" s="1"/>
  <c r="AJ14"/>
  <c r="AN14" s="1"/>
  <c r="AO14" s="1"/>
  <c r="AJ13"/>
  <c r="AN13" s="1"/>
  <c r="AJ204"/>
  <c r="AN204" s="1"/>
  <c r="AJ210"/>
  <c r="AN210" s="1"/>
  <c r="AJ176"/>
  <c r="AN176" s="1"/>
  <c r="AJ245"/>
  <c r="AN245" s="1"/>
  <c r="AJ335"/>
  <c r="AN335" s="1"/>
  <c r="AJ339"/>
  <c r="AN339" s="1"/>
  <c r="AJ336"/>
  <c r="AN336" s="1"/>
  <c r="AJ340"/>
  <c r="AN340" s="1"/>
  <c r="AJ287"/>
  <c r="AN287" s="1"/>
  <c r="AJ143"/>
  <c r="AN143" s="1"/>
  <c r="AJ338"/>
  <c r="AN338" s="1"/>
  <c r="AJ45"/>
  <c r="AN45" s="1"/>
  <c r="AO45" s="1"/>
  <c r="AJ26"/>
  <c r="AN26" s="1"/>
  <c r="AJ124"/>
  <c r="AN124" s="1"/>
  <c r="AO124" s="1"/>
  <c r="AJ123"/>
  <c r="AN123" s="1"/>
  <c r="AO123" s="1"/>
  <c r="AJ273"/>
  <c r="AN273" s="1"/>
  <c r="AJ260"/>
  <c r="AN260" s="1"/>
  <c r="AJ406"/>
  <c r="AN406" s="1"/>
  <c r="AJ421"/>
  <c r="AN421" s="1"/>
  <c r="AJ24"/>
  <c r="AN24" s="1"/>
  <c r="AJ47"/>
  <c r="AN47" s="1"/>
  <c r="AJ15"/>
  <c r="AN15" s="1"/>
  <c r="AJ211"/>
  <c r="AN211" s="1"/>
  <c r="AO211" s="1"/>
  <c r="AJ25"/>
  <c r="AN25" s="1"/>
  <c r="AJ343"/>
  <c r="AN343" s="1"/>
  <c r="AJ46"/>
  <c r="AN46" s="1"/>
  <c r="AO46" s="1"/>
  <c r="AJ351"/>
  <c r="AN351" s="1"/>
  <c r="AJ350"/>
  <c r="AN350" s="1"/>
  <c r="AJ414"/>
  <c r="AN414" s="1"/>
  <c r="AJ352"/>
  <c r="AN352" s="1"/>
  <c r="AJ126"/>
  <c r="AN126" s="1"/>
  <c r="AJ208"/>
  <c r="AN208" s="1"/>
  <c r="AJ178"/>
  <c r="AN178" s="1"/>
  <c r="AO178" s="1"/>
  <c r="AJ422"/>
  <c r="AN422" s="1"/>
  <c r="AO422" s="1"/>
  <c r="AJ404"/>
  <c r="AN404" s="1"/>
  <c r="AO404" s="1"/>
  <c r="AJ353"/>
  <c r="AN353" s="1"/>
  <c r="AJ151"/>
  <c r="AN151" s="1"/>
  <c r="AJ170"/>
  <c r="AN170" s="1"/>
  <c r="AO170" s="1"/>
  <c r="AK251"/>
  <c r="AL251"/>
  <c r="AM251"/>
  <c r="AJ251"/>
  <c r="AN251" s="1"/>
  <c r="AO251" s="1"/>
  <c r="AJ167"/>
  <c r="AN167" s="1"/>
  <c r="AJ159"/>
  <c r="AN159" s="1"/>
  <c r="AJ168"/>
  <c r="AN168" s="1"/>
  <c r="AJ171"/>
  <c r="AN171" s="1"/>
  <c r="AJ399"/>
  <c r="AN399" s="1"/>
  <c r="AJ157"/>
  <c r="AN157" s="1"/>
  <c r="AO157" s="1"/>
  <c r="DE157"/>
  <c r="DF157" s="1"/>
  <c r="AJ213"/>
  <c r="AN213" s="1"/>
  <c r="AJ158"/>
  <c r="AN158" s="1"/>
  <c r="AJ132"/>
  <c r="AN132" s="1"/>
  <c r="AW157"/>
  <c r="DG157"/>
  <c r="AJ61"/>
  <c r="AN61" s="1"/>
  <c r="AJ152"/>
  <c r="AN152" s="1"/>
  <c r="AU157"/>
  <c r="EU61"/>
  <c r="AJ162"/>
  <c r="AN162" s="1"/>
  <c r="AZ162"/>
  <c r="DO157"/>
  <c r="AJ63"/>
  <c r="AN63" s="1"/>
  <c r="AJ263"/>
  <c r="AN263" s="1"/>
  <c r="AJ341"/>
  <c r="AJ425"/>
  <c r="AN425" s="1"/>
  <c r="AO425" s="1"/>
  <c r="AJ62"/>
  <c r="AN62" s="1"/>
  <c r="AO62" s="1"/>
  <c r="AJ311"/>
  <c r="AN311" s="1"/>
  <c r="BO214"/>
  <c r="BP214" s="1"/>
  <c r="AJ203"/>
  <c r="AN203" s="1"/>
  <c r="AJ173"/>
  <c r="AN173" s="1"/>
  <c r="AJ303"/>
  <c r="AN303" s="1"/>
  <c r="AO303" s="1"/>
  <c r="AJ250"/>
  <c r="AN250" s="1"/>
  <c r="AO250" s="1"/>
  <c r="AJ183"/>
  <c r="AN183" s="1"/>
  <c r="AO167"/>
  <c r="AJ129"/>
  <c r="AN129" s="1"/>
  <c r="AJ331"/>
  <c r="AN331" s="1"/>
  <c r="AJ184"/>
  <c r="AN184" s="1"/>
  <c r="BO314"/>
  <c r="BP314" s="1"/>
  <c r="AJ304"/>
  <c r="AN304" s="1"/>
  <c r="AJ262"/>
  <c r="AN262" s="1"/>
  <c r="AO262" s="1"/>
  <c r="AJ239"/>
  <c r="AN239" s="1"/>
  <c r="AJ312"/>
  <c r="AN312" s="1"/>
  <c r="AO312" s="1"/>
  <c r="AJ310"/>
  <c r="AN310" s="1"/>
  <c r="AO310" s="1"/>
  <c r="BO313"/>
  <c r="BP313" s="1"/>
  <c r="AJ222"/>
  <c r="AN222" s="1"/>
  <c r="AJ314"/>
  <c r="AN314" s="1"/>
  <c r="AM215"/>
  <c r="AJ215"/>
  <c r="AN215" s="1"/>
  <c r="AO215" s="1"/>
  <c r="AK215"/>
  <c r="BE215" s="1"/>
  <c r="AL215"/>
  <c r="AJ214"/>
  <c r="AN214" s="1"/>
  <c r="AJ313"/>
  <c r="AN313" s="1"/>
  <c r="AO313" s="1"/>
  <c r="BQ313"/>
  <c r="BO223"/>
  <c r="BP223" s="1"/>
  <c r="BQ314"/>
  <c r="BQ214"/>
  <c r="BQ3"/>
  <c r="BQ223"/>
  <c r="AJ223"/>
  <c r="AN223" s="1"/>
  <c r="AJ226" l="1"/>
  <c r="AN226" s="1"/>
  <c r="AO226" s="1"/>
  <c r="BB215"/>
  <c r="BH251"/>
  <c r="BD251"/>
  <c r="BI251"/>
  <c r="BE251"/>
  <c r="BJ251"/>
  <c r="BB251"/>
  <c r="BG251"/>
  <c r="BC251"/>
  <c r="BD215"/>
  <c r="AN341"/>
  <c r="AO341" s="1"/>
  <c r="EA3" l="1"/>
  <c r="BH3" s="1"/>
  <c r="BA247" l="1"/>
  <c r="AZ247"/>
  <c r="AY247"/>
  <c r="AX247"/>
  <c r="AW247"/>
  <c r="AV247"/>
  <c r="AU247"/>
  <c r="AT247"/>
  <c r="AS247"/>
  <c r="BA172"/>
  <c r="AZ172"/>
  <c r="AY172"/>
  <c r="AX172"/>
  <c r="AW172"/>
  <c r="AV172"/>
  <c r="AU172"/>
  <c r="AT172"/>
  <c r="AS172"/>
  <c r="BA175"/>
  <c r="AZ175"/>
  <c r="AY175"/>
  <c r="AX175"/>
  <c r="AW175"/>
  <c r="AV175"/>
  <c r="AU175"/>
  <c r="AT175"/>
  <c r="AS175"/>
  <c r="BA267"/>
  <c r="AZ267"/>
  <c r="AY267"/>
  <c r="AX267"/>
  <c r="AW267"/>
  <c r="AV267"/>
  <c r="AU267"/>
  <c r="AT267"/>
  <c r="AS267"/>
  <c r="BA268"/>
  <c r="AZ268"/>
  <c r="AY268"/>
  <c r="AX268"/>
  <c r="AW268"/>
  <c r="AV268"/>
  <c r="AU268"/>
  <c r="AT268"/>
  <c r="AS268"/>
  <c r="BA280"/>
  <c r="AZ280"/>
  <c r="AY280"/>
  <c r="AX280"/>
  <c r="AW280"/>
  <c r="AV280"/>
  <c r="AU280"/>
  <c r="AT280"/>
  <c r="AS280"/>
  <c r="EM3"/>
  <c r="BI3" s="1"/>
  <c r="EM329"/>
  <c r="CQ329"/>
  <c r="EA329"/>
  <c r="EM248"/>
  <c r="EA248"/>
  <c r="CQ248"/>
  <c r="AD274"/>
  <c r="AF274" s="1"/>
  <c r="AD17"/>
  <c r="AF17" s="1"/>
  <c r="AD84"/>
  <c r="AF84" s="1"/>
  <c r="AD191"/>
  <c r="AF191" s="1"/>
  <c r="AD328"/>
  <c r="AF328" s="1"/>
  <c r="AD228"/>
  <c r="AF228" s="1"/>
  <c r="CM328"/>
  <c r="CN328" s="1"/>
  <c r="AD358"/>
  <c r="AF358" s="1"/>
  <c r="AD252"/>
  <c r="AF252" s="1"/>
  <c r="AD217"/>
  <c r="AF217" s="1"/>
  <c r="CQ3"/>
  <c r="BF3" s="1"/>
  <c r="CQ289"/>
  <c r="EA289"/>
  <c r="EM289"/>
  <c r="AM96" l="1"/>
  <c r="AL96"/>
  <c r="AK96"/>
  <c r="AK87"/>
  <c r="AM87"/>
  <c r="AL87"/>
  <c r="AK329"/>
  <c r="AJ175"/>
  <c r="AN175" s="1"/>
  <c r="AJ247"/>
  <c r="AN247" s="1"/>
  <c r="AJ172"/>
  <c r="AN172" s="1"/>
  <c r="AJ321"/>
  <c r="AN321" s="1"/>
  <c r="AJ405"/>
  <c r="AN405" s="1"/>
  <c r="AJ84"/>
  <c r="AN84" s="1"/>
  <c r="AO84" s="1"/>
  <c r="AJ330"/>
  <c r="AN330" s="1"/>
  <c r="AJ240"/>
  <c r="AN240" s="1"/>
  <c r="AJ228"/>
  <c r="AN228" s="1"/>
  <c r="AO228" s="1"/>
  <c r="AJ86"/>
  <c r="AN86" s="1"/>
  <c r="AJ274"/>
  <c r="AN274" s="1"/>
  <c r="AO274" s="1"/>
  <c r="AJ191"/>
  <c r="AN191" s="1"/>
  <c r="AO191" s="1"/>
  <c r="AJ320"/>
  <c r="AN320" s="1"/>
  <c r="AJ356"/>
  <c r="AN356" s="1"/>
  <c r="AJ345"/>
  <c r="AN345" s="1"/>
  <c r="AJ319"/>
  <c r="AN319" s="1"/>
  <c r="AJ329"/>
  <c r="AN329" s="1"/>
  <c r="AJ17"/>
  <c r="AN17" s="1"/>
  <c r="AO17" s="1"/>
  <c r="AJ358"/>
  <c r="AN358" s="1"/>
  <c r="AO358" s="1"/>
  <c r="AJ231"/>
  <c r="AN231" s="1"/>
  <c r="AJ130"/>
  <c r="AN130" s="1"/>
  <c r="AJ327"/>
  <c r="AN327" s="1"/>
  <c r="AJ119"/>
  <c r="AN119" s="1"/>
  <c r="AJ230"/>
  <c r="AN230" s="1"/>
  <c r="AJ85"/>
  <c r="AN85" s="1"/>
  <c r="AJ241"/>
  <c r="AN241" s="1"/>
  <c r="AJ227"/>
  <c r="AN227" s="1"/>
  <c r="AJ357"/>
  <c r="AN357" s="1"/>
  <c r="AJ382"/>
  <c r="AN382" s="1"/>
  <c r="AJ229"/>
  <c r="AN229" s="1"/>
  <c r="AJ384"/>
  <c r="AN384" s="1"/>
  <c r="AJ252"/>
  <c r="AN252" s="1"/>
  <c r="AO252" s="1"/>
  <c r="AJ196"/>
  <c r="AN196" s="1"/>
  <c r="AJ217"/>
  <c r="AN217" s="1"/>
  <c r="AO217" s="1"/>
  <c r="AJ383"/>
  <c r="AN383" s="1"/>
  <c r="BJ87" l="1"/>
  <c r="BG87"/>
  <c r="BC87"/>
  <c r="BB87"/>
  <c r="BD87"/>
  <c r="BH87"/>
  <c r="BG96"/>
  <c r="BD96"/>
  <c r="BE96"/>
  <c r="BB96"/>
  <c r="BH96"/>
  <c r="BC96"/>
  <c r="AM329"/>
  <c r="AV328"/>
  <c r="AL329"/>
  <c r="CO328"/>
  <c r="AJ328"/>
  <c r="AN328" s="1"/>
  <c r="AO328" s="1"/>
  <c r="BJ329"/>
  <c r="BF329"/>
  <c r="BG329"/>
  <c r="BC329"/>
  <c r="BH329"/>
  <c r="BI329"/>
  <c r="BE329"/>
  <c r="AD267" l="1"/>
  <c r="AF267" s="1"/>
  <c r="AD288"/>
  <c r="AF288" s="1"/>
  <c r="AD387"/>
  <c r="AF387" s="1"/>
  <c r="AD355"/>
  <c r="AF355" s="1"/>
  <c r="AD19"/>
  <c r="AF19" s="1"/>
  <c r="AD232"/>
  <c r="AF232" s="1"/>
  <c r="AD216"/>
  <c r="AF216" s="1"/>
  <c r="AD122"/>
  <c r="AF122" s="1"/>
  <c r="AD33"/>
  <c r="AF33" s="1"/>
  <c r="AJ118"/>
  <c r="AN118" s="1"/>
  <c r="CL289"/>
  <c r="CL3"/>
  <c r="CY3"/>
  <c r="CW3"/>
  <c r="CX3" s="1"/>
  <c r="DG3"/>
  <c r="DE3"/>
  <c r="DF3" s="1"/>
  <c r="DO3"/>
  <c r="DM3"/>
  <c r="DN3" s="1"/>
  <c r="DV3"/>
  <c r="DY3" s="1"/>
  <c r="EH3"/>
  <c r="EU3"/>
  <c r="ES3"/>
  <c r="ET3" s="1"/>
  <c r="DV52"/>
  <c r="DV145"/>
  <c r="DV317"/>
  <c r="DV60"/>
  <c r="DV264"/>
  <c r="DV59"/>
  <c r="DV270"/>
  <c r="EH52"/>
  <c r="EH145"/>
  <c r="EH317"/>
  <c r="EH60"/>
  <c r="EH264"/>
  <c r="EH59"/>
  <c r="EH270"/>
  <c r="EK3" l="1"/>
  <c r="AY3"/>
  <c r="CM3"/>
  <c r="CN3" s="1"/>
  <c r="AV3"/>
  <c r="DW3"/>
  <c r="DX3" s="1"/>
  <c r="AX3"/>
  <c r="EI3"/>
  <c r="EJ3" s="1"/>
  <c r="AM407"/>
  <c r="AL407"/>
  <c r="AK407"/>
  <c r="AK262"/>
  <c r="AM262"/>
  <c r="AL262"/>
  <c r="AL248"/>
  <c r="AM248"/>
  <c r="AK248"/>
  <c r="CO3"/>
  <c r="AJ280"/>
  <c r="AN280" s="1"/>
  <c r="AJ19"/>
  <c r="AN19" s="1"/>
  <c r="AO19" s="1"/>
  <c r="AJ288"/>
  <c r="AN288" s="1"/>
  <c r="AO288" s="1"/>
  <c r="AJ121"/>
  <c r="AN121" s="1"/>
  <c r="AJ122"/>
  <c r="AN122" s="1"/>
  <c r="AO122" s="1"/>
  <c r="AJ355"/>
  <c r="AN355" s="1"/>
  <c r="AO355" s="1"/>
  <c r="AJ216"/>
  <c r="AN216" s="1"/>
  <c r="AO216" s="1"/>
  <c r="AJ387"/>
  <c r="AN387" s="1"/>
  <c r="AO387" s="1"/>
  <c r="AJ232"/>
  <c r="AN232" s="1"/>
  <c r="AO232" s="1"/>
  <c r="AJ20"/>
  <c r="AN20" s="1"/>
  <c r="AJ33"/>
  <c r="AN33" s="1"/>
  <c r="AO33" s="1"/>
  <c r="AJ16"/>
  <c r="AN16" s="1"/>
  <c r="AJ267"/>
  <c r="AN267" s="1"/>
  <c r="AO267" s="1"/>
  <c r="AJ131"/>
  <c r="AN131" s="1"/>
  <c r="AJ169"/>
  <c r="AN169" s="1"/>
  <c r="AJ190"/>
  <c r="AN190" s="1"/>
  <c r="AJ385"/>
  <c r="AN385" s="1"/>
  <c r="AJ268"/>
  <c r="AN268" s="1"/>
  <c r="AJ354"/>
  <c r="AN354" s="1"/>
  <c r="AJ179"/>
  <c r="AN179" s="1"/>
  <c r="AJ290"/>
  <c r="AN290" s="1"/>
  <c r="AJ309"/>
  <c r="AN309" s="1"/>
  <c r="AJ248"/>
  <c r="AN248" s="1"/>
  <c r="BG262" l="1"/>
  <c r="BH262"/>
  <c r="BJ262"/>
  <c r="BC262"/>
  <c r="BB262"/>
  <c r="BD262"/>
  <c r="BE262"/>
  <c r="BI262"/>
  <c r="BI407"/>
  <c r="BB407"/>
  <c r="BG407"/>
  <c r="BJ407"/>
  <c r="BH407"/>
  <c r="BD407"/>
  <c r="BE407"/>
  <c r="BC407"/>
  <c r="BJ248"/>
  <c r="BC248"/>
  <c r="BE248"/>
  <c r="BG248"/>
  <c r="BF248"/>
  <c r="BI248"/>
  <c r="BH248"/>
  <c r="CL60"/>
  <c r="CL264"/>
  <c r="CL59"/>
  <c r="CL270"/>
  <c r="BB289"/>
  <c r="BD289"/>
  <c r="BK289"/>
  <c r="AV289"/>
  <c r="CL375"/>
  <c r="CL160"/>
  <c r="CL52"/>
  <c r="CL145"/>
  <c r="CL317"/>
  <c r="AS426"/>
  <c r="AS161"/>
  <c r="AD52"/>
  <c r="AF52" s="1"/>
  <c r="AD145"/>
  <c r="AF145" s="1"/>
  <c r="AD317"/>
  <c r="AF317" s="1"/>
  <c r="CM289"/>
  <c r="CN289" s="1"/>
  <c r="CW426"/>
  <c r="CX426" s="1"/>
  <c r="CW161"/>
  <c r="CX161" s="1"/>
  <c r="CW60"/>
  <c r="CX60" s="1"/>
  <c r="AD60"/>
  <c r="AF60" s="1"/>
  <c r="AD264"/>
  <c r="AF264" s="1"/>
  <c r="AD270"/>
  <c r="AF270" s="1"/>
  <c r="AM152" l="1"/>
  <c r="AL152"/>
  <c r="AK152"/>
  <c r="AM176"/>
  <c r="AK176"/>
  <c r="AL176"/>
  <c r="AK221"/>
  <c r="AL221"/>
  <c r="AM221"/>
  <c r="AL393"/>
  <c r="AK393"/>
  <c r="AM393"/>
  <c r="AM69"/>
  <c r="AK69"/>
  <c r="AL69"/>
  <c r="AL256"/>
  <c r="AM256"/>
  <c r="AK256"/>
  <c r="AL368"/>
  <c r="AK368"/>
  <c r="AM368"/>
  <c r="AV317"/>
  <c r="AV59"/>
  <c r="AU264"/>
  <c r="AZ264"/>
  <c r="AW264"/>
  <c r="AS264"/>
  <c r="AX264"/>
  <c r="AY264"/>
  <c r="AY52"/>
  <c r="AX52"/>
  <c r="AZ60"/>
  <c r="AW60"/>
  <c r="AS60"/>
  <c r="AU60"/>
  <c r="AX60"/>
  <c r="AY60"/>
  <c r="AV52"/>
  <c r="AV375"/>
  <c r="AV60"/>
  <c r="AU270"/>
  <c r="AZ270"/>
  <c r="AW270"/>
  <c r="AS270"/>
  <c r="AY270"/>
  <c r="AX270"/>
  <c r="AY317"/>
  <c r="AX317"/>
  <c r="AZ59"/>
  <c r="AW59"/>
  <c r="AS59"/>
  <c r="AU59"/>
  <c r="AY59"/>
  <c r="AX59"/>
  <c r="AV145"/>
  <c r="AV160"/>
  <c r="AV264"/>
  <c r="AY145"/>
  <c r="AX145"/>
  <c r="AV270"/>
  <c r="CM264"/>
  <c r="CN264" s="1"/>
  <c r="CW59"/>
  <c r="CX59" s="1"/>
  <c r="DM59"/>
  <c r="DN59" s="1"/>
  <c r="ES59"/>
  <c r="ET59" s="1"/>
  <c r="DE59"/>
  <c r="DF59" s="1"/>
  <c r="DW59"/>
  <c r="DX59" s="1"/>
  <c r="EI59"/>
  <c r="EJ59" s="1"/>
  <c r="AJ289"/>
  <c r="AN289" s="1"/>
  <c r="AM289"/>
  <c r="AK289"/>
  <c r="AL289"/>
  <c r="CO289"/>
  <c r="CY161"/>
  <c r="AJ161"/>
  <c r="AN161" s="1"/>
  <c r="EI145"/>
  <c r="EJ145" s="1"/>
  <c r="DW145"/>
  <c r="DX145" s="1"/>
  <c r="CW264"/>
  <c r="CX264" s="1"/>
  <c r="ES264"/>
  <c r="ET264" s="1"/>
  <c r="EI264"/>
  <c r="EJ264" s="1"/>
  <c r="DM264"/>
  <c r="DN264" s="1"/>
  <c r="DE264"/>
  <c r="DF264" s="1"/>
  <c r="DW264"/>
  <c r="DX264" s="1"/>
  <c r="DW317"/>
  <c r="DX317" s="1"/>
  <c r="EI317"/>
  <c r="EJ317" s="1"/>
  <c r="CM160"/>
  <c r="CN160" s="1"/>
  <c r="CM59"/>
  <c r="CN59" s="1"/>
  <c r="CM317"/>
  <c r="CN317" s="1"/>
  <c r="CM375"/>
  <c r="CN375" s="1"/>
  <c r="CM60"/>
  <c r="CN60" s="1"/>
  <c r="CY426"/>
  <c r="AJ426"/>
  <c r="AN426" s="1"/>
  <c r="CW270"/>
  <c r="CX270" s="1"/>
  <c r="DM270"/>
  <c r="DN270" s="1"/>
  <c r="DE270"/>
  <c r="DF270" s="1"/>
  <c r="EI270"/>
  <c r="EJ270" s="1"/>
  <c r="DW270"/>
  <c r="DX270" s="1"/>
  <c r="ES270"/>
  <c r="ET270" s="1"/>
  <c r="EI52"/>
  <c r="EJ52" s="1"/>
  <c r="DW52"/>
  <c r="DX52" s="1"/>
  <c r="AJ375"/>
  <c r="AN375" s="1"/>
  <c r="DM60"/>
  <c r="DN60" s="1"/>
  <c r="DE60"/>
  <c r="DF60" s="1"/>
  <c r="ES60"/>
  <c r="ET60" s="1"/>
  <c r="EI60"/>
  <c r="EJ60" s="1"/>
  <c r="DW60"/>
  <c r="DX60" s="1"/>
  <c r="DO59"/>
  <c r="DG59"/>
  <c r="AJ59"/>
  <c r="AN59" s="1"/>
  <c r="EU59"/>
  <c r="EK59"/>
  <c r="DY59"/>
  <c r="CM52"/>
  <c r="CN52" s="1"/>
  <c r="CM145"/>
  <c r="CN145" s="1"/>
  <c r="AJ160"/>
  <c r="AN160" s="1"/>
  <c r="CM270"/>
  <c r="CN270" s="1"/>
  <c r="DY52"/>
  <c r="EK52"/>
  <c r="AJ52"/>
  <c r="AN52" s="1"/>
  <c r="AO52" s="1"/>
  <c r="AJ145"/>
  <c r="AN145" s="1"/>
  <c r="AO145" s="1"/>
  <c r="EK145"/>
  <c r="DY145"/>
  <c r="AJ317"/>
  <c r="AN317" s="1"/>
  <c r="AO317" s="1"/>
  <c r="DY317"/>
  <c r="EK317"/>
  <c r="CO264"/>
  <c r="DO264"/>
  <c r="AJ264"/>
  <c r="AN264" s="1"/>
  <c r="AO264" s="1"/>
  <c r="EK264"/>
  <c r="DG264"/>
  <c r="EU264"/>
  <c r="DY264"/>
  <c r="EU60"/>
  <c r="DO60"/>
  <c r="DG60"/>
  <c r="AJ60"/>
  <c r="AN60" s="1"/>
  <c r="AO60" s="1"/>
  <c r="EK60"/>
  <c r="DY60"/>
  <c r="EU270"/>
  <c r="EK270"/>
  <c r="AJ270"/>
  <c r="AN270" s="1"/>
  <c r="DO270"/>
  <c r="DG270"/>
  <c r="DY270"/>
  <c r="CO59"/>
  <c r="CO60"/>
  <c r="CO270"/>
  <c r="CY59"/>
  <c r="CO317"/>
  <c r="CO160"/>
  <c r="CO145"/>
  <c r="CO375"/>
  <c r="CO52"/>
  <c r="CY264"/>
  <c r="CY270"/>
  <c r="CY60"/>
  <c r="BD152" l="1"/>
  <c r="BJ152"/>
  <c r="BC152"/>
  <c r="BG152"/>
  <c r="BI152"/>
  <c r="BB152"/>
  <c r="BH152"/>
  <c r="BD176"/>
  <c r="BG176"/>
  <c r="BB176"/>
  <c r="BJ176"/>
  <c r="BI176"/>
  <c r="BE176"/>
  <c r="BH176"/>
  <c r="BC176"/>
  <c r="BG221"/>
  <c r="BI221"/>
  <c r="BE221"/>
  <c r="BH221"/>
  <c r="BB221"/>
  <c r="BC221"/>
  <c r="BD221"/>
  <c r="BB393"/>
  <c r="BG393"/>
  <c r="BD393"/>
  <c r="BJ393"/>
  <c r="BC393"/>
  <c r="BI393"/>
  <c r="BE393"/>
  <c r="BH393"/>
  <c r="BJ256"/>
  <c r="BH256"/>
  <c r="BE256"/>
  <c r="BI256"/>
  <c r="BC256"/>
  <c r="BB256"/>
  <c r="BG256"/>
  <c r="BD256"/>
  <c r="BD69"/>
  <c r="BC69"/>
  <c r="BB69"/>
  <c r="BJ69"/>
  <c r="BI69"/>
  <c r="BH69"/>
  <c r="BG69"/>
  <c r="BE69"/>
  <c r="BD368"/>
  <c r="BG368"/>
  <c r="BH368"/>
  <c r="BB368"/>
  <c r="BJ368"/>
  <c r="BI368"/>
  <c r="BC368"/>
  <c r="AN2"/>
  <c r="AO270"/>
  <c r="AN3"/>
  <c r="AN4"/>
  <c r="AN5"/>
  <c r="BI289"/>
  <c r="BH289"/>
  <c r="BF289"/>
  <c r="BC289"/>
  <c r="BG289"/>
  <c r="BJ289"/>
  <c r="BE289"/>
</calcChain>
</file>

<file path=xl/sharedStrings.xml><?xml version="1.0" encoding="utf-8"?>
<sst xmlns="http://schemas.openxmlformats.org/spreadsheetml/2006/main" count="5885" uniqueCount="994">
  <si>
    <t>KATALOG LAIN &gt; REFERENSI</t>
  </si>
  <si>
    <t>KATALOG LAIN &gt; RATA - RATA</t>
  </si>
  <si>
    <t>CATENZO</t>
  </si>
  <si>
    <t>GARSEL</t>
  </si>
  <si>
    <t>RAINDOZ</t>
  </si>
  <si>
    <t>GARUCCI</t>
  </si>
  <si>
    <t>CATENZO JUNIOR</t>
  </si>
  <si>
    <t>BASAMA SOGA</t>
  </si>
  <si>
    <t>JAVA SEVEN</t>
  </si>
  <si>
    <t>CBR SIX</t>
  </si>
  <si>
    <t>GIARDINO</t>
  </si>
  <si>
    <t>No</t>
  </si>
  <si>
    <t>Kode</t>
  </si>
  <si>
    <t>Kode 12 Nov</t>
  </si>
  <si>
    <t>* Cek</t>
  </si>
  <si>
    <t>Sample ID</t>
  </si>
  <si>
    <t>Kategori</t>
  </si>
  <si>
    <t>Supplier</t>
  </si>
  <si>
    <t>Size</t>
  </si>
  <si>
    <t>Tipe</t>
  </si>
  <si>
    <t>Harga Supplier</t>
  </si>
  <si>
    <t>Hasil Nego</t>
  </si>
  <si>
    <t>Selisih</t>
  </si>
  <si>
    <t>Harga Gross</t>
  </si>
  <si>
    <t>Harga</t>
  </si>
  <si>
    <t>Margin</t>
  </si>
  <si>
    <t>%</t>
  </si>
  <si>
    <t>Buffer</t>
  </si>
  <si>
    <t>Harga (30%)</t>
  </si>
  <si>
    <t>AVG</t>
  </si>
  <si>
    <t>MIN</t>
  </si>
  <si>
    <t>MAX</t>
  </si>
  <si>
    <t>R. %</t>
  </si>
  <si>
    <t>Keterangan</t>
  </si>
  <si>
    <t>CTZ</t>
  </si>
  <si>
    <t>GSL</t>
  </si>
  <si>
    <t>RND</t>
  </si>
  <si>
    <t>GRC</t>
  </si>
  <si>
    <t>CJR</t>
  </si>
  <si>
    <t>BSM</t>
  </si>
  <si>
    <t>JVS</t>
  </si>
  <si>
    <t>CBR</t>
  </si>
  <si>
    <t>AZR</t>
  </si>
  <si>
    <t>GDN</t>
  </si>
  <si>
    <t>AZZURRA</t>
  </si>
  <si>
    <t>OK</t>
  </si>
  <si>
    <t>-</t>
  </si>
  <si>
    <t>ASSESS</t>
  </si>
  <si>
    <t>CEK #3</t>
  </si>
  <si>
    <t>??</t>
  </si>
  <si>
    <t xml:space="preserve">Siti Sri Handayani - LSH </t>
  </si>
  <si>
    <t xml:space="preserve">BCL - Co - Sepatu - Boot </t>
  </si>
  <si>
    <t xml:space="preserve">BCL - Co - Sepatu - Safety </t>
  </si>
  <si>
    <t>Katalog 2018</t>
  </si>
  <si>
    <t>BCL - Ce - Sandal - Wedges - Tinggi</t>
  </si>
  <si>
    <t>BCL - Ce - Sandal - Wedges - Kayu</t>
  </si>
  <si>
    <t>BCL - Ce - Sandal - Teplek - Tali</t>
  </si>
  <si>
    <t>BCL - Ce - Sandal - Adventure</t>
  </si>
  <si>
    <t>BCL - Ce - Sandal - Teplek</t>
  </si>
  <si>
    <t>BCL - Ce - Sandal - Heels</t>
  </si>
  <si>
    <t>BCL - Ce - Sandal - Heels - Tali</t>
  </si>
  <si>
    <t>BCL - Ce - Sepatu - Formal - Kulit</t>
  </si>
  <si>
    <t>BCL - Ce - Sepatu - Ballet</t>
  </si>
  <si>
    <t>BCL - Ce - Sepatu - Casual</t>
  </si>
  <si>
    <t>BCL - Ce - Sepatu - Sport</t>
  </si>
  <si>
    <t>BCL - Ce - Sepatu - Boot</t>
  </si>
  <si>
    <t>BCL - Co - Sepatu - Formal - Sintetis</t>
  </si>
  <si>
    <t>BCL - Co - Sepatu - Formal - Kulit</t>
  </si>
  <si>
    <t>BCL - Co - Sepatu - Formal - Boot - Kulit</t>
  </si>
  <si>
    <t>BCL - Co - Sandal - Bustong</t>
  </si>
  <si>
    <t>BCL - Co - Sepatu - Adventure</t>
  </si>
  <si>
    <t>BCL - Co - Sepatu - Casual - Sintetis</t>
  </si>
  <si>
    <t>BCL - Co - Sepatu - Sport - Futsal</t>
  </si>
  <si>
    <t>BCL - Co - Sepatu - Sport - Bola</t>
  </si>
  <si>
    <t>BCL - Co - Sandal - Sintetis</t>
  </si>
  <si>
    <t>BCL - Co - Sandal - Kulit</t>
  </si>
  <si>
    <t>BCL - Co - Sandal - Casual</t>
  </si>
  <si>
    <t>BCL - Co - Sandal - Adventure</t>
  </si>
  <si>
    <t>BCL - Co - Sandal - Adventure - Tali - Premium</t>
  </si>
  <si>
    <t>BCL - Co - Sandal - Adventure - Tali</t>
  </si>
  <si>
    <t>BCL - Anak - Co - Sandal</t>
  </si>
  <si>
    <t>BCL - Anak - Baby</t>
  </si>
  <si>
    <t>BCL - Anak - Ce - Sandal</t>
  </si>
  <si>
    <t>Lama</t>
  </si>
  <si>
    <t>Baru</t>
  </si>
  <si>
    <t>BCL - Anak - Co - Sepatu - 30</t>
  </si>
  <si>
    <t>BCL - Anak - Co - Sepatu - 26</t>
  </si>
  <si>
    <t>BCL - Anak - Ce - Sepatu - 30</t>
  </si>
  <si>
    <t>BCL - Anak - Ce - Sepatu - 26</t>
  </si>
  <si>
    <t>552-27</t>
  </si>
  <si>
    <t>BNI 351</t>
  </si>
  <si>
    <t>GSG 3099</t>
  </si>
  <si>
    <t>BCL - Co - Sepatu - Casual - Sintetis - Tinggi</t>
  </si>
  <si>
    <t>BCL - Co - Sepatu - Casual - Kulit</t>
  </si>
  <si>
    <t>BCL - Co - Sepatu - Casual - Kulit - Tinggi</t>
  </si>
  <si>
    <t>BCL - Co - Sepatu - Casual - Sintetis - Rendah</t>
  </si>
  <si>
    <t>BCL - Co - Sepatu - Casual - Kulit - Rendah</t>
  </si>
  <si>
    <t>DM 2029</t>
  </si>
  <si>
    <t>DM 102</t>
  </si>
  <si>
    <t>RI 010</t>
  </si>
  <si>
    <t>GRN 2506</t>
  </si>
  <si>
    <t>GRN 2502</t>
  </si>
  <si>
    <t>GAJ 2008</t>
  </si>
  <si>
    <t>BJB 024</t>
  </si>
  <si>
    <t>BJB 022</t>
  </si>
  <si>
    <t>BDL 339</t>
  </si>
  <si>
    <t>BSM 306</t>
  </si>
  <si>
    <t>550-08</t>
  </si>
  <si>
    <t>BSC 210</t>
  </si>
  <si>
    <t>BSC 761</t>
  </si>
  <si>
    <t>BSC 706</t>
  </si>
  <si>
    <t>RMP 096</t>
  </si>
  <si>
    <t>GOR 0379</t>
  </si>
  <si>
    <t>BCL - Ce - Sandal - Wedges</t>
  </si>
  <si>
    <t>BCL - Ce - Sandal - Wedges - Tali</t>
  </si>
  <si>
    <t>BCL - Ce - Sandal - Wedges - Sol Sedang</t>
  </si>
  <si>
    <t>BEP 025</t>
  </si>
  <si>
    <t>GUD 6571</t>
  </si>
  <si>
    <t>GDO 2751</t>
  </si>
  <si>
    <t>GHE 2756</t>
  </si>
  <si>
    <t>NS 092</t>
  </si>
  <si>
    <t>BCL - Ce - Unik</t>
  </si>
  <si>
    <t>BCL - Co - Unik</t>
  </si>
  <si>
    <t>BCL - Ce - Sepatu - Formal - Heels - Kulit</t>
  </si>
  <si>
    <t>BCL - Ce - Sepatu - Formal - Heels - Sintetis</t>
  </si>
  <si>
    <t>CEK #1</t>
  </si>
  <si>
    <t>&lt;&lt; CJR, &lt;&lt; BSM, == GSL, &gt; CBR, &gt;&gt; JVS</t>
  </si>
  <si>
    <t>GRD 4005</t>
  </si>
  <si>
    <t>GBJ 8257</t>
  </si>
  <si>
    <t xml:space="preserve"> GAI 8501</t>
  </si>
  <si>
    <t xml:space="preserve"> GTD 8011</t>
  </si>
  <si>
    <t>JJ 117</t>
  </si>
  <si>
    <t>GDO 7243</t>
  </si>
  <si>
    <t>GKK 8118</t>
  </si>
  <si>
    <t>GJS 8115</t>
  </si>
  <si>
    <t>BYI 857</t>
  </si>
  <si>
    <t>BYI 971</t>
  </si>
  <si>
    <t>CYE 218</t>
  </si>
  <si>
    <t>&lt;&lt; CTZ, = BSM</t>
  </si>
  <si>
    <t>&lt;&lt; RND, &lt;&lt; JVS, &lt; GRC, &lt; CBR, == CTZ, == GSL, &gt;&gt; BSM</t>
  </si>
  <si>
    <t>REF</t>
  </si>
  <si>
    <t>== GSL</t>
  </si>
  <si>
    <t>&lt;&lt; GSL, &lt;&lt; RND, &lt;&lt; AZR, &gt;&gt; CTZ, &gt;&gt; BSM, &gt;&gt; GRC, &gt;&gt; CBR, &gt;&gt; JVS</t>
  </si>
  <si>
    <t>&lt;&lt; RND, == CTZ, &gt; BSM, &gt; GSL, &gt; GRC, &gt;&gt; JVS</t>
  </si>
  <si>
    <t>&lt;&lt; BSM, &lt;&lt; GSL, &gt;&gt; GRC</t>
  </si>
  <si>
    <t>&lt;&lt; AZR, &gt; RND, &gt; CTZ, &gt; GRC, &gt; GSL, &gt; BSM, &gt; CBR, &gt; JVS</t>
  </si>
  <si>
    <t>&lt; CTZ, &gt; GSL</t>
  </si>
  <si>
    <t>&gt; CTZ, &gt;&gt; GSL</t>
  </si>
  <si>
    <t>&lt;&lt; AZR, &lt; CBR, &lt; CTZ, &gt; RND, &gt; GSL, &gt;&gt; JVS, &gt;&gt; GRC, &gt;&gt; BSM</t>
  </si>
  <si>
    <t>&gt; BSM, &gt; GSL,</t>
  </si>
  <si>
    <t>&lt;&lt; GRC, == CBR, == JVS</t>
  </si>
  <si>
    <t>&gt;&gt; GRC, &gt;&gt; CBR, &gt;&gt; JVS</t>
  </si>
  <si>
    <t>&gt;&gt; GSL</t>
  </si>
  <si>
    <t>&lt;&lt; AZR, &lt;&lt; CTZ, &lt;&lt; CBR, &gt; RND, &gt; GSL, &gt; JVS, &gt;&gt; GRC, &gt;&gt; BSM</t>
  </si>
  <si>
    <t>&lt;&lt; AZR, &lt;&lt; CTZ, &lt;&lt; RND, &lt;&lt; JVS, &lt;&lt; BSM, &gt; GSL</t>
  </si>
  <si>
    <t>&lt;&lt; AZR, &lt;&lt; CTZ, &lt; BSM, &gt; GSL, &gt;&gt; RND, &gt;&gt; GRC, &gt;&gt; CBR, &gt;&gt; JVS</t>
  </si>
  <si>
    <t>&lt;&lt; GSL, &lt; GRC</t>
  </si>
  <si>
    <t>&lt;&lt; CTZ</t>
  </si>
  <si>
    <t>NO REF</t>
  </si>
  <si>
    <t>&lt;&lt; GSL</t>
  </si>
  <si>
    <t>&lt; GSL, == RND, &gt; CTZ, &gt;&gt; JVS</t>
  </si>
  <si>
    <t>&lt; GSL, &gt; RND, &gt; CTZ, &gt;&gt; JVS</t>
  </si>
  <si>
    <t>&lt;&lt; GSL, &lt;&lt; RND, &lt;&lt; CTZ, &gt; JVS</t>
  </si>
  <si>
    <t>&lt;&lt; RND, &lt;&lt; CTZ,&lt;&lt; JVS</t>
  </si>
  <si>
    <t>&lt;&lt; RND, &lt;&lt; CTZ, &gt; JVS</t>
  </si>
  <si>
    <t>&lt;&lt; AZR, &lt;&lt; GSL, &lt;&lt; CTZ, == BSM, &gt; RND, &gt;&gt; CBR, &gt;&gt; JVS</t>
  </si>
  <si>
    <t>&lt;&lt; ALL</t>
  </si>
  <si>
    <t>&lt;&lt;BSM, &lt;&lt; GSL &lt;&lt; AZR, &lt;&lt; GRC, &lt;&lt; CTZ, &lt;&lt; RND, &gt;&gt; JVS, &gt;&gt; CBR</t>
  </si>
  <si>
    <t>&gt;&gt; ALL</t>
  </si>
  <si>
    <t>&lt;&lt; BSM, &gt; GSL, &gt;&gt; AZR, &gt;&gt; GRC, &gt;&gt; CTZ, &gt;&gt; RND, &gt;&gt; JVS, &gt;&gt; CBR</t>
  </si>
  <si>
    <t>&lt;&lt; BSM, &lt;&lt; GSL, == AZR, &gt;&gt; GRC, &gt;&gt; CTZ, &gt;&gt; RND, &gt;&gt; JVS, &gt;&gt; CBR</t>
  </si>
  <si>
    <t>&lt;&lt; AZR, &lt;&lt; GRC, &gt; GSL, &gt; CTZ, &gt; RND, &gt;&gt; JVS, &gt;&gt; CBR, &gt;&gt; BSM</t>
  </si>
  <si>
    <t>&lt;&lt; GSL, &lt;&lt; AZR, &lt;&lt; BSM, &lt;&lt; CTZ, &gt; GRC, &gt;&gt; JVS, &gt;&gt; CBR, &gt;&gt; RND</t>
  </si>
  <si>
    <t>BCL - Co - Sepatu - Formal</t>
  </si>
  <si>
    <t>BCL - Co - Sandal - Bustong - Kulit</t>
  </si>
  <si>
    <t>LSI 201</t>
  </si>
  <si>
    <t>&lt;&lt; AZR, &lt;&lt; GSL, &lt;&lt; CTZ, &gt; CBR, &gt;&gt; BSM, &gt;&gt; JVS, &gt;&gt; RND</t>
  </si>
  <si>
    <t>&gt;&gt; AZR</t>
  </si>
  <si>
    <t>&gt;&gt; BSM, &gt;&gt; GRC</t>
  </si>
  <si>
    <t>&lt;&lt; GRC, &lt;&lt; GSL, &lt;&lt; CTZ</t>
  </si>
  <si>
    <t>&lt;&lt; CTZ, &gt; RND, &gt; CBR, &gt;&gt; JVS</t>
  </si>
  <si>
    <t>== CTZ, &gt;&gt; RND, &gt;&gt; CBR, &gt;&gt; JVS</t>
  </si>
  <si>
    <t>&lt;&lt; CTZ, &lt;&lt; RND</t>
  </si>
  <si>
    <t>&gt;&gt; CTZ, &gt;&gt; RND</t>
  </si>
  <si>
    <t>&lt;&lt; GRC, &gt;&gt; RND, &gt;&gt; CTZ</t>
  </si>
  <si>
    <t>&lt;&lt; CBR, &lt;&lt; JVS, &lt;&lt; GRC, == AZR, &gt; CTZ, &gt; GSL, &gt;&gt; RND, &gt;&gt; BSM</t>
  </si>
  <si>
    <t>&lt;&lt; GSL, &lt;&lt; GRC, &lt;&lt; CTZ, &gt; RND, &gt; JVS</t>
  </si>
  <si>
    <t>&lt;&lt; AZR, &lt;&lt; GSL, &gt;&gt; CTZ, &gt;&gt; CBR</t>
  </si>
  <si>
    <t>&gt; BSM, &gt; CBR, &gt; CTZ</t>
  </si>
  <si>
    <t>&lt;&lt; JVS, &gt;&gt; BSM, &gt;&gt; CBR</t>
  </si>
  <si>
    <t>&lt;&lt; AZR, &lt;&lt; CTZ, &gt; RND, &gt; GSL, &gt; CBR, &gt; JVS, &gt; BSM, &gt; GRC</t>
  </si>
  <si>
    <t>&lt;&lt; CTZ, &lt;&lt; RND, &lt; AZR, &lt;&lt; CBR, &lt;&lt; GSL, &lt;&lt; BSM, &gt; GRC</t>
  </si>
  <si>
    <t>&lt;&lt; CTZ, &lt;&lt; RND, &lt;&lt; CBR, &lt;&lt; GSL, &lt;&lt; BSM, &gt; GRC</t>
  </si>
  <si>
    <t>&lt; ALL</t>
  </si>
  <si>
    <t>&gt; JVS, &gt; CBR, &gt;&gt; GRC</t>
  </si>
  <si>
    <t>&lt;&lt; CBR, &lt;&lt; JVS, == BSM, &gt; GSL, &gt;&gt; CTZ</t>
  </si>
  <si>
    <t>&lt;&lt; AZR, &lt; CBR, &lt; JVS, = CTZ, = BSM, &gt; GSL, &gt;&gt; RND, &gt;&gt; GRC</t>
  </si>
  <si>
    <t>&lt; AZR, &gt;&gt; OTHERS</t>
  </si>
  <si>
    <t>&gt; GRC, &gt; CJR, &gt;&gt; GSL, &gt;&gt; JVS, &gt;&gt; CBR, &gt;&gt; BSM</t>
  </si>
  <si>
    <t>&gt; CJR, &lt;&lt; OTHERS</t>
  </si>
  <si>
    <t>&lt;&lt; AZR, &lt; GSL, == GRC, &gt; CJR, &gt;&gt; JVS, &gt;&gt; BSM, &gt;&gt; CBR</t>
  </si>
  <si>
    <t>&gt; CJR, &gt; JVS, &gt; CBR</t>
  </si>
  <si>
    <t>&gt; CJR</t>
  </si>
  <si>
    <t>&lt;&lt; AZR, &lt;&lt; GSL, == CJR, &gt; GRC, &gt; CBR, &gt;&gt; BSM, &gt;&gt; JVS</t>
  </si>
  <si>
    <t>MODERATE</t>
  </si>
  <si>
    <t>MINUS</t>
  </si>
  <si>
    <t>PLUS</t>
  </si>
  <si>
    <t>LPR 387</t>
  </si>
  <si>
    <t>LLD 591</t>
  </si>
  <si>
    <t>LDG 831</t>
  </si>
  <si>
    <t>BCL - Ce - Sandal - Highheels - Tali</t>
  </si>
  <si>
    <t>BCL - Ce - Sandal - Highheels</t>
  </si>
  <si>
    <t>BCL - Ce - Sandal - Teplek - Puyuh</t>
  </si>
  <si>
    <t>BCL - Ce - Sepatu - Wedges</t>
  </si>
  <si>
    <t>BCL - Co - Sepatu - Sport</t>
  </si>
  <si>
    <t>BCL - Ce - Sepatu - Ballet - Casual</t>
  </si>
  <si>
    <t>BCL - Ce - Sepatu - Formal - Sintetis</t>
  </si>
  <si>
    <t>BCL - Ce - Sepatu - Formal - Semi</t>
  </si>
  <si>
    <t>BCL - Co - Sepatu - Casual</t>
  </si>
  <si>
    <t>BCL - Co - Sepatu - Boot</t>
  </si>
  <si>
    <t>BCL - Co - Sepatu - Bustong</t>
  </si>
  <si>
    <t>BCL - Co - Sepatu - Casual - Canvas</t>
  </si>
  <si>
    <t>BCL - Co - Sepatu - Gunung</t>
  </si>
  <si>
    <t xml:space="preserve">BCL - Co - Sepatu - Casual </t>
  </si>
  <si>
    <t>BCL - Co - Sandal - Gunung</t>
  </si>
  <si>
    <t>BCL - Co - Sandal - Gunung - Tali</t>
  </si>
  <si>
    <t>BCL - Anak - Sepatu - Co - 30</t>
  </si>
  <si>
    <t>BCL - Anak - Sepatu - Co - Boot 30</t>
  </si>
  <si>
    <t>BCL - Anak - Sepatu - Co - 26</t>
  </si>
  <si>
    <t>BCL - Anak - Sepatu - Co - Boot</t>
  </si>
  <si>
    <t>BCL - Baby - Sepatu - Co</t>
  </si>
  <si>
    <t>BCL - Anak - Sandal - Co</t>
  </si>
  <si>
    <t>BCL - Anak - Sandal - Co - 30</t>
  </si>
  <si>
    <t>BCL - Anak - Sandal - Ce</t>
  </si>
  <si>
    <t>BCL - Anak - Sepatu - Ce - 30</t>
  </si>
  <si>
    <t>BCL - Anak - Sepatu - Ce - 26</t>
  </si>
  <si>
    <t>LKO 628</t>
  </si>
  <si>
    <t>LJU 204</t>
  </si>
  <si>
    <t>LKO 796</t>
  </si>
  <si>
    <t>LJU 372</t>
  </si>
  <si>
    <t>SITI KOMARIAH - NEW</t>
  </si>
  <si>
    <t>DADANG JUANEDI - NEW</t>
  </si>
  <si>
    <t>Asep Hasan - LAX</t>
  </si>
  <si>
    <t>Sopi - LDG</t>
  </si>
  <si>
    <t>Bambang Udaya - LLM</t>
  </si>
  <si>
    <t>Anang - LOL</t>
  </si>
  <si>
    <t>ALO - LTD</t>
  </si>
  <si>
    <t>DEDI R - LED</t>
  </si>
  <si>
    <t>KUSMAWAN - NEW</t>
  </si>
  <si>
    <t>Lili - LOD</t>
  </si>
  <si>
    <t>Tito (New) - LTO</t>
  </si>
  <si>
    <t>Yanto (New) - LWA</t>
  </si>
  <si>
    <t>ERI - LPI</t>
  </si>
  <si>
    <t>OHA - NEW</t>
  </si>
  <si>
    <t>JOKO - NEW</t>
  </si>
  <si>
    <t>Asep Permana - LDO</t>
  </si>
  <si>
    <t>Ayi - LTE</t>
  </si>
  <si>
    <t>UDAN - LCC</t>
  </si>
  <si>
    <t>Aisyah - LLE</t>
  </si>
  <si>
    <t>HERLAN</t>
  </si>
  <si>
    <t>Mulyadi - LLD</t>
  </si>
  <si>
    <t>Ai Lestari</t>
  </si>
  <si>
    <t>EPI - LPE</t>
  </si>
  <si>
    <t>Enan Supriatna - LCU</t>
  </si>
  <si>
    <t>SITI NURJANAH</t>
  </si>
  <si>
    <t>Usep Yadi</t>
  </si>
  <si>
    <t xml:space="preserve">Ahmad Suganda </t>
  </si>
  <si>
    <t>DHEA - NEW</t>
  </si>
  <si>
    <t>ERNI - LRN</t>
  </si>
  <si>
    <t>Herman - LFS</t>
  </si>
  <si>
    <t>ANDI S (UJANG) - NEW</t>
  </si>
  <si>
    <t>Jejen (New) - LJJ</t>
  </si>
  <si>
    <t>INA - NEW</t>
  </si>
  <si>
    <t>Asep Rangga - LAG</t>
  </si>
  <si>
    <t>Dadang Sandal - LPM</t>
  </si>
  <si>
    <t>DEDE - LTW</t>
  </si>
  <si>
    <t>AHMAD - NEW</t>
  </si>
  <si>
    <t>Rita - LJH</t>
  </si>
  <si>
    <t>Asep Kartiwa - LEP</t>
  </si>
  <si>
    <t>Enok - LDI</t>
  </si>
  <si>
    <t>ELIH MUSLIH - NEW</t>
  </si>
  <si>
    <t>DADANG - LPM</t>
  </si>
  <si>
    <t>Teddy Cokro - LIS</t>
  </si>
  <si>
    <t>Riki (New) - LRK</t>
  </si>
  <si>
    <t>RENI - LCN</t>
  </si>
  <si>
    <t>Hasan - LSM</t>
  </si>
  <si>
    <t>Ooy Mulyana - LNW</t>
  </si>
  <si>
    <t>Ena - LMV</t>
  </si>
  <si>
    <t>Agus Gunawan - New</t>
  </si>
  <si>
    <t>Opang (New) - LOP</t>
  </si>
  <si>
    <t>ASEP SUKRON HIDAYAT - NEW</t>
  </si>
  <si>
    <t>DANI - LJT</t>
  </si>
  <si>
    <t>Yani - LYN</t>
  </si>
  <si>
    <t>IREN - NEW</t>
  </si>
  <si>
    <t>Sandi - LSI (New)</t>
  </si>
  <si>
    <t>YANA MULYANA</t>
  </si>
  <si>
    <t>Iwa - LRS</t>
  </si>
  <si>
    <t>Dinar Syah</t>
  </si>
  <si>
    <t>Irsan - LIR</t>
  </si>
  <si>
    <t>BELUM ADA NAMA</t>
  </si>
  <si>
    <t>HENDRA - NEW 1</t>
  </si>
  <si>
    <t>AHMAD YANI - LSO</t>
  </si>
  <si>
    <t>NENENG NEW</t>
  </si>
  <si>
    <t>Sony Sonjaya - LJO</t>
  </si>
  <si>
    <t>JAMAL - LTG</t>
  </si>
  <si>
    <t>YAYAT ROBI - LYY</t>
  </si>
  <si>
    <t>IPAN / INA ROSITA</t>
  </si>
  <si>
    <t>Nandang - LAD/LSW</t>
  </si>
  <si>
    <t>IWAN SUDRAJAT - NEW</t>
  </si>
  <si>
    <t>ASEP RAHMAT - NEW</t>
  </si>
  <si>
    <t>Dadang K - LDA</t>
  </si>
  <si>
    <t>ANDI SUTISNA - NEW</t>
  </si>
  <si>
    <t>UTAMI DAMIYANTI - NEW</t>
  </si>
  <si>
    <t>Arifin - LDX</t>
  </si>
  <si>
    <t>Dadang Santy - LEN</t>
  </si>
  <si>
    <t>Mukhtiar - LTC</t>
  </si>
  <si>
    <t>Imas - LLT</t>
  </si>
  <si>
    <t>ROSMAYANTI NEW</t>
  </si>
  <si>
    <t>Robi - LSN</t>
  </si>
  <si>
    <t>ADE NEW</t>
  </si>
  <si>
    <t>HERI - LYP</t>
  </si>
  <si>
    <t>Acep Rohimat - LCP</t>
  </si>
  <si>
    <t>RUDIANSYAH - LDH</t>
  </si>
  <si>
    <t>NIA - NEW</t>
  </si>
  <si>
    <t>Cepi - LDE</t>
  </si>
  <si>
    <t>DINA - LDP</t>
  </si>
  <si>
    <t>ABUYA IDRIS - LBY</t>
  </si>
  <si>
    <t>Ivan (New) - LIV</t>
  </si>
  <si>
    <t>ROZI - NEW</t>
  </si>
  <si>
    <t>Duhri Arifin - LFM</t>
  </si>
  <si>
    <t>Dani - LCN</t>
  </si>
  <si>
    <t>EDI RIADI - LRE</t>
  </si>
  <si>
    <t>Feri Irawan - LJA</t>
  </si>
  <si>
    <t>Usep (New) - LSU</t>
  </si>
  <si>
    <t>Mahfudin (New) - LMF</t>
  </si>
  <si>
    <t>Rudi Hermawan - LAY</t>
  </si>
  <si>
    <t>ANWAR - NEW</t>
  </si>
  <si>
    <t>Teddy - LLX</t>
  </si>
  <si>
    <t>APRI - NEW</t>
  </si>
  <si>
    <t>Asep Wildan - LTA</t>
  </si>
  <si>
    <t>Rendi - LBU</t>
  </si>
  <si>
    <t>GAGAN NEW</t>
  </si>
  <si>
    <t>BUDI RAHAYU - LBD</t>
  </si>
  <si>
    <t>RIANI</t>
  </si>
  <si>
    <t>Kinkin - LNG</t>
  </si>
  <si>
    <t>Aden - LWI</t>
  </si>
  <si>
    <t>ERWIN - LTF</t>
  </si>
  <si>
    <t>Anggi/Rizky Yunus - LAT</t>
  </si>
  <si>
    <t>Yosep - LNU</t>
  </si>
  <si>
    <t>Wawan - LNY</t>
  </si>
  <si>
    <t>Wawan Onay - LID</t>
  </si>
  <si>
    <t>ADI - NEW</t>
  </si>
  <si>
    <t>GUNAWAN - LGN</t>
  </si>
  <si>
    <t>Edih - LEF</t>
  </si>
  <si>
    <t>Cucu - LMJ</t>
  </si>
  <si>
    <t>Iman New - LMG</t>
  </si>
  <si>
    <t>Roni - LFW</t>
  </si>
  <si>
    <t>Ebek</t>
  </si>
  <si>
    <t>ERPAN - NEW</t>
  </si>
  <si>
    <t>Reren - LOA</t>
  </si>
  <si>
    <t>OZAN - LZA</t>
  </si>
  <si>
    <t>ANDI - LND</t>
  </si>
  <si>
    <t>Didin S - LBP</t>
  </si>
  <si>
    <t>Asep Majid - LAM</t>
  </si>
  <si>
    <t>DADAN - LDL</t>
  </si>
  <si>
    <t>DEWI - LTI</t>
  </si>
  <si>
    <t>Edih - LHO</t>
  </si>
  <si>
    <t>Maman (New) - LMN</t>
  </si>
  <si>
    <t>Sendi - New</t>
  </si>
  <si>
    <t>ECEP - LCS</t>
  </si>
  <si>
    <t>AEP SAEPUDDIN - NEW</t>
  </si>
  <si>
    <t>AGUS SURYANA - NEW</t>
  </si>
  <si>
    <t>RENI - NEW</t>
  </si>
  <si>
    <t>Heni - LME</t>
  </si>
  <si>
    <t>Cecep Sandal - LFG</t>
  </si>
  <si>
    <t>TANTAN MEGANTARA - NEW</t>
  </si>
  <si>
    <t>ILHAM ROHMAT - NEW</t>
  </si>
  <si>
    <t>Dede - LTV</t>
  </si>
  <si>
    <t>Arief - LKS</t>
  </si>
  <si>
    <t>Kusdarja - LRY</t>
  </si>
  <si>
    <t>ASURAHMAN - NEW</t>
  </si>
  <si>
    <t>RIZKY RAHAYU - LAB</t>
  </si>
  <si>
    <t>Rolis - LRA</t>
  </si>
  <si>
    <t>Sheny - LIF</t>
  </si>
  <si>
    <t>Sopi Sopiawati - LTH</t>
  </si>
  <si>
    <t>LKO 376</t>
  </si>
  <si>
    <t>LAX 739</t>
  </si>
  <si>
    <t>LDG 130</t>
  </si>
  <si>
    <t>LAX 433</t>
  </si>
  <si>
    <t>LLM 565</t>
  </si>
  <si>
    <t>LKO 283</t>
  </si>
  <si>
    <t>LAX 704</t>
  </si>
  <si>
    <t>LOL 128</t>
  </si>
  <si>
    <t>LDG 966</t>
  </si>
  <si>
    <t>LTD 311</t>
  </si>
  <si>
    <t>LDG 982</t>
  </si>
  <si>
    <t>LED 505</t>
  </si>
  <si>
    <t>LMW 262</t>
  </si>
  <si>
    <t>LOD 877</t>
  </si>
  <si>
    <t>LED 948</t>
  </si>
  <si>
    <t>LTO 756</t>
  </si>
  <si>
    <t>LWA 823</t>
  </si>
  <si>
    <t>LPI 047</t>
  </si>
  <si>
    <t>LHA 799</t>
  </si>
  <si>
    <t>LJK 421</t>
  </si>
  <si>
    <t>LDO 609</t>
  </si>
  <si>
    <t>LJK 148</t>
  </si>
  <si>
    <t>LTE 271</t>
  </si>
  <si>
    <t>LCC 472</t>
  </si>
  <si>
    <t>LTE 476</t>
  </si>
  <si>
    <t>LLE 412</t>
  </si>
  <si>
    <t>LTE 222</t>
  </si>
  <si>
    <t>LTE 506</t>
  </si>
  <si>
    <t>LFX 653</t>
  </si>
  <si>
    <t>LTE 477</t>
  </si>
  <si>
    <t>LCC 918</t>
  </si>
  <si>
    <t>LLS 263</t>
  </si>
  <si>
    <t>LOL 800</t>
  </si>
  <si>
    <t>LTE 738</t>
  </si>
  <si>
    <t>LPE 495</t>
  </si>
  <si>
    <t>LTE 629</t>
  </si>
  <si>
    <t>LSH 781</t>
  </si>
  <si>
    <t>LTE 285</t>
  </si>
  <si>
    <t>LGG 272</t>
  </si>
  <si>
    <t>LOD 775</t>
  </si>
  <si>
    <t>LCU 019</t>
  </si>
  <si>
    <t>LCU 743</t>
  </si>
  <si>
    <t>LYT 898</t>
  </si>
  <si>
    <t>LDO 221</t>
  </si>
  <si>
    <t>LOD 462</t>
  </si>
  <si>
    <t>LSP 496</t>
  </si>
  <si>
    <t>LPE 868</t>
  </si>
  <si>
    <t>LOD 343</t>
  </si>
  <si>
    <t>LOD 710</t>
  </si>
  <si>
    <t>LYT 282</t>
  </si>
  <si>
    <t>LYT 927</t>
  </si>
  <si>
    <t>LUD 280</t>
  </si>
  <si>
    <t>LYT 894</t>
  </si>
  <si>
    <t>LLS 762</t>
  </si>
  <si>
    <t>LTE 555</t>
  </si>
  <si>
    <t>LLH 195</t>
  </si>
  <si>
    <t xml:space="preserve">LTE </t>
  </si>
  <si>
    <t>LTE 592</t>
  </si>
  <si>
    <t>LLH 402</t>
  </si>
  <si>
    <t>LTE 227</t>
  </si>
  <si>
    <t>LKO 317</t>
  </si>
  <si>
    <t>LRN 020</t>
  </si>
  <si>
    <t>LLS 172</t>
  </si>
  <si>
    <t>LCC 773</t>
  </si>
  <si>
    <t>LTE 423</t>
  </si>
  <si>
    <t>LDG 771</t>
  </si>
  <si>
    <t>LTE 767</t>
  </si>
  <si>
    <t>LFS 182</t>
  </si>
  <si>
    <t>LTE 657</t>
  </si>
  <si>
    <t>LUJ 224</t>
  </si>
  <si>
    <t>LJJ 766</t>
  </si>
  <si>
    <t>LUJ 273</t>
  </si>
  <si>
    <t>LIN 761</t>
  </si>
  <si>
    <t>LCU 132</t>
  </si>
  <si>
    <t>LJU 553</t>
  </si>
  <si>
    <t>LDO 394</t>
  </si>
  <si>
    <t>LDO 813</t>
  </si>
  <si>
    <t>LFX 507</t>
  </si>
  <si>
    <t>LDO 265</t>
  </si>
  <si>
    <t>LAG 770</t>
  </si>
  <si>
    <t>LTE 377</t>
  </si>
  <si>
    <t>LCU 442</t>
  </si>
  <si>
    <t>LAG 194</t>
  </si>
  <si>
    <t>LCU 612</t>
  </si>
  <si>
    <t>LDO 645</t>
  </si>
  <si>
    <t>LPM 726</t>
  </si>
  <si>
    <t>LDO 209</t>
  </si>
  <si>
    <t>LTW 170</t>
  </si>
  <si>
    <t>LTW 125</t>
  </si>
  <si>
    <t>LMD 827</t>
  </si>
  <si>
    <t>LJH 882</t>
  </si>
  <si>
    <t>LDO 246</t>
  </si>
  <si>
    <t>LEP 601</t>
  </si>
  <si>
    <t>LFX 722</t>
  </si>
  <si>
    <t>LTE 608</t>
  </si>
  <si>
    <t>LDI 999</t>
  </si>
  <si>
    <t>LDO 632</t>
  </si>
  <si>
    <t>LEP 294</t>
  </si>
  <si>
    <t>LDO 805</t>
  </si>
  <si>
    <t>LFS 422</t>
  </si>
  <si>
    <t>LKO 126</t>
  </si>
  <si>
    <t>LTE 519</t>
  </si>
  <si>
    <t>LLS 801</t>
  </si>
  <si>
    <t>LTE 826</t>
  </si>
  <si>
    <t>LMS 440</t>
  </si>
  <si>
    <t>LTE 498</t>
  </si>
  <si>
    <t>LKO 342</t>
  </si>
  <si>
    <t>LPM 517</t>
  </si>
  <si>
    <t>LIS 837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</si>
  <si>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</si>
  <si>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</si>
  <si>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</si>
  <si>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</si>
  <si>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</si>
  <si>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</si>
  <si>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</si>
  <si>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</si>
  <si>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</si>
  <si>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</si>
  <si>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576</t>
  </si>
  <si>
    <t>LIS 333</t>
  </si>
  <si>
    <t>LRK 563</t>
  </si>
  <si>
    <t>LTE 842</t>
  </si>
  <si>
    <t>LAS 226</t>
  </si>
  <si>
    <t>LNC 232</t>
  </si>
  <si>
    <t>LLH 493</t>
  </si>
  <si>
    <t>LIS 424</t>
  </si>
  <si>
    <t>LFX 103</t>
  </si>
  <si>
    <t>LSM 561</t>
  </si>
  <si>
    <t>LNW 902</t>
  </si>
  <si>
    <t>LMV 374</t>
  </si>
  <si>
    <t>LDG 162</t>
  </si>
  <si>
    <t>LGA 673</t>
  </si>
  <si>
    <t>LMV 616</t>
  </si>
  <si>
    <t>LOP 757</t>
  </si>
  <si>
    <t>LKR 352</t>
  </si>
  <si>
    <t>LJT 362</t>
  </si>
  <si>
    <t>LYN 206</t>
  </si>
  <si>
    <t>LPS 240</t>
  </si>
  <si>
    <t>LKR 583</t>
  </si>
  <si>
    <t>LDO 545</t>
  </si>
  <si>
    <t>LKR 523</t>
  </si>
  <si>
    <t>LSI 688</t>
  </si>
  <si>
    <t>LKP 696</t>
  </si>
  <si>
    <t>LSI 820</t>
  </si>
  <si>
    <t>LRS 512</t>
  </si>
  <si>
    <t>LDS 683</t>
  </si>
  <si>
    <t>LYN 843</t>
  </si>
  <si>
    <t>LIR 926</t>
  </si>
  <si>
    <t>LYA 983</t>
  </si>
  <si>
    <t>LJO 437</t>
  </si>
  <si>
    <t>LDR 814</t>
  </si>
  <si>
    <t>LDR 199</t>
  </si>
  <si>
    <t>LSO 844</t>
  </si>
  <si>
    <t>LNN 487</t>
  </si>
  <si>
    <t>LJO 648</t>
  </si>
  <si>
    <t>LOP 231</t>
  </si>
  <si>
    <t>LTG 582</t>
  </si>
  <si>
    <t>LIR 247</t>
  </si>
  <si>
    <t>LYY 499</t>
  </si>
  <si>
    <t>LPI 524</t>
  </si>
  <si>
    <t>LYY 335</t>
  </si>
  <si>
    <t>LLE 795</t>
  </si>
  <si>
    <t>LAR 373</t>
  </si>
  <si>
    <t>LAD 473</t>
  </si>
  <si>
    <t>LWS 798</t>
  </si>
  <si>
    <t>LBT 735</t>
  </si>
  <si>
    <t>LHM 330</t>
  </si>
  <si>
    <t xml:space="preserve">LGG </t>
  </si>
  <si>
    <t>LGG 634</t>
  </si>
  <si>
    <t>LMW 455</t>
  </si>
  <si>
    <t>LDA 570</t>
  </si>
  <si>
    <t>LMW 152</t>
  </si>
  <si>
    <t>LDA 790</t>
  </si>
  <si>
    <t>LMW 489</t>
  </si>
  <si>
    <t>LMV 313</t>
  </si>
  <si>
    <t>LOP 351</t>
  </si>
  <si>
    <t>LMV 436</t>
  </si>
  <si>
    <t>LTD 382</t>
  </si>
  <si>
    <t>LMW 745</t>
  </si>
  <si>
    <t>LSS 236</t>
  </si>
  <si>
    <t>LTM 884</t>
  </si>
  <si>
    <t>LKO 293</t>
  </si>
  <si>
    <t>LKO 995</t>
  </si>
  <si>
    <t>LKO 885</t>
  </si>
  <si>
    <t>LDX 980</t>
  </si>
  <si>
    <t>LEN 142</t>
  </si>
  <si>
    <t>LEN 716</t>
  </si>
  <si>
    <t>LTC 840</t>
  </si>
  <si>
    <t>LTC 153</t>
  </si>
  <si>
    <t>LTC 281</t>
  </si>
  <si>
    <t>LLT 949</t>
  </si>
  <si>
    <t>LTD 853</t>
  </si>
  <si>
    <t>LLM 428</t>
  </si>
  <si>
    <t>LRM 269</t>
  </si>
  <si>
    <t>XXX</t>
  </si>
  <si>
    <t>LLM 253</t>
  </si>
  <si>
    <t>LSN 171</t>
  </si>
  <si>
    <t>LFT 145</t>
  </si>
  <si>
    <t>LED 234</t>
  </si>
  <si>
    <t>LYP 136</t>
  </si>
  <si>
    <t>LSN 984</t>
  </si>
  <si>
    <t>LSN 759</t>
  </si>
  <si>
    <t>LCP 242</t>
  </si>
  <si>
    <t>LDH 780</t>
  </si>
  <si>
    <t>LSN 252</t>
  </si>
  <si>
    <t>LSN 261</t>
  </si>
  <si>
    <t>LIA 573</t>
  </si>
  <si>
    <t>LDE 043</t>
  </si>
  <si>
    <t>LDP 623</t>
  </si>
  <si>
    <t>LTE 952</t>
  </si>
  <si>
    <t>LDP 890</t>
  </si>
  <si>
    <t>LDE 851</t>
  </si>
  <si>
    <t>LBY 548</t>
  </si>
  <si>
    <t>LIV 413</t>
  </si>
  <si>
    <t>LBY 212</t>
  </si>
  <si>
    <t>LFS 668</t>
  </si>
  <si>
    <t>LZO 322</t>
  </si>
  <si>
    <t>LFM 932</t>
  </si>
  <si>
    <t>LZO 640</t>
  </si>
  <si>
    <t>LCN 638</t>
  </si>
  <si>
    <t>LRE 520</t>
  </si>
  <si>
    <t>LSM 155</t>
  </si>
  <si>
    <t>LBY 522</t>
  </si>
  <si>
    <t>LJA 557</t>
  </si>
  <si>
    <t>LSU 747</t>
  </si>
  <si>
    <t>LMF 316</t>
  </si>
  <si>
    <t>LDO 356</t>
  </si>
  <si>
    <t>LSM 320</t>
  </si>
  <si>
    <t>LAY 210</t>
  </si>
  <si>
    <t>LJA 332</t>
  </si>
  <si>
    <t>LWN 312</t>
  </si>
  <si>
    <t>LSM 349</t>
  </si>
  <si>
    <t>LAY 690</t>
  </si>
  <si>
    <t>LSI 299</t>
  </si>
  <si>
    <t>LLX 624</t>
  </si>
  <si>
    <t>LLX 708</t>
  </si>
  <si>
    <t>LLX 482</t>
  </si>
  <si>
    <t>LPR 414</t>
  </si>
  <si>
    <t>LTA 991</t>
  </si>
  <si>
    <t>LPR 448</t>
  </si>
  <si>
    <t>LBU 532</t>
  </si>
  <si>
    <t>LBU 845</t>
  </si>
  <si>
    <t>LBU 865</t>
  </si>
  <si>
    <t>LBU 712</t>
  </si>
  <si>
    <t>LBY 778</t>
  </si>
  <si>
    <t>LBD 306</t>
  </si>
  <si>
    <t>LNI 384</t>
  </si>
  <si>
    <t>LSI 841</t>
  </si>
  <si>
    <t>LNG 547</t>
  </si>
  <si>
    <t>LZO 848</t>
  </si>
  <si>
    <t>LWI 965</t>
  </si>
  <si>
    <t>LSI 897</t>
  </si>
  <si>
    <t>LDE 631</t>
  </si>
  <si>
    <t>LZO 364</t>
  </si>
  <si>
    <t>LSM 360</t>
  </si>
  <si>
    <t>LTF 873</t>
  </si>
  <si>
    <t>LAT 849</t>
  </si>
  <si>
    <t>LAY 453</t>
  </si>
  <si>
    <t>LAY 705</t>
  </si>
  <si>
    <t>LIV 584</t>
  </si>
  <si>
    <t>LZO 874</t>
  </si>
  <si>
    <t>LNU 867</t>
  </si>
  <si>
    <t>LSM 572</t>
  </si>
  <si>
    <t>LSM 578</t>
  </si>
  <si>
    <t>LNY 956</t>
  </si>
  <si>
    <t>LFS 642</t>
  </si>
  <si>
    <t>LAT 876</t>
  </si>
  <si>
    <t>LID 197</t>
  </si>
  <si>
    <t>LMX 652</t>
  </si>
  <si>
    <t>LDE 264</t>
  </si>
  <si>
    <t>LAY 788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</si>
  <si>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</si>
  <si>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</si>
  <si>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</si>
  <si>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</si>
  <si>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</si>
  <si>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</si>
  <si>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</si>
  <si>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</si>
  <si>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</si>
  <si>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</si>
  <si>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</si>
  <si>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</si>
  <si>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</si>
  <si>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</si>
  <si>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</si>
  <si>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LEF 855</t>
  </si>
  <si>
    <t>LEF 470</t>
  </si>
  <si>
    <t>LEF 606</t>
  </si>
  <si>
    <t>LMJ 173</t>
  </si>
  <si>
    <t>LSM 045</t>
  </si>
  <si>
    <t>LMG 149</t>
  </si>
  <si>
    <t>LFW 580</t>
  </si>
  <si>
    <t>LRE 446</t>
  </si>
  <si>
    <t>LRE 724</t>
  </si>
  <si>
    <t>LSU 679</t>
  </si>
  <si>
    <t>LAW 192</t>
  </si>
  <si>
    <t>LCK 426</t>
  </si>
  <si>
    <t>LFS 643</t>
  </si>
  <si>
    <t>LMV 363</t>
  </si>
  <si>
    <t>LFS 366</t>
  </si>
  <si>
    <t>LPN 430</t>
  </si>
  <si>
    <t>LRE 284</t>
  </si>
  <si>
    <t>LMG 114</t>
  </si>
  <si>
    <t>LOA 858</t>
  </si>
  <si>
    <t>LMJ 063</t>
  </si>
  <si>
    <t>LAW 804</t>
  </si>
  <si>
    <t>LMG 164</t>
  </si>
  <si>
    <t>LMV 127</t>
  </si>
  <si>
    <t>LZA 789</t>
  </si>
  <si>
    <t>LOA 879</t>
  </si>
  <si>
    <t>LZA 203</t>
  </si>
  <si>
    <t>LOA 908</t>
  </si>
  <si>
    <t>LSM 682</t>
  </si>
  <si>
    <t>LND 625</t>
  </si>
  <si>
    <t>LRS 700</t>
  </si>
  <si>
    <t>LOA 587</t>
  </si>
  <si>
    <t>LSM 444</t>
  </si>
  <si>
    <t>LSM 699</t>
  </si>
  <si>
    <t>LOA 904</t>
  </si>
  <si>
    <t>LSM 677</t>
  </si>
  <si>
    <t>LSM 859</t>
  </si>
  <si>
    <t>LBP 706</t>
  </si>
  <si>
    <t>LBP 481</t>
  </si>
  <si>
    <t>LAM 219</t>
  </si>
  <si>
    <t>LRS 131</t>
  </si>
  <si>
    <t>LBP 847</t>
  </si>
  <si>
    <t>LAM 973</t>
  </si>
  <si>
    <t>LBP 249</t>
  </si>
  <si>
    <t>LAM 514</t>
  </si>
  <si>
    <t>LAY 279</t>
  </si>
  <si>
    <t>LDL 288</t>
  </si>
  <si>
    <t>LTI 903</t>
  </si>
  <si>
    <t>LHO 161</t>
  </si>
  <si>
    <t>LMN 986</t>
  </si>
  <si>
    <t>LDL 122</t>
  </si>
  <si>
    <t>LLX 454</t>
  </si>
  <si>
    <t>LSD 725</t>
  </si>
  <si>
    <t>LCS 275</t>
  </si>
  <si>
    <t>LBD 187</t>
  </si>
  <si>
    <t>LDS 129</t>
  </si>
  <si>
    <t>LAP 846</t>
  </si>
  <si>
    <t>LGS 260</t>
  </si>
  <si>
    <t>LCU 828</t>
  </si>
  <si>
    <t>LTZ 483</t>
  </si>
  <si>
    <t>LME 916</t>
  </si>
  <si>
    <t>LGS 451</t>
  </si>
  <si>
    <t>LFG 328</t>
  </si>
  <si>
    <t>LSM 940</t>
  </si>
  <si>
    <t>LFG 613</t>
  </si>
  <si>
    <t>LLE 301</t>
  </si>
  <si>
    <t>LTN 593</t>
  </si>
  <si>
    <t>LRO 971</t>
  </si>
  <si>
    <t>LMW 503</t>
  </si>
  <si>
    <t>LJJ 719</t>
  </si>
  <si>
    <t>LJJ 866</t>
  </si>
  <si>
    <t>LJJ 992</t>
  </si>
  <si>
    <t>LAM 238</t>
  </si>
  <si>
    <t>LRS 978</t>
  </si>
  <si>
    <t>LAM 862</t>
  </si>
  <si>
    <t>LBP 475</t>
  </si>
  <si>
    <t>LRK 881</t>
  </si>
  <si>
    <t>LTV 326</t>
  </si>
  <si>
    <t>LKS 872</t>
  </si>
  <si>
    <t>LBP 291</t>
  </si>
  <si>
    <t>LJO 070</t>
  </si>
  <si>
    <t>LMN 791</t>
  </si>
  <si>
    <t>LME 615</t>
  </si>
  <si>
    <t>LBD 686</t>
  </si>
  <si>
    <t>LRY 723</t>
  </si>
  <si>
    <t>LID 829</t>
  </si>
  <si>
    <t>LAP 663</t>
  </si>
  <si>
    <t>LME 777</t>
  </si>
  <si>
    <t>LRU 988</t>
  </si>
  <si>
    <t>LRU 883</t>
  </si>
  <si>
    <t>LAY 836</t>
  </si>
  <si>
    <t>LME 588</t>
  </si>
  <si>
    <t>LDL 684</t>
  </si>
  <si>
    <t>LAB 303</t>
  </si>
  <si>
    <t>LAB 157</t>
  </si>
  <si>
    <t>LAB 656</t>
  </si>
  <si>
    <t>LCU 146</t>
  </si>
  <si>
    <t>LRA 181</t>
  </si>
  <si>
    <t>LRU 371</t>
  </si>
  <si>
    <t>LRA 325</t>
  </si>
  <si>
    <t>LFS 123</t>
  </si>
  <si>
    <t>LIF 480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</si>
  <si>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</si>
  <si>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</si>
  <si>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</si>
  <si>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</si>
  <si>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</si>
  <si>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</si>
  <si>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</si>
  <si>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</si>
  <si>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</si>
  <si>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</si>
  <si>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</si>
  <si>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</si>
  <si>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LDI 626</t>
  </si>
  <si>
    <t>LME 854</t>
  </si>
  <si>
    <t>LTH 834</t>
  </si>
  <si>
    <t>LTH 889</t>
  </si>
  <si>
    <t>BARU</t>
  </si>
  <si>
    <t>LAMA</t>
  </si>
  <si>
    <t>Gross</t>
  </si>
  <si>
    <t>Deni New</t>
  </si>
  <si>
    <t>Check 1</t>
  </si>
  <si>
    <t>Kode RND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</si>
  <si>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</si>
  <si>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</si>
  <si>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</si>
  <si>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</si>
  <si>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</si>
  <si>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</si>
  <si>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</si>
  <si>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</si>
  <si>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</si>
  <si>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Catt</t>
  </si>
  <si>
    <t>HPP2</t>
  </si>
  <si>
    <t>Harga Jual</t>
  </si>
  <si>
    <t>Harga Kertas</t>
  </si>
  <si>
    <t>Diskon</t>
  </si>
  <si>
    <t>Harga Round</t>
  </si>
  <si>
    <t>LTS 821</t>
  </si>
  <si>
    <t>INF - Ce - Tas Wanita</t>
  </si>
  <si>
    <t>Rahmat Sonjaya - NEW</t>
  </si>
  <si>
    <t>katalog,slip,hangtag,logam mikel,laken XL</t>
  </si>
  <si>
    <t>LSB 953</t>
  </si>
  <si>
    <t>Belum - Ada - Kategori</t>
  </si>
  <si>
    <t>Tati Hardiati - SRI/SKS/SFC/LSR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</si>
  <si>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</si>
  <si>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</si>
  <si>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</si>
  <si>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</si>
  <si>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</si>
  <si>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</si>
  <si>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</si>
  <si>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Amar - SUM/LEV</t>
  </si>
  <si>
    <t>naik 9500rb karna pakai aksesoris ros gold</t>
  </si>
  <si>
    <t>katalog, slip kain, hangtag, logam emas, laken xl</t>
  </si>
  <si>
    <t>LJC 369</t>
  </si>
  <si>
    <t>RAHMAT H - LJC</t>
  </si>
  <si>
    <t>LEV 169</t>
  </si>
  <si>
    <t>naik 11rb karna pakai aksesoris ros gold</t>
  </si>
  <si>
    <t>katalog, slip kain, hangtag, logam emas, laken L</t>
  </si>
  <si>
    <t>LMI 951</t>
  </si>
  <si>
    <t>BCL - Co - Sepatu - Touring</t>
  </si>
  <si>
    <t>LEO 695</t>
  </si>
  <si>
    <t>IIS AISYAH - SII/LEO</t>
  </si>
  <si>
    <t>katalog,slip,hangtag,logam emas,laken L</t>
  </si>
  <si>
    <t>LHI 938</t>
  </si>
  <si>
    <t>Fahmi - SFM</t>
  </si>
  <si>
    <t>LTU 911</t>
  </si>
  <si>
    <t>ANDRI STU</t>
  </si>
  <si>
    <t>katalog,slip,hangtag,laken XL</t>
  </si>
  <si>
    <t>LAC 353</t>
  </si>
  <si>
    <t>Danu Wijaya - LAC/SNU</t>
  </si>
  <si>
    <t>LSB 223</t>
  </si>
  <si>
    <t>LMA 486</t>
  </si>
  <si>
    <t>MILA - SSD</t>
  </si>
  <si>
    <t>Net</t>
  </si>
  <si>
    <t>katalog, slip karet, hangtag, logam nikel, laken L</t>
  </si>
  <si>
    <t>LAC 439</t>
  </si>
  <si>
    <t>LOY 268</t>
  </si>
  <si>
    <t>Doni - LOY</t>
  </si>
  <si>
    <t>LHI 390</t>
  </si>
  <si>
    <t>LTS 515</t>
  </si>
  <si>
    <t>INF - Ce - Tas Punggung Sintetis</t>
  </si>
  <si>
    <t>LHI 886</t>
  </si>
  <si>
    <t>LSR 754</t>
  </si>
  <si>
    <t>LOT 698</t>
  </si>
  <si>
    <t>INF - Ce - Tas Punggung Dinir</t>
  </si>
  <si>
    <t>AGUS KEBON LEGA - NEW</t>
  </si>
  <si>
    <t>LTY 812</t>
  </si>
  <si>
    <t>Feri - SFR/LTY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</si>
  <si>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</si>
  <si>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</si>
  <si>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</si>
  <si>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</si>
  <si>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</si>
  <si>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katalog, slip, hangtag, logam emas, laken xl</t>
  </si>
  <si>
    <t>LKN 463</t>
  </si>
  <si>
    <t>katalog, hangtag kulit, slip kain, emblem baju #2, laken XL</t>
  </si>
  <si>
    <t>LJC 321</t>
  </si>
  <si>
    <t>LMI 121</t>
  </si>
  <si>
    <t>LDT 216</t>
  </si>
  <si>
    <t>DIDIT NEW</t>
  </si>
  <si>
    <t>LBA 930</t>
  </si>
  <si>
    <t>Budi - SPT</t>
  </si>
  <si>
    <t>katalog,slip karet,hangtag,laken M</t>
  </si>
  <si>
    <t>LBA 860</t>
  </si>
  <si>
    <t>LGI 659</t>
  </si>
  <si>
    <t>INF - Ce - Dompet</t>
  </si>
  <si>
    <t>Taryono - SGI</t>
  </si>
  <si>
    <t>Buffer / Net</t>
  </si>
  <si>
    <t>Katalog - Laken (M) - Hangtag Kulit - Slip Karet - Logam Cor Nikel</t>
  </si>
  <si>
    <t>LEO 431</t>
  </si>
  <si>
    <t>SPT 928</t>
  </si>
  <si>
    <t>katalog,slip karet,hangtag,logam emas,laken S</t>
  </si>
  <si>
    <t>LMB 101</t>
  </si>
  <si>
    <t>Wawan-SMB</t>
  </si>
  <si>
    <t>LNF 411</t>
  </si>
  <si>
    <t>Indra - SFL</t>
  </si>
  <si>
    <t>Katalog - Laken (S) - Hangtag Kulit - Slip Kain</t>
  </si>
  <si>
    <t>LMB 581</t>
  </si>
  <si>
    <t>LWJ 228</t>
  </si>
  <si>
    <t>WANJA - STV</t>
  </si>
  <si>
    <t>LWJ 792</t>
  </si>
  <si>
    <t>LMB 728</t>
  </si>
  <si>
    <t>katalog,slip karet,hangtag,laken S</t>
  </si>
  <si>
    <t>LWJ 786</t>
  </si>
  <si>
    <t>SPT 937</t>
  </si>
  <si>
    <t>LWH 549</t>
  </si>
  <si>
    <t>Harun - SRU/LWH</t>
  </si>
  <si>
    <t>LJB 919</t>
  </si>
  <si>
    <t>INF - Co - Tas - Punggung</t>
  </si>
  <si>
    <t>Maman Bejo - SMM</t>
  </si>
  <si>
    <t>LJB 141</t>
  </si>
  <si>
    <t>LMH 598</t>
  </si>
  <si>
    <t>MUHSIN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</si>
  <si>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</si>
  <si>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</si>
  <si>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</si>
  <si>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</si>
  <si>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</si>
  <si>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</si>
  <si>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LTK 669</t>
  </si>
  <si>
    <t>TAUFIK - STK</t>
  </si>
  <si>
    <t>katalog, slip, label ID, hangtag, label woven + kulit, slip karet laptop, laken XL</t>
  </si>
  <si>
    <t>LJB 380</t>
  </si>
  <si>
    <t>LJB 667</t>
  </si>
  <si>
    <t>LVN 765</t>
  </si>
  <si>
    <t>Ervin - SVN</t>
  </si>
  <si>
    <t>katalog,slip,label ID,handtag,laken XL,Label+woven, Slip karet tali laptop</t>
  </si>
  <si>
    <t>LYI 666</t>
  </si>
  <si>
    <t>yuni tas - new</t>
  </si>
  <si>
    <t>LJB 386</t>
  </si>
  <si>
    <t>LNO 388</t>
  </si>
  <si>
    <t>NOVAN - NEW</t>
  </si>
  <si>
    <t>katalog, slip, label ID, hangtag, woven + kulit, lakeb XL</t>
  </si>
  <si>
    <t>LJB 427</t>
  </si>
  <si>
    <t>LYI 409</t>
  </si>
  <si>
    <t>LTK 641</t>
  </si>
  <si>
    <t>LTK 100</t>
  </si>
  <si>
    <t>LTK 539</t>
  </si>
  <si>
    <t>LTK 415</t>
  </si>
  <si>
    <t>LJB 537</t>
  </si>
  <si>
    <t>LJB 535</t>
  </si>
  <si>
    <t>katalog, hangtag, slip, label ID, kulit jeans, laken M</t>
  </si>
  <si>
    <t>LJB 817</t>
  </si>
  <si>
    <t>katalog, hangtag, slip, label ID, kulit jeans, laken L</t>
  </si>
  <si>
    <t>LTT 748</t>
  </si>
  <si>
    <t>INF - Co - Tas - Samping</t>
  </si>
  <si>
    <t>DEDE TATANG - NEW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</si>
  <si>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</si>
  <si>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</si>
  <si>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</si>
  <si>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</si>
  <si>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</si>
  <si>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</si>
  <si>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</t>
  </si>
  <si>
    <t>katalog, hangtag, slip, label ID, kulit + woven, laken XL</t>
  </si>
  <si>
    <t>LJB 053</t>
  </si>
  <si>
    <t>INF - Co - Tas - Ransel</t>
  </si>
  <si>
    <t>LOZ 308</t>
  </si>
  <si>
    <t>Katalog, Hangtag Kulit, Slip Kain, Label ID</t>
  </si>
  <si>
    <t>LCP 567</t>
  </si>
  <si>
    <t>INF - Co - Aksesoris - Dompet</t>
  </si>
  <si>
    <t>katalog, slip, hangtag, dus</t>
  </si>
  <si>
    <t>LNF 160</t>
  </si>
  <si>
    <t>Katalog - Dus - Hangtag Kulit - Slip Kain</t>
  </si>
  <si>
    <t>LPR 552</t>
  </si>
  <si>
    <t>PRANANTA M - NEW</t>
  </si>
  <si>
    <t>LPU 456</t>
  </si>
  <si>
    <t>ISEP - SPU/LPU</t>
  </si>
  <si>
    <t>Buffer / Gross</t>
  </si>
  <si>
    <t>LNF 746</t>
  </si>
  <si>
    <t>LDY 345</t>
  </si>
  <si>
    <t>DAYI - LDY/SDY</t>
  </si>
  <si>
    <t>katalog, laken s hangtag, slip</t>
  </si>
  <si>
    <t>LKP 202</t>
  </si>
  <si>
    <t>LST 750</t>
  </si>
  <si>
    <t>Asep Supriatna - SLN/LST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</si>
  <si>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</si>
  <si>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</si>
  <si>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</si>
  <si>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</si>
  <si>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</si>
  <si>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</si>
  <si>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</si>
  <si>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</si>
  <si>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</si>
  <si>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</si>
  <si>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</si>
  <si>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</si>
  <si>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</si>
  <si>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</si>
  <si>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katalog, slip, label ID, hangtag, label kain, laken XL, slip karet laptop</t>
  </si>
  <si>
    <t>katalog, hangtag, slip, label ID, kulit lubang, laken XL, slip karet tali tas laptop</t>
  </si>
  <si>
    <t>katalog, hangtag, slip kain, label ID, logam nikel, lakken XL, slip karet tali tas laptop</t>
  </si>
  <si>
    <t>katalog, hangtag, slip kain, label ID, logam nikel, laken XL, slip karet tali tas laptop</t>
  </si>
  <si>
    <t>katalog, hangtag, slip, label ID, laken XL, slip karet laptop</t>
  </si>
  <si>
    <t>katalog, hangtag, slip, label ID, label kain, kulit lubang, slip karet laptop</t>
  </si>
  <si>
    <t>katalog, hangtag, slip, label ID, kulit, laken XL, slip karet laptop</t>
  </si>
  <si>
    <t>katalog, hangtag, slip kain, label ID, laken XL</t>
  </si>
  <si>
    <t>katalog, hangtag, slip kain, label id, logam nikel, laken XL, slip karet laptop</t>
  </si>
  <si>
    <t>katalog, slip kain, hangtag, dus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</si>
</sst>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37" fontId="6" fillId="5" borderId="0" xfId="0" applyNumberFormat="1" applyFont="1" applyFill="1" applyAlignment="1">
      <alignment horizontal="center" vertical="center"/>
    </xf>
    <xf numFmtId="37" fontId="6" fillId="7" borderId="0" xfId="0" applyNumberFormat="1" applyFont="1" applyFill="1" applyAlignment="1">
      <alignment horizontal="center" vertical="center"/>
    </xf>
    <xf numFmtId="37" fontId="0" fillId="8" borderId="0" xfId="0" applyNumberForma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7" fontId="0" fillId="12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7" fontId="0" fillId="0" borderId="0" xfId="0" applyNumberFormat="1" applyFill="1" applyAlignment="1">
      <alignment horizontal="center" vertical="center"/>
    </xf>
    <xf numFmtId="37" fontId="6" fillId="0" borderId="0" xfId="0" applyNumberFormat="1" applyFont="1" applyFill="1" applyAlignment="1">
      <alignment horizontal="center" vertical="center"/>
    </xf>
    <xf numFmtId="37" fontId="8" fillId="14" borderId="0" xfId="0" applyNumberFormat="1" applyFont="1" applyFill="1" applyAlignment="1">
      <alignment horizontal="center" vertical="center"/>
    </xf>
    <xf numFmtId="37" fontId="8" fillId="15" borderId="0" xfId="0" applyNumberFormat="1" applyFont="1" applyFill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7" fontId="0" fillId="7" borderId="0" xfId="0" applyNumberFormat="1" applyFill="1" applyAlignment="1">
      <alignment horizontal="center" vertical="center"/>
    </xf>
    <xf numFmtId="164" fontId="2" fillId="11" borderId="0" xfId="2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4" borderId="0" xfId="1" applyNumberFormat="1" applyFont="1" applyFill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/>
    </xf>
    <xf numFmtId="165" fontId="9" fillId="18" borderId="0" xfId="1" applyNumberFormat="1" applyFont="1" applyFill="1" applyAlignment="1">
      <alignment horizontal="center" vertical="center"/>
    </xf>
    <xf numFmtId="43" fontId="9" fillId="18" borderId="0" xfId="0" applyNumberFormat="1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165" fontId="8" fillId="18" borderId="0" xfId="1" applyNumberFormat="1" applyFont="1" applyFill="1" applyAlignment="1">
      <alignment horizontal="center" vertical="center"/>
    </xf>
    <xf numFmtId="165" fontId="9" fillId="19" borderId="0" xfId="1" applyNumberFormat="1" applyFont="1" applyFill="1" applyAlignment="1">
      <alignment horizontal="center" vertical="center"/>
    </xf>
    <xf numFmtId="43" fontId="9" fillId="19" borderId="0" xfId="0" applyNumberFormat="1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8" fillId="19" borderId="0" xfId="0" applyFont="1" applyFill="1" applyAlignment="1">
      <alignment horizontal="center" vertical="center"/>
    </xf>
    <xf numFmtId="165" fontId="8" fillId="19" borderId="0" xfId="1" applyNumberFormat="1" applyFont="1" applyFill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41" fontId="9" fillId="18" borderId="0" xfId="3" applyFont="1" applyFill="1" applyAlignment="1">
      <alignment horizontal="center" vertical="center"/>
    </xf>
    <xf numFmtId="43" fontId="8" fillId="18" borderId="0" xfId="0" applyNumberFormat="1" applyFont="1" applyFill="1" applyAlignment="1">
      <alignment horizontal="center" vertical="center"/>
    </xf>
    <xf numFmtId="165" fontId="0" fillId="10" borderId="0" xfId="1" applyNumberFormat="1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165" fontId="8" fillId="18" borderId="0" xfId="0" applyNumberFormat="1" applyFont="1" applyFill="1" applyAlignment="1">
      <alignment horizontal="center" vertical="center"/>
    </xf>
    <xf numFmtId="165" fontId="8" fillId="19" borderId="0" xfId="0" applyNumberFormat="1" applyFont="1" applyFill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9" fontId="8" fillId="18" borderId="0" xfId="2" applyFont="1" applyFill="1" applyAlignment="1">
      <alignment horizontal="center" vertical="center"/>
    </xf>
    <xf numFmtId="165" fontId="0" fillId="19" borderId="0" xfId="1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7" fontId="0" fillId="20" borderId="0" xfId="0" applyNumberForma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6" fontId="5" fillId="11" borderId="0" xfId="2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0" fillId="23" borderId="0" xfId="0" applyFont="1" applyFill="1" applyAlignment="1">
      <alignment vertical="center"/>
    </xf>
    <xf numFmtId="0" fontId="10" fillId="23" borderId="0" xfId="0" applyFont="1" applyFill="1" applyAlignment="1">
      <alignment horizontal="right" vertical="center"/>
    </xf>
    <xf numFmtId="0" fontId="10" fillId="23" borderId="0" xfId="0" applyFont="1" applyFill="1" applyBorder="1" applyAlignment="1">
      <alignment horizontal="right"/>
    </xf>
    <xf numFmtId="0" fontId="0" fillId="24" borderId="0" xfId="0" applyFill="1" applyAlignment="1">
      <alignment horizontal="center"/>
    </xf>
    <xf numFmtId="0" fontId="0" fillId="24" borderId="0" xfId="0" applyFill="1"/>
    <xf numFmtId="0" fontId="10" fillId="24" borderId="0" xfId="0" applyFont="1" applyFill="1" applyBorder="1" applyAlignment="1">
      <alignment horizontal="left" vertical="center"/>
    </xf>
    <xf numFmtId="0" fontId="10" fillId="24" borderId="0" xfId="0" applyFont="1" applyFill="1" applyBorder="1" applyAlignment="1">
      <alignment vertical="center"/>
    </xf>
    <xf numFmtId="0" fontId="10" fillId="24" borderId="0" xfId="0" applyFont="1" applyFill="1" applyBorder="1"/>
    <xf numFmtId="0" fontId="10" fillId="24" borderId="0" xfId="0" applyFont="1" applyFill="1" applyBorder="1" applyAlignment="1">
      <alignment horizontal="center" vertical="center"/>
    </xf>
    <xf numFmtId="0" fontId="10" fillId="24" borderId="0" xfId="0" applyFont="1" applyFill="1" applyAlignment="1">
      <alignment horizontal="left" vertical="center"/>
    </xf>
    <xf numFmtId="0" fontId="10" fillId="24" borderId="0" xfId="0" applyFont="1" applyFill="1" applyBorder="1" applyAlignment="1">
      <alignment horizontal="left"/>
    </xf>
    <xf numFmtId="41" fontId="10" fillId="24" borderId="0" xfId="3" applyFont="1" applyFill="1" applyBorder="1" applyAlignment="1">
      <alignment horizontal="right"/>
    </xf>
    <xf numFmtId="41" fontId="10" fillId="24" borderId="0" xfId="0" applyNumberFormat="1" applyFont="1" applyFill="1" applyBorder="1" applyAlignment="1">
      <alignment horizontal="center" vertical="center"/>
    </xf>
    <xf numFmtId="41" fontId="10" fillId="24" borderId="0" xfId="3" applyFont="1" applyFill="1" applyBorder="1" applyAlignment="1">
      <alignment horizontal="center"/>
    </xf>
    <xf numFmtId="41" fontId="10" fillId="24" borderId="0" xfId="3" applyFont="1" applyFill="1" applyBorder="1" applyAlignment="1">
      <alignment horizontal="center" vertical="center"/>
    </xf>
    <xf numFmtId="41" fontId="10" fillId="24" borderId="0" xfId="3" applyFont="1" applyFill="1" applyBorder="1"/>
    <xf numFmtId="165" fontId="10" fillId="24" borderId="0" xfId="1" applyNumberFormat="1" applyFont="1" applyFill="1"/>
    <xf numFmtId="3" fontId="10" fillId="24" borderId="0" xfId="0" applyNumberFormat="1" applyFont="1" applyFill="1" applyBorder="1" applyAlignment="1">
      <alignment horizontal="right"/>
    </xf>
    <xf numFmtId="165" fontId="10" fillId="24" borderId="0" xfId="1" applyNumberFormat="1" applyFont="1" applyFill="1" applyAlignment="1">
      <alignment horizontal="center"/>
    </xf>
    <xf numFmtId="165" fontId="10" fillId="24" borderId="0" xfId="1" applyNumberFormat="1" applyFont="1" applyFill="1" applyAlignment="1">
      <alignment horizontal="center" vertical="center"/>
    </xf>
    <xf numFmtId="37" fontId="0" fillId="23" borderId="0" xfId="0" applyNumberFormat="1" applyFill="1" applyAlignment="1">
      <alignment horizontal="center" vertical="center"/>
    </xf>
    <xf numFmtId="37" fontId="8" fillId="23" borderId="0" xfId="0" applyNumberFormat="1" applyFont="1" applyFill="1" applyAlignment="1">
      <alignment horizontal="center" vertical="center"/>
    </xf>
    <xf numFmtId="37" fontId="11" fillId="23" borderId="0" xfId="0" applyNumberFormat="1" applyFont="1" applyFill="1" applyAlignment="1">
      <alignment horizontal="center" vertical="center"/>
    </xf>
    <xf numFmtId="41" fontId="10" fillId="26" borderId="0" xfId="3" applyFont="1" applyFill="1" applyAlignment="1">
      <alignment vertical="center"/>
    </xf>
    <xf numFmtId="10" fontId="10" fillId="26" borderId="0" xfId="2" applyNumberFormat="1" applyFont="1" applyFill="1" applyAlignment="1">
      <alignment vertical="center"/>
    </xf>
    <xf numFmtId="41" fontId="10" fillId="7" borderId="0" xfId="3" applyFont="1" applyFill="1" applyAlignment="1">
      <alignment vertical="center"/>
    </xf>
    <xf numFmtId="41" fontId="10" fillId="27" borderId="0" xfId="3" applyFont="1" applyFill="1" applyAlignment="1">
      <alignment vertical="center"/>
    </xf>
    <xf numFmtId="10" fontId="10" fillId="27" borderId="0" xfId="2" applyNumberFormat="1" applyFont="1" applyFill="1" applyAlignment="1">
      <alignment vertical="center"/>
    </xf>
    <xf numFmtId="0" fontId="8" fillId="28" borderId="0" xfId="0" applyFont="1" applyFill="1"/>
    <xf numFmtId="37" fontId="8" fillId="28" borderId="0" xfId="0" applyNumberFormat="1" applyFont="1" applyFill="1" applyAlignment="1">
      <alignment horizontal="center" vertical="center"/>
    </xf>
    <xf numFmtId="41" fontId="12" fillId="28" borderId="0" xfId="3" applyFont="1" applyFill="1" applyBorder="1" applyAlignment="1">
      <alignment horizontal="center" vertical="center"/>
    </xf>
    <xf numFmtId="41" fontId="10" fillId="23" borderId="0" xfId="3" applyFont="1" applyFill="1" applyAlignment="1">
      <alignment vertical="center"/>
    </xf>
    <xf numFmtId="10" fontId="10" fillId="23" borderId="0" xfId="2" applyNumberFormat="1" applyFont="1" applyFill="1" applyAlignment="1">
      <alignment vertical="center"/>
    </xf>
    <xf numFmtId="41" fontId="10" fillId="23" borderId="0" xfId="3" applyFont="1" applyFill="1" applyBorder="1" applyAlignment="1">
      <alignment vertical="center"/>
    </xf>
    <xf numFmtId="10" fontId="10" fillId="23" borderId="0" xfId="2" applyNumberFormat="1" applyFont="1" applyFill="1" applyBorder="1" applyAlignment="1">
      <alignment vertical="center"/>
    </xf>
    <xf numFmtId="0" fontId="10" fillId="23" borderId="0" xfId="0" applyFont="1" applyFill="1"/>
    <xf numFmtId="41" fontId="10" fillId="28" borderId="0" xfId="3" applyFont="1" applyFill="1" applyAlignment="1">
      <alignment vertical="center"/>
    </xf>
    <xf numFmtId="41" fontId="10" fillId="17" borderId="0" xfId="3" applyFont="1" applyFill="1" applyAlignment="1">
      <alignment vertical="center"/>
    </xf>
    <xf numFmtId="10" fontId="10" fillId="17" borderId="0" xfId="2" applyNumberFormat="1" applyFont="1" applyFill="1" applyAlignment="1">
      <alignment vertical="center"/>
    </xf>
    <xf numFmtId="0" fontId="0" fillId="24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10" fontId="10" fillId="0" borderId="0" xfId="2" applyNumberFormat="1" applyFont="1" applyAlignment="1">
      <alignment horizontal="right" vertical="center"/>
    </xf>
    <xf numFmtId="41" fontId="10" fillId="26" borderId="0" xfId="3" applyFont="1" applyFill="1" applyAlignment="1">
      <alignment horizontal="center" vertical="center"/>
    </xf>
    <xf numFmtId="0" fontId="10" fillId="24" borderId="0" xfId="0" applyFont="1" applyFill="1" applyAlignment="1">
      <alignment horizontal="center" vertical="center"/>
    </xf>
    <xf numFmtId="0" fontId="0" fillId="24" borderId="0" xfId="0" applyFont="1" applyFill="1" applyAlignment="1">
      <alignment horizontal="center"/>
    </xf>
    <xf numFmtId="41" fontId="13" fillId="24" borderId="0" xfId="3" applyFont="1" applyFill="1" applyBorder="1" applyAlignment="1">
      <alignment horizontal="center" vertical="center"/>
    </xf>
    <xf numFmtId="165" fontId="10" fillId="11" borderId="0" xfId="1" applyNumberFormat="1" applyFont="1" applyFill="1" applyAlignment="1">
      <alignment vertical="center"/>
    </xf>
    <xf numFmtId="165" fontId="10" fillId="11" borderId="0" xfId="1" applyNumberFormat="1" applyFont="1" applyFill="1" applyAlignment="1">
      <alignment horizontal="right" vertical="center"/>
    </xf>
    <xf numFmtId="41" fontId="10" fillId="4" borderId="0" xfId="0" applyNumberFormat="1" applyFont="1" applyFill="1" applyAlignment="1">
      <alignment horizontal="right" vertical="center"/>
    </xf>
    <xf numFmtId="164" fontId="10" fillId="4" borderId="0" xfId="2" applyNumberFormat="1" applyFont="1" applyFill="1" applyAlignment="1">
      <alignment horizontal="right" vertical="center"/>
    </xf>
    <xf numFmtId="9" fontId="10" fillId="22" borderId="0" xfId="2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0" fillId="2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1" fontId="10" fillId="22" borderId="0" xfId="3" applyFont="1" applyFill="1" applyBorder="1"/>
    <xf numFmtId="41" fontId="10" fillId="24" borderId="0" xfId="0" applyNumberFormat="1" applyFont="1" applyFill="1" applyBorder="1" applyAlignment="1">
      <alignment vertical="center"/>
    </xf>
    <xf numFmtId="41" fontId="10" fillId="22" borderId="0" xfId="3" applyFont="1" applyFill="1" applyBorder="1" applyAlignment="1">
      <alignment horizontal="center"/>
    </xf>
    <xf numFmtId="41" fontId="14" fillId="24" borderId="0" xfId="3" applyFont="1" applyFill="1" applyAlignment="1">
      <alignment horizontal="left" vertical="center"/>
    </xf>
    <xf numFmtId="0" fontId="13" fillId="24" borderId="0" xfId="0" applyFont="1" applyFill="1" applyBorder="1" applyAlignment="1">
      <alignment vertical="center"/>
    </xf>
    <xf numFmtId="3" fontId="0" fillId="24" borderId="0" xfId="0" applyNumberFormat="1" applyFill="1"/>
    <xf numFmtId="41" fontId="0" fillId="24" borderId="0" xfId="3" applyFont="1" applyFill="1" applyAlignment="1"/>
    <xf numFmtId="0" fontId="0" fillId="25" borderId="0" xfId="0" applyFill="1" applyAlignment="1">
      <alignment horizontal="center"/>
    </xf>
    <xf numFmtId="41" fontId="6" fillId="22" borderId="0" xfId="3" applyFont="1" applyFill="1" applyAlignment="1">
      <alignment horizontal="center"/>
    </xf>
    <xf numFmtId="41" fontId="6" fillId="24" borderId="0" xfId="3" applyFont="1" applyFill="1" applyAlignment="1">
      <alignment horizontal="center"/>
    </xf>
    <xf numFmtId="41" fontId="6" fillId="24" borderId="0" xfId="3" applyFont="1" applyFill="1" applyAlignment="1"/>
    <xf numFmtId="41" fontId="15" fillId="24" borderId="0" xfId="3" applyFont="1" applyFill="1" applyAlignment="1">
      <alignment horizontal="left"/>
    </xf>
    <xf numFmtId="165" fontId="0" fillId="24" borderId="0" xfId="1" applyNumberFormat="1" applyFont="1" applyFill="1"/>
    <xf numFmtId="165" fontId="6" fillId="22" borderId="0" xfId="1" applyNumberFormat="1" applyFont="1" applyFill="1" applyAlignment="1">
      <alignment horizontal="center"/>
    </xf>
    <xf numFmtId="41" fontId="1" fillId="24" borderId="0" xfId="3" applyFont="1" applyFill="1" applyAlignment="1"/>
    <xf numFmtId="0" fontId="14" fillId="24" borderId="0" xfId="0" applyFont="1" applyFill="1" applyAlignment="1">
      <alignment vertical="center"/>
    </xf>
    <xf numFmtId="41" fontId="15" fillId="24" borderId="0" xfId="3" applyFont="1" applyFill="1" applyAlignment="1">
      <alignment horizontal="left" vertical="center"/>
    </xf>
    <xf numFmtId="0" fontId="0" fillId="24" borderId="0" xfId="0" applyFont="1" applyFill="1" applyBorder="1" applyAlignment="1">
      <alignment horizontal="center"/>
    </xf>
    <xf numFmtId="3" fontId="0" fillId="24" borderId="0" xfId="0" applyNumberFormat="1" applyFont="1" applyFill="1"/>
    <xf numFmtId="0" fontId="0" fillId="2" borderId="0" xfId="0" applyFont="1" applyFill="1" applyAlignment="1">
      <alignment horizontal="center"/>
    </xf>
    <xf numFmtId="41" fontId="1" fillId="22" borderId="0" xfId="3" applyFont="1" applyFill="1" applyAlignment="1">
      <alignment horizontal="center"/>
    </xf>
    <xf numFmtId="41" fontId="1" fillId="24" borderId="0" xfId="3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7" fillId="5" borderId="0" xfId="1" applyNumberFormat="1" applyFont="1" applyFill="1" applyAlignment="1">
      <alignment horizontal="center" vertical="center"/>
    </xf>
    <xf numFmtId="0" fontId="10" fillId="26" borderId="0" xfId="0" applyFont="1" applyFill="1" applyAlignment="1">
      <alignment horizontal="center" vertical="center"/>
    </xf>
    <xf numFmtId="0" fontId="10" fillId="26" borderId="0" xfId="0" applyFont="1" applyFill="1" applyBorder="1" applyAlignment="1">
      <alignment horizontal="center"/>
    </xf>
    <xf numFmtId="0" fontId="10" fillId="26" borderId="0" xfId="0" applyFont="1" applyFill="1" applyBorder="1" applyAlignment="1">
      <alignment horizontal="center" vertic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1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C057"/>
        </patternFill>
      </fill>
    </dxf>
    <dxf>
      <font>
        <color theme="0"/>
      </font>
      <fill>
        <patternFill>
          <bgColor rgb="FF00763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 tint="4.9989318521683403E-2"/>
      </font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057"/>
      <color rgb="FF00A249"/>
      <color rgb="FF00D05E"/>
      <color rgb="FF007635"/>
      <color rgb="FF00B050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G426"/>
  <sheetViews>
    <sheetView zoomScale="70" zoomScaleNormal="70" workbookViewId="0">
      <pane xSplit="15" topLeftCell="P1" activePane="topRight" state="frozen"/>
      <selection pane="topRight" activeCell="K10" sqref="K10"/>
    </sheetView>
  </sheetViews>
  <sheetFormatPr defaultColWidth="9.109375" defaultRowHeight="14.4"/>
  <cols>
    <col min="1" max="1" width="5" style="1" customWidth="1"/>
    <col min="2" max="2" width="11.33203125" style="1" hidden="1" customWidth="1"/>
    <col min="3" max="3" width="8.5546875" style="1" hidden="1" customWidth="1"/>
    <col min="4" max="4" width="12.88671875" style="1" hidden="1" customWidth="1"/>
    <col min="5" max="5" width="40.6640625" style="1" bestFit="1" customWidth="1"/>
    <col min="6" max="6" width="40.44140625" style="1" hidden="1" customWidth="1"/>
    <col min="7" max="9" width="11.33203125" style="1" customWidth="1"/>
    <col min="10" max="10" width="2.109375" style="1" customWidth="1"/>
    <col min="11" max="11" width="25.88671875" style="1" bestFit="1" customWidth="1"/>
    <col min="12" max="12" width="10.6640625" style="1" customWidth="1"/>
    <col min="13" max="13" width="6" style="1" customWidth="1"/>
    <col min="14" max="14" width="5.5546875" style="15" customWidth="1"/>
    <col min="15" max="15" width="10.5546875" style="1" bestFit="1" customWidth="1"/>
    <col min="16" max="16" width="15" style="2" customWidth="1"/>
    <col min="17" max="17" width="15.44140625" style="20" bestFit="1" customWidth="1"/>
    <col min="18" max="22" width="16.5546875" style="2" hidden="1" customWidth="1"/>
    <col min="23" max="23" width="12.88671875" style="2" customWidth="1"/>
    <col min="24" max="24" width="12.109375" style="2" bestFit="1" customWidth="1"/>
    <col min="25" max="25" width="15" style="2" customWidth="1"/>
    <col min="26" max="26" width="11.88671875" style="2" bestFit="1" customWidth="1"/>
    <col min="27" max="27" width="12.88671875" style="2" bestFit="1" customWidth="1"/>
    <col min="28" max="28" width="10.109375" style="1" bestFit="1" customWidth="1"/>
    <col min="29" max="29" width="11.6640625" style="2" bestFit="1" customWidth="1"/>
    <col min="30" max="30" width="8.44140625" style="2" bestFit="1" customWidth="1"/>
    <col min="31" max="31" width="9.88671875" style="2" customWidth="1"/>
    <col min="32" max="32" width="15" style="2" customWidth="1"/>
    <col min="33" max="33" width="6.6640625" style="20" customWidth="1"/>
    <col min="34" max="34" width="6.6640625" style="20" bestFit="1" customWidth="1"/>
    <col min="35" max="35" width="10.88671875" style="20" bestFit="1" customWidth="1"/>
    <col min="36" max="36" width="24.5546875" style="2" customWidth="1"/>
    <col min="37" max="37" width="8.5546875" style="2" customWidth="1"/>
    <col min="38" max="38" width="8.44140625" style="2" customWidth="1"/>
    <col min="39" max="39" width="8.88671875" style="2" customWidth="1"/>
    <col min="40" max="40" width="14.33203125" style="3" customWidth="1"/>
    <col min="41" max="41" width="9.33203125" style="3" customWidth="1"/>
    <col min="42" max="42" width="9.44140625" style="3" bestFit="1" customWidth="1"/>
    <col min="43" max="43" width="62" style="1" bestFit="1" customWidth="1"/>
    <col min="44" max="47" width="10.109375" style="1" customWidth="1"/>
    <col min="48" max="48" width="9.44140625" style="1" customWidth="1"/>
    <col min="49" max="51" width="10.109375" style="1" customWidth="1"/>
    <col min="52" max="52" width="11.33203125" style="1" customWidth="1"/>
    <col min="53" max="53" width="10.109375" style="1" customWidth="1"/>
    <col min="54" max="57" width="11.33203125" style="1" bestFit="1" customWidth="1"/>
    <col min="58" max="58" width="9.33203125" style="1" bestFit="1" customWidth="1"/>
    <col min="59" max="63" width="11.33203125" style="1" bestFit="1" customWidth="1"/>
    <col min="64" max="67" width="11.44140625" style="1" customWidth="1"/>
    <col min="68" max="68" width="7.109375" style="1" customWidth="1"/>
    <col min="69" max="69" width="11.44140625" style="1" customWidth="1"/>
    <col min="70" max="70" width="25.6640625" style="1" customWidth="1"/>
    <col min="71" max="71" width="9" style="1" bestFit="1" customWidth="1"/>
    <col min="72" max="72" width="7" style="1" bestFit="1" customWidth="1"/>
    <col min="73" max="75" width="9" style="1" bestFit="1" customWidth="1"/>
    <col min="76" max="76" width="11.44140625" style="1" customWidth="1"/>
    <col min="77" max="77" width="7" style="1" bestFit="1" customWidth="1"/>
    <col min="78" max="78" width="9" style="1" bestFit="1" customWidth="1"/>
    <col min="79" max="79" width="12.88671875" style="1" bestFit="1" customWidth="1"/>
    <col min="80" max="80" width="7.109375" style="1" customWidth="1"/>
    <col min="81" max="81" width="12.88671875" style="1" bestFit="1" customWidth="1"/>
    <col min="82" max="82" width="25.6640625" style="1" customWidth="1"/>
    <col min="83" max="83" width="9" style="1" bestFit="1" customWidth="1"/>
    <col min="84" max="84" width="7" style="1" bestFit="1" customWidth="1"/>
    <col min="85" max="87" width="9" style="1" bestFit="1" customWidth="1"/>
    <col min="88" max="88" width="11.88671875" style="1" bestFit="1" customWidth="1"/>
    <col min="89" max="89" width="7" style="1" bestFit="1" customWidth="1"/>
    <col min="90" max="90" width="8" style="1" bestFit="1" customWidth="1"/>
    <col min="91" max="91" width="12.88671875" style="1" bestFit="1" customWidth="1"/>
    <col min="92" max="92" width="8" style="1" bestFit="1" customWidth="1"/>
    <col min="93" max="93" width="12.88671875" style="1" customWidth="1"/>
    <col min="94" max="94" width="17" style="1" bestFit="1" customWidth="1"/>
    <col min="95" max="95" width="8" style="1" bestFit="1" customWidth="1"/>
    <col min="96" max="96" width="7" style="1" bestFit="1" customWidth="1"/>
    <col min="97" max="97" width="8" style="1" bestFit="1" customWidth="1"/>
    <col min="98" max="98" width="9" style="1" bestFit="1" customWidth="1"/>
    <col min="99" max="99" width="8" style="1" bestFit="1" customWidth="1"/>
    <col min="100" max="101" width="11.44140625" style="1" customWidth="1"/>
    <col min="102" max="102" width="7.109375" style="1" customWidth="1"/>
    <col min="103" max="103" width="11.44140625" style="1" customWidth="1"/>
    <col min="104" max="104" width="25.6640625" style="1" customWidth="1"/>
    <col min="105" max="107" width="11.6640625" style="1" bestFit="1" customWidth="1"/>
    <col min="108" max="109" width="11.44140625" style="1" customWidth="1"/>
    <col min="110" max="110" width="7.109375" style="1" customWidth="1"/>
    <col min="111" max="111" width="11.44140625" style="1" customWidth="1"/>
    <col min="112" max="112" width="25.6640625" style="1" customWidth="1"/>
    <col min="113" max="115" width="11.6640625" style="1" bestFit="1" customWidth="1"/>
    <col min="116" max="117" width="11.44140625" style="1" customWidth="1"/>
    <col min="118" max="118" width="7.109375" style="1" customWidth="1"/>
    <col min="119" max="119" width="11.44140625" style="1" customWidth="1"/>
    <col min="120" max="120" width="25.6640625" style="1" customWidth="1"/>
    <col min="121" max="124" width="11.6640625" style="1" bestFit="1" customWidth="1"/>
    <col min="125" max="125" width="8" style="30" bestFit="1" customWidth="1"/>
    <col min="126" max="126" width="12" style="1" bestFit="1" customWidth="1"/>
    <col min="127" max="127" width="12.88671875" style="1" customWidth="1"/>
    <col min="128" max="128" width="8.109375" style="1" bestFit="1" customWidth="1"/>
    <col min="129" max="129" width="13" style="1" bestFit="1" customWidth="1"/>
    <col min="130" max="130" width="17" style="1" bestFit="1" customWidth="1"/>
    <col min="131" max="131" width="11.6640625" style="1" bestFit="1" customWidth="1"/>
    <col min="132" max="132" width="9.6640625" style="1" bestFit="1" customWidth="1"/>
    <col min="133" max="135" width="12" style="1" bestFit="1" customWidth="1"/>
    <col min="136" max="136" width="11.44140625" style="1" customWidth="1"/>
    <col min="137" max="137" width="9.5546875" style="1" bestFit="1" customWidth="1"/>
    <col min="138" max="138" width="11.88671875" style="1" customWidth="1"/>
    <col min="139" max="139" width="12.88671875" style="1" customWidth="1"/>
    <col min="140" max="140" width="7.109375" style="1" customWidth="1"/>
    <col min="141" max="141" width="11.44140625" style="1" customWidth="1"/>
    <col min="142" max="142" width="25.6640625" style="1" customWidth="1"/>
    <col min="143" max="143" width="11.6640625" style="1" bestFit="1" customWidth="1"/>
    <col min="144" max="144" width="9.5546875" style="1" bestFit="1" customWidth="1"/>
    <col min="145" max="147" width="11.6640625" style="1" bestFit="1" customWidth="1"/>
    <col min="148" max="149" width="11.44140625" style="1" customWidth="1"/>
    <col min="150" max="150" width="7.109375" style="1" customWidth="1"/>
    <col min="151" max="151" width="11.44140625" style="1" customWidth="1"/>
    <col min="152" max="152" width="25.6640625" style="1" customWidth="1"/>
    <col min="153" max="154" width="11.88671875" style="1" bestFit="1" customWidth="1"/>
    <col min="155" max="155" width="11.6640625" style="1" bestFit="1" customWidth="1"/>
    <col min="156" max="157" width="11.44140625" style="1" customWidth="1"/>
    <col min="158" max="158" width="7.109375" style="1" customWidth="1"/>
    <col min="159" max="159" width="11.44140625" style="1" customWidth="1"/>
    <col min="160" max="160" width="25.6640625" style="1" customWidth="1"/>
    <col min="161" max="163" width="10.5546875" style="1" bestFit="1" customWidth="1"/>
    <col min="164" max="16384" width="9.109375" style="1"/>
  </cols>
  <sheetData>
    <row r="1" spans="1:163" ht="15" customHeight="1">
      <c r="A1" s="18"/>
      <c r="B1" s="18"/>
      <c r="C1" s="18"/>
      <c r="D1" s="18"/>
      <c r="E1" s="17"/>
      <c r="G1" s="19"/>
      <c r="H1" s="19"/>
      <c r="I1" s="19"/>
      <c r="J1" s="19"/>
    </row>
    <row r="2" spans="1:163" ht="15" customHeight="1">
      <c r="A2" s="18"/>
      <c r="B2" s="18"/>
      <c r="C2" s="18"/>
      <c r="D2" s="18"/>
      <c r="E2" s="17"/>
      <c r="G2" s="19"/>
      <c r="H2" s="19"/>
      <c r="I2" s="19"/>
      <c r="J2" s="19"/>
      <c r="Q2" s="23" t="s">
        <v>47</v>
      </c>
      <c r="AG2" s="55" t="s">
        <v>125</v>
      </c>
      <c r="AN2" s="54">
        <f>COUNTBLANK(AN7:AN426)</f>
        <v>0</v>
      </c>
    </row>
    <row r="3" spans="1:163" ht="15" customHeight="1">
      <c r="A3" s="18"/>
      <c r="B3" s="18"/>
      <c r="C3" s="18"/>
      <c r="D3" s="18"/>
      <c r="E3" s="17"/>
      <c r="G3" s="19"/>
      <c r="H3" s="19"/>
      <c r="I3" s="19"/>
      <c r="J3" s="19"/>
      <c r="M3" s="26" t="s">
        <v>49</v>
      </c>
      <c r="N3" s="27"/>
      <c r="Q3" s="22" t="s">
        <v>45</v>
      </c>
      <c r="AH3" s="24" t="s">
        <v>48</v>
      </c>
      <c r="AN3" s="51">
        <f>COUNTA(AN7:AN426)</f>
        <v>420</v>
      </c>
      <c r="AR3" s="31">
        <f>IF(BN3&lt;&gt;"", AF3-BN3, 0)</f>
        <v>-87325</v>
      </c>
      <c r="AS3" s="31">
        <f>IF(CV3&lt;&gt;"", AF3-CV3, 0)</f>
        <v>-75060</v>
      </c>
      <c r="AT3" s="31">
        <f>IF(BZ3&lt;&gt;"", AF3-BZ3, 0)</f>
        <v>-85200</v>
      </c>
      <c r="AU3" s="31">
        <f>IF(DD3&lt;&gt;"", AF3-DD3, 0)</f>
        <v>-74520</v>
      </c>
      <c r="AV3" s="31">
        <f t="shared" ref="AV3" si="0">IF(CL3&lt;&gt;"", AF3-CL3, 0)</f>
        <v>-71350</v>
      </c>
      <c r="AW3" s="31">
        <f>IF(DL3&lt;&gt;"", AF3-DL3, 0)</f>
        <v>-65855</v>
      </c>
      <c r="AX3" s="31">
        <f>IF(DV3&lt;&gt;"",AF3-DV3, 0)</f>
        <v>-66795</v>
      </c>
      <c r="AY3" s="31">
        <f>IF(EH3&lt;&gt;"",AF3-EH3, 0)</f>
        <v>-65695</v>
      </c>
      <c r="AZ3" s="31">
        <f>IF(ER3&lt;&gt;"", AF3-ER3, 0)</f>
        <v>-97143</v>
      </c>
      <c r="BA3" s="31">
        <f>IF(EZ3&lt;&gt;"", AF3-EZ3, 0)</f>
        <v>0</v>
      </c>
      <c r="BB3" s="32">
        <f>IF(BS3&lt;&gt;"", AK3-BS3, 0)</f>
        <v>-76300</v>
      </c>
      <c r="BC3" s="32">
        <f t="shared" ref="BC3" si="1">IF(DA3&lt;&gt;"", AK3-DA3, 0)</f>
        <v>0</v>
      </c>
      <c r="BD3" s="32">
        <f>IF(CE3&lt;&gt;"", AK3-CE3, )</f>
        <v>-79720</v>
      </c>
      <c r="BE3" s="32">
        <f t="shared" ref="BE3" si="2">IF(DI3&lt;&gt;"", AK3-DI3, 0)</f>
        <v>0</v>
      </c>
      <c r="BF3" s="32">
        <f t="shared" ref="BF3" si="3">IF(CQ3&lt;&gt;"",AK3-CQ3, 0)</f>
        <v>-91283</v>
      </c>
      <c r="BG3" s="32">
        <f t="shared" ref="BG3" si="4">IF(DQ3&lt;&gt;"", AK3-DQ3, 0)</f>
        <v>0</v>
      </c>
      <c r="BH3" s="32">
        <f>IF(EA3&lt;&gt;"", AK3-EA3, 0)</f>
        <v>-72010</v>
      </c>
      <c r="BI3" s="32">
        <f>IF(EM3&lt;&gt;"", AK3-EM3, 0)</f>
        <v>-90913</v>
      </c>
      <c r="BJ3" s="32">
        <f t="shared" ref="BJ3" si="5">IF(EW3&lt;&gt;"", AK3-EW3, 0)</f>
        <v>0</v>
      </c>
      <c r="BK3" s="32">
        <f t="shared" ref="BK3" si="6">IF(FE3&lt;&gt;"", AK3-FE3, 0)</f>
        <v>0</v>
      </c>
      <c r="BL3" s="41">
        <v>84825</v>
      </c>
      <c r="BM3" s="41">
        <v>2500</v>
      </c>
      <c r="BN3" s="41">
        <f>BL3+BM3</f>
        <v>87325</v>
      </c>
      <c r="BO3" s="37">
        <f>BN3-Y3</f>
        <v>87325</v>
      </c>
      <c r="BP3" s="38">
        <f>BO3/BL3</f>
        <v>1.0294724432655467</v>
      </c>
      <c r="BQ3" s="37">
        <f>AF3-BN3</f>
        <v>-87325</v>
      </c>
      <c r="BR3" s="40" t="s">
        <v>29</v>
      </c>
      <c r="BS3" s="50">
        <f>BU3+BT3</f>
        <v>76300</v>
      </c>
      <c r="BT3" s="41">
        <v>2500</v>
      </c>
      <c r="BU3" s="41">
        <v>73800</v>
      </c>
      <c r="BV3" s="41">
        <v>90900</v>
      </c>
      <c r="BW3" s="41">
        <v>54450</v>
      </c>
      <c r="BX3" s="36">
        <v>82200</v>
      </c>
      <c r="BY3" s="33">
        <v>3000</v>
      </c>
      <c r="BZ3" s="33">
        <f>BX3+BY3</f>
        <v>85200</v>
      </c>
      <c r="CA3" s="33">
        <f>BZ3-Y3</f>
        <v>85200</v>
      </c>
      <c r="CB3" s="34">
        <f>CA3/BX3</f>
        <v>1.0364963503649636</v>
      </c>
      <c r="CC3" s="33">
        <f>AF3-BZ3</f>
        <v>-85200</v>
      </c>
      <c r="CD3" s="35" t="s">
        <v>29</v>
      </c>
      <c r="CE3" s="36">
        <f>CG3+CF3</f>
        <v>79720</v>
      </c>
      <c r="CF3" s="36">
        <v>2500</v>
      </c>
      <c r="CG3" s="36">
        <v>77220</v>
      </c>
      <c r="CH3" s="36">
        <v>82350</v>
      </c>
      <c r="CI3" s="36">
        <v>69750</v>
      </c>
      <c r="CJ3" s="41">
        <v>68850</v>
      </c>
      <c r="CK3" s="41">
        <v>2500</v>
      </c>
      <c r="CL3" s="37">
        <f>CJ3+CK3</f>
        <v>71350</v>
      </c>
      <c r="CM3" s="37">
        <f>CL3-Y3</f>
        <v>71350</v>
      </c>
      <c r="CN3" s="38">
        <f t="shared" ref="CN3" si="7">CM3/CJ3</f>
        <v>1.0363108206245462</v>
      </c>
      <c r="CO3" s="37">
        <f>AF3-CL3</f>
        <v>-71350</v>
      </c>
      <c r="CP3" s="40" t="s">
        <v>29</v>
      </c>
      <c r="CQ3" s="41">
        <f>CS3+CR3</f>
        <v>91283</v>
      </c>
      <c r="CR3" s="41">
        <v>2500</v>
      </c>
      <c r="CS3" s="41">
        <v>88783</v>
      </c>
      <c r="CT3" s="41">
        <v>109350</v>
      </c>
      <c r="CU3" s="41">
        <v>71550</v>
      </c>
      <c r="CV3" s="36">
        <v>75060</v>
      </c>
      <c r="CW3" s="36">
        <f>CV3-Y3</f>
        <v>75060</v>
      </c>
      <c r="CX3" s="46">
        <f>CW3/CV3</f>
        <v>1</v>
      </c>
      <c r="CY3" s="36">
        <f>AF3-CV3</f>
        <v>-75060</v>
      </c>
      <c r="CZ3" s="35" t="s">
        <v>29</v>
      </c>
      <c r="DD3" s="37">
        <v>74520</v>
      </c>
      <c r="DE3" s="37">
        <f>DD3-Y3</f>
        <v>74520</v>
      </c>
      <c r="DF3" s="38">
        <f>DE3/DD3</f>
        <v>1</v>
      </c>
      <c r="DG3" s="37">
        <f>AF3-DD3</f>
        <v>-74520</v>
      </c>
      <c r="DH3" s="42" t="s">
        <v>29</v>
      </c>
      <c r="DL3" s="33">
        <v>65855</v>
      </c>
      <c r="DM3" s="33">
        <f>DL3-Y3</f>
        <v>65855</v>
      </c>
      <c r="DN3" s="34">
        <f>DM3/DL3</f>
        <v>1</v>
      </c>
      <c r="DO3" s="33">
        <f>AF3-DL3</f>
        <v>-65855</v>
      </c>
      <c r="DP3" s="43" t="s">
        <v>29</v>
      </c>
      <c r="DT3" s="41">
        <v>64295</v>
      </c>
      <c r="DU3" s="37">
        <v>2500</v>
      </c>
      <c r="DV3" s="41">
        <f>DT3+DU3</f>
        <v>66795</v>
      </c>
      <c r="DW3" s="37">
        <f>DV3-Y3</f>
        <v>66795</v>
      </c>
      <c r="DX3" s="38">
        <f>DW3/DV3</f>
        <v>1</v>
      </c>
      <c r="DY3" s="37">
        <f>AF3-DV3</f>
        <v>-66795</v>
      </c>
      <c r="DZ3" s="40" t="s">
        <v>29</v>
      </c>
      <c r="EA3" s="41">
        <f>EC3+EB3</f>
        <v>72010</v>
      </c>
      <c r="EB3" s="41">
        <v>2500</v>
      </c>
      <c r="EC3" s="41">
        <v>69510</v>
      </c>
      <c r="ED3" s="41">
        <v>82687</v>
      </c>
      <c r="EE3" s="41">
        <v>54862</v>
      </c>
      <c r="EF3" s="33">
        <v>63195</v>
      </c>
      <c r="EG3" s="33">
        <v>2500</v>
      </c>
      <c r="EH3" s="33">
        <f>EF3+EG3</f>
        <v>65695</v>
      </c>
      <c r="EI3" s="33">
        <f>EH3-Y3</f>
        <v>65695</v>
      </c>
      <c r="EJ3" s="44">
        <f>EI3/EH3</f>
        <v>1</v>
      </c>
      <c r="EK3" s="45">
        <f>AF3-EH3</f>
        <v>-65695</v>
      </c>
      <c r="EL3" s="43" t="s">
        <v>29</v>
      </c>
      <c r="EM3" s="49">
        <f>EO3+EN3</f>
        <v>90913</v>
      </c>
      <c r="EN3" s="36">
        <v>2500</v>
      </c>
      <c r="EO3" s="36">
        <v>88413</v>
      </c>
      <c r="EP3" s="36">
        <v>97755</v>
      </c>
      <c r="EQ3" s="36">
        <v>66412</v>
      </c>
      <c r="ER3" s="41">
        <v>97143</v>
      </c>
      <c r="ES3" s="37">
        <f>ER3-Y3</f>
        <v>97143</v>
      </c>
      <c r="ET3" s="38">
        <f>ES3/ER3</f>
        <v>1</v>
      </c>
      <c r="EU3" s="37">
        <f>AF3-ER3</f>
        <v>-97143</v>
      </c>
      <c r="EV3" s="40" t="s">
        <v>29</v>
      </c>
    </row>
    <row r="4" spans="1:163">
      <c r="E4" s="15"/>
      <c r="M4" s="25" t="s">
        <v>46</v>
      </c>
      <c r="N4" s="27"/>
      <c r="Q4" s="16" t="s">
        <v>46</v>
      </c>
      <c r="AG4" s="20">
        <f>COUNTA(AG7:AG426)</f>
        <v>407</v>
      </c>
      <c r="AH4" s="20">
        <f>COUNTA(AH7:AH426)</f>
        <v>0</v>
      </c>
      <c r="AI4" s="20">
        <f>COUNTA(AI7:AI426)</f>
        <v>407</v>
      </c>
      <c r="AN4" s="59">
        <f>AVERAGEIF(AN7:AN426, "&gt;0")</f>
        <v>0.43381857887986097</v>
      </c>
    </row>
    <row r="5" spans="1:163">
      <c r="J5" s="1">
        <f>COUNTA(#REF!)</f>
        <v>1</v>
      </c>
      <c r="Z5" s="145" t="s">
        <v>53</v>
      </c>
      <c r="AA5" s="145"/>
      <c r="AB5" s="145"/>
      <c r="AF5" s="145" t="s">
        <v>53</v>
      </c>
      <c r="AG5" s="145"/>
      <c r="AH5" s="145"/>
      <c r="AI5" s="145"/>
      <c r="AJ5" s="145"/>
      <c r="AK5" s="145"/>
      <c r="AL5" s="145"/>
      <c r="AM5" s="145"/>
      <c r="AN5" s="58" t="e">
        <f>AVERAGE(AN7:AN426)</f>
        <v>#DIV/0!</v>
      </c>
      <c r="AP5" s="1">
        <f>COUNTA(AP7:AP426)</f>
        <v>420</v>
      </c>
      <c r="AR5" s="146" t="s">
        <v>0</v>
      </c>
      <c r="AS5" s="146"/>
      <c r="AT5" s="146"/>
      <c r="AU5" s="146"/>
      <c r="AV5" s="146"/>
      <c r="AW5" s="146"/>
      <c r="AX5" s="146"/>
      <c r="AY5" s="146"/>
      <c r="AZ5" s="146"/>
      <c r="BA5" s="146"/>
      <c r="BB5" s="147" t="s">
        <v>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4" t="s">
        <v>2</v>
      </c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 t="s">
        <v>4</v>
      </c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 t="s">
        <v>6</v>
      </c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 t="s">
        <v>3</v>
      </c>
      <c r="CW5" s="144"/>
      <c r="CX5" s="144"/>
      <c r="CY5" s="144"/>
      <c r="CZ5" s="144"/>
      <c r="DA5" s="144"/>
      <c r="DB5" s="144"/>
      <c r="DC5" s="144"/>
      <c r="DD5" s="144" t="s">
        <v>5</v>
      </c>
      <c r="DE5" s="144"/>
      <c r="DF5" s="144"/>
      <c r="DG5" s="144"/>
      <c r="DH5" s="144"/>
      <c r="DI5" s="144"/>
      <c r="DJ5" s="144"/>
      <c r="DK5" s="144"/>
      <c r="DL5" s="144" t="s">
        <v>7</v>
      </c>
      <c r="DM5" s="144"/>
      <c r="DN5" s="144"/>
      <c r="DO5" s="144"/>
      <c r="DP5" s="144"/>
      <c r="DQ5" s="144"/>
      <c r="DR5" s="144"/>
      <c r="DS5" s="144"/>
      <c r="DT5" s="144" t="s">
        <v>8</v>
      </c>
      <c r="DU5" s="148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 t="s">
        <v>9</v>
      </c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 t="s">
        <v>44</v>
      </c>
      <c r="ES5" s="144"/>
      <c r="ET5" s="144"/>
      <c r="EU5" s="144"/>
      <c r="EV5" s="144"/>
      <c r="EW5" s="144"/>
      <c r="EX5" s="144"/>
      <c r="EY5" s="144"/>
      <c r="EZ5" s="144" t="s">
        <v>10</v>
      </c>
      <c r="FA5" s="144"/>
      <c r="FB5" s="144"/>
      <c r="FC5" s="144"/>
      <c r="FD5" s="144"/>
      <c r="FE5" s="144"/>
      <c r="FF5" s="144"/>
      <c r="FG5" s="144"/>
    </row>
    <row r="6" spans="1:163">
      <c r="A6" s="4" t="s">
        <v>11</v>
      </c>
      <c r="B6" s="4" t="s">
        <v>13</v>
      </c>
      <c r="C6" s="4" t="s">
        <v>14</v>
      </c>
      <c r="D6" s="4" t="s">
        <v>15</v>
      </c>
      <c r="E6" s="4" t="s">
        <v>16</v>
      </c>
      <c r="F6" s="1" t="s">
        <v>16</v>
      </c>
      <c r="G6" s="4" t="s">
        <v>12</v>
      </c>
      <c r="H6" s="4"/>
      <c r="I6" s="4"/>
      <c r="J6" s="4"/>
      <c r="K6" s="1" t="s">
        <v>17</v>
      </c>
      <c r="L6" s="1" t="s">
        <v>18</v>
      </c>
      <c r="O6" s="1" t="s">
        <v>19</v>
      </c>
      <c r="P6" s="2" t="s">
        <v>20</v>
      </c>
      <c r="Q6" s="2" t="s">
        <v>21</v>
      </c>
      <c r="W6" s="2" t="s">
        <v>22</v>
      </c>
      <c r="X6" s="2" t="s">
        <v>27</v>
      </c>
      <c r="Y6" s="2" t="s">
        <v>23</v>
      </c>
      <c r="Z6" s="5" t="s">
        <v>24</v>
      </c>
      <c r="AA6" s="5" t="s">
        <v>25</v>
      </c>
      <c r="AB6" s="6" t="s">
        <v>26</v>
      </c>
      <c r="AC6" s="7" t="s">
        <v>27</v>
      </c>
      <c r="AF6" s="8" t="s">
        <v>28</v>
      </c>
      <c r="AG6" s="21"/>
      <c r="AH6" s="21"/>
      <c r="AI6" s="21"/>
      <c r="AJ6" s="2" t="s">
        <v>25</v>
      </c>
      <c r="AK6" s="9" t="s">
        <v>29</v>
      </c>
      <c r="AL6" s="9" t="s">
        <v>30</v>
      </c>
      <c r="AM6" s="9" t="s">
        <v>31</v>
      </c>
      <c r="AN6" s="10" t="s">
        <v>32</v>
      </c>
      <c r="AO6" s="3" t="s">
        <v>22</v>
      </c>
      <c r="AQ6" s="1" t="s">
        <v>33</v>
      </c>
      <c r="AR6" s="11" t="s">
        <v>34</v>
      </c>
      <c r="AS6" s="11" t="s">
        <v>35</v>
      </c>
      <c r="AT6" s="11" t="s">
        <v>36</v>
      </c>
      <c r="AU6" s="11" t="s">
        <v>37</v>
      </c>
      <c r="AV6" s="11" t="s">
        <v>38</v>
      </c>
      <c r="AW6" s="11" t="s">
        <v>39</v>
      </c>
      <c r="AX6" s="11" t="s">
        <v>40</v>
      </c>
      <c r="AY6" s="11" t="s">
        <v>41</v>
      </c>
      <c r="AZ6" s="11" t="s">
        <v>42</v>
      </c>
      <c r="BA6" s="11" t="s">
        <v>43</v>
      </c>
      <c r="BB6" s="12" t="s">
        <v>34</v>
      </c>
      <c r="BC6" s="12" t="s">
        <v>35</v>
      </c>
      <c r="BD6" s="12" t="s">
        <v>36</v>
      </c>
      <c r="BE6" s="12" t="s">
        <v>37</v>
      </c>
      <c r="BF6" s="12" t="s">
        <v>38</v>
      </c>
      <c r="BG6" s="12" t="s">
        <v>39</v>
      </c>
      <c r="BH6" s="12" t="s">
        <v>40</v>
      </c>
      <c r="BI6" s="12" t="s">
        <v>41</v>
      </c>
      <c r="BJ6" s="12" t="s">
        <v>42</v>
      </c>
      <c r="BK6" s="12" t="s">
        <v>43</v>
      </c>
      <c r="BL6" s="13" t="s">
        <v>24</v>
      </c>
      <c r="BM6" s="13"/>
      <c r="BN6" s="13"/>
      <c r="BO6" s="13" t="s">
        <v>25</v>
      </c>
      <c r="BP6" s="13" t="s">
        <v>26</v>
      </c>
      <c r="BQ6" s="13" t="s">
        <v>22</v>
      </c>
      <c r="BR6" s="13" t="s">
        <v>33</v>
      </c>
      <c r="BS6" s="13"/>
      <c r="BT6" s="13"/>
      <c r="BU6" s="13">
        <v>1</v>
      </c>
      <c r="BV6" s="13">
        <v>2</v>
      </c>
      <c r="BW6" s="13">
        <v>3</v>
      </c>
      <c r="BX6" s="14" t="s">
        <v>24</v>
      </c>
      <c r="BY6" s="14"/>
      <c r="BZ6" s="14"/>
      <c r="CA6" s="14" t="s">
        <v>25</v>
      </c>
      <c r="CB6" s="14" t="s">
        <v>26</v>
      </c>
      <c r="CC6" s="14" t="s">
        <v>22</v>
      </c>
      <c r="CD6" s="14" t="s">
        <v>33</v>
      </c>
      <c r="CE6" s="14"/>
      <c r="CF6" s="14"/>
      <c r="CG6" s="14">
        <v>1</v>
      </c>
      <c r="CH6" s="14">
        <v>2</v>
      </c>
      <c r="CI6" s="14">
        <v>3</v>
      </c>
      <c r="CJ6" s="13" t="s">
        <v>24</v>
      </c>
      <c r="CK6" s="13"/>
      <c r="CL6" s="13"/>
      <c r="CM6" s="13" t="s">
        <v>25</v>
      </c>
      <c r="CN6" s="13" t="s">
        <v>26</v>
      </c>
      <c r="CO6" s="13" t="s">
        <v>22</v>
      </c>
      <c r="CP6" s="13" t="s">
        <v>33</v>
      </c>
      <c r="CQ6" s="13"/>
      <c r="CR6" s="13"/>
      <c r="CS6" s="13">
        <v>1</v>
      </c>
      <c r="CT6" s="13">
        <v>2</v>
      </c>
      <c r="CU6" s="13">
        <v>3</v>
      </c>
      <c r="CV6" s="14" t="s">
        <v>24</v>
      </c>
      <c r="CW6" s="14" t="s">
        <v>25</v>
      </c>
      <c r="CX6" s="14" t="s">
        <v>26</v>
      </c>
      <c r="CY6" s="14" t="s">
        <v>22</v>
      </c>
      <c r="CZ6" s="14" t="s">
        <v>33</v>
      </c>
      <c r="DA6" s="14">
        <v>1</v>
      </c>
      <c r="DB6" s="14">
        <v>2</v>
      </c>
      <c r="DC6" s="14">
        <v>3</v>
      </c>
      <c r="DD6" s="13" t="s">
        <v>24</v>
      </c>
      <c r="DE6" s="13" t="s">
        <v>25</v>
      </c>
      <c r="DF6" s="13" t="s">
        <v>26</v>
      </c>
      <c r="DG6" s="13" t="s">
        <v>22</v>
      </c>
      <c r="DH6" s="13" t="s">
        <v>33</v>
      </c>
      <c r="DI6" s="13">
        <v>1</v>
      </c>
      <c r="DJ6" s="13">
        <v>2</v>
      </c>
      <c r="DK6" s="13">
        <v>3</v>
      </c>
      <c r="DL6" s="14" t="s">
        <v>24</v>
      </c>
      <c r="DM6" s="14" t="s">
        <v>25</v>
      </c>
      <c r="DN6" s="14" t="s">
        <v>26</v>
      </c>
      <c r="DO6" s="14" t="s">
        <v>22</v>
      </c>
      <c r="DP6" s="14" t="s">
        <v>33</v>
      </c>
      <c r="DQ6" s="14">
        <v>1</v>
      </c>
      <c r="DR6" s="14">
        <v>2</v>
      </c>
      <c r="DS6" s="14">
        <v>3</v>
      </c>
      <c r="DT6" s="13"/>
      <c r="DU6" s="47"/>
      <c r="DV6" s="13" t="s">
        <v>24</v>
      </c>
      <c r="DW6" s="13" t="s">
        <v>25</v>
      </c>
      <c r="DX6" s="13" t="s">
        <v>26</v>
      </c>
      <c r="DY6" s="13" t="s">
        <v>22</v>
      </c>
      <c r="DZ6" s="13" t="s">
        <v>33</v>
      </c>
      <c r="EA6" s="13"/>
      <c r="EB6" s="13"/>
      <c r="EC6" s="13">
        <v>1</v>
      </c>
      <c r="ED6" s="13">
        <v>2</v>
      </c>
      <c r="EE6" s="13">
        <v>3</v>
      </c>
      <c r="EF6" s="14"/>
      <c r="EG6" s="14"/>
      <c r="EH6" s="14" t="s">
        <v>24</v>
      </c>
      <c r="EI6" s="14" t="s">
        <v>25</v>
      </c>
      <c r="EJ6" s="14" t="s">
        <v>26</v>
      </c>
      <c r="EK6" s="14" t="s">
        <v>22</v>
      </c>
      <c r="EL6" s="14" t="s">
        <v>33</v>
      </c>
      <c r="EM6" s="14"/>
      <c r="EN6" s="14"/>
      <c r="EO6" s="14">
        <v>1</v>
      </c>
      <c r="EP6" s="14">
        <v>2</v>
      </c>
      <c r="EQ6" s="14">
        <v>3</v>
      </c>
      <c r="ER6" s="13" t="s">
        <v>24</v>
      </c>
      <c r="ES6" s="13" t="s">
        <v>25</v>
      </c>
      <c r="ET6" s="13" t="s">
        <v>26</v>
      </c>
      <c r="EU6" s="13" t="s">
        <v>22</v>
      </c>
      <c r="EV6" s="13" t="s">
        <v>33</v>
      </c>
      <c r="EW6" s="13">
        <v>1</v>
      </c>
      <c r="EX6" s="13">
        <v>2</v>
      </c>
      <c r="EY6" s="13">
        <v>3</v>
      </c>
      <c r="EZ6" s="14" t="s">
        <v>24</v>
      </c>
      <c r="FA6" s="14" t="s">
        <v>25</v>
      </c>
      <c r="FB6" s="14" t="s">
        <v>26</v>
      </c>
      <c r="FC6" s="14" t="s">
        <v>22</v>
      </c>
      <c r="FD6" s="14" t="s">
        <v>33</v>
      </c>
      <c r="FE6" s="14">
        <v>1</v>
      </c>
      <c r="FF6" s="14">
        <v>2</v>
      </c>
      <c r="FG6" s="14">
        <v>3</v>
      </c>
    </row>
    <row r="7" spans="1:163">
      <c r="A7" s="60">
        <v>218</v>
      </c>
      <c r="E7" s="63" t="s">
        <v>219</v>
      </c>
      <c r="F7" s="56" t="s">
        <v>95</v>
      </c>
      <c r="G7" s="65" t="s">
        <v>598</v>
      </c>
      <c r="H7" s="66" t="str">
        <f t="shared" ref="H7:H70" si="8">REPLACE(G7,1,3, )</f>
        <v xml:space="preserve"> 548</v>
      </c>
      <c r="I7" s="67" t="s">
        <v>598</v>
      </c>
      <c r="J7" s="68">
        <f t="shared" ref="J7:J70" si="9">IF(G7=I7,0,1)</f>
        <v>0</v>
      </c>
      <c r="K7" s="63" t="s">
        <v>326</v>
      </c>
      <c r="L7" s="1" t="s">
        <v>46</v>
      </c>
      <c r="O7" s="64" t="s">
        <v>789</v>
      </c>
      <c r="P7" s="82">
        <v>0</v>
      </c>
      <c r="Q7" s="74">
        <f t="shared" ref="Q7:Q21" si="10">U7+V7</f>
        <v>116500</v>
      </c>
      <c r="R7" s="73">
        <v>116500</v>
      </c>
      <c r="S7" s="72">
        <f t="shared" ref="S7:S21" si="11">R7-U7</f>
        <v>8550</v>
      </c>
      <c r="T7" s="68" t="s">
        <v>791</v>
      </c>
      <c r="U7" s="73">
        <f t="shared" ref="U7:U21" si="12">R7-V7</f>
        <v>107950</v>
      </c>
      <c r="V7" s="73">
        <f>2000+5500+600+200+250</f>
        <v>8550</v>
      </c>
      <c r="W7" s="2">
        <f t="shared" ref="W7:W70" si="13">Q7-P7</f>
        <v>116500</v>
      </c>
      <c r="Y7" s="80">
        <f t="shared" ref="Y7:Y70" si="14">Q7</f>
        <v>116500</v>
      </c>
      <c r="Z7" s="93"/>
      <c r="AA7" s="93"/>
      <c r="AB7" s="94"/>
      <c r="AE7" s="2">
        <v>140000</v>
      </c>
      <c r="AF7" s="28">
        <f t="shared" ref="AF7:AF38" si="15">IF(O7="Baru",AE7,AD7)</f>
        <v>140000</v>
      </c>
      <c r="AG7" s="55" t="s">
        <v>125</v>
      </c>
      <c r="AI7" s="20" t="s">
        <v>45</v>
      </c>
      <c r="AJ7" s="2">
        <f t="shared" ref="AJ7:AJ70" si="16">AF7-Y7</f>
        <v>23500</v>
      </c>
      <c r="AN7" s="29">
        <f t="shared" ref="AN7:AN70" si="17">AJ7/AF7</f>
        <v>0.16785714285714284</v>
      </c>
      <c r="AP7" s="3" t="s">
        <v>29</v>
      </c>
      <c r="AQ7" s="1" t="s">
        <v>190</v>
      </c>
      <c r="AR7" s="31">
        <f t="shared" ref="AR7:AR70" si="18">IF(BN7&lt;&gt;"", AF7-BN7, 0)</f>
        <v>21300</v>
      </c>
      <c r="AS7" s="31">
        <f t="shared" ref="AS7:AS70" si="19">IF(CV7&lt;&gt;"", AF7-CV7, 0)</f>
        <v>0</v>
      </c>
      <c r="AT7" s="31">
        <f>IF(BZ7&lt;&gt;"", AF7-BZ7, 0)</f>
        <v>0</v>
      </c>
      <c r="AU7" s="31">
        <f t="shared" ref="AU7:AU70" si="20">IF(DD7&lt;&gt;"", AF7-DD7, 0)</f>
        <v>0</v>
      </c>
      <c r="AV7" s="31">
        <f t="shared" ref="AV7:AV70" si="21">IF(CL7&lt;&gt;"", AF7-CL7, 0)</f>
        <v>0</v>
      </c>
      <c r="AW7" s="31">
        <f t="shared" ref="AW7:AW70" si="22">IF(DL7&lt;&gt;"", AF7-DL7, 0)</f>
        <v>0</v>
      </c>
      <c r="AX7" s="31">
        <f t="shared" ref="AX7:AX70" si="23">IF(DV7&lt;&gt;"",AF7-DV7, 0)</f>
        <v>0</v>
      </c>
      <c r="AY7" s="31">
        <f t="shared" ref="AY7:AY70" si="24">IF(EH7&lt;&gt;"",AF7-EH7, 0)</f>
        <v>0</v>
      </c>
      <c r="AZ7" s="31">
        <f t="shared" ref="AZ7:AZ70" si="25">IF(ER7&lt;&gt;"", AF7-ER7, 0)</f>
        <v>0</v>
      </c>
      <c r="BA7" s="31">
        <f t="shared" ref="BA7:BA70" si="26">IF(EZ7&lt;&gt;"", AF7-EZ7, 0)</f>
        <v>0</v>
      </c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41">
        <v>115200</v>
      </c>
      <c r="BM7" s="41">
        <v>3500</v>
      </c>
      <c r="BN7" s="41">
        <f>BL7+BM7</f>
        <v>118700</v>
      </c>
      <c r="BO7" s="37">
        <f>BN7-Y7</f>
        <v>2200</v>
      </c>
      <c r="BP7" s="38">
        <f>BO7/BL7</f>
        <v>1.9097222222222224E-2</v>
      </c>
      <c r="BQ7" s="37">
        <f>AF7-BN7</f>
        <v>21300</v>
      </c>
      <c r="BR7" s="40" t="s">
        <v>29</v>
      </c>
      <c r="BS7" s="39"/>
      <c r="BT7" s="39"/>
      <c r="BU7" s="39"/>
      <c r="BV7" s="39"/>
      <c r="BW7" s="39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35"/>
      <c r="CW7" s="35"/>
      <c r="CX7" s="35"/>
      <c r="CY7" s="35"/>
      <c r="CZ7" s="35"/>
      <c r="DA7" s="35"/>
      <c r="DB7" s="35"/>
      <c r="DC7" s="35"/>
      <c r="DD7" s="40"/>
      <c r="DE7" s="40"/>
      <c r="DF7" s="40"/>
      <c r="DG7" s="40"/>
      <c r="DH7" s="40"/>
      <c r="DI7" s="40"/>
      <c r="DJ7" s="40"/>
      <c r="DK7" s="40"/>
      <c r="DL7" s="35"/>
      <c r="DM7" s="35"/>
      <c r="DN7" s="35"/>
      <c r="DO7" s="35"/>
      <c r="DP7" s="35"/>
      <c r="DQ7" s="35"/>
      <c r="DR7" s="35"/>
      <c r="DS7" s="35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40"/>
      <c r="ES7" s="40"/>
      <c r="ET7" s="40"/>
      <c r="EU7" s="40"/>
      <c r="EV7" s="40"/>
      <c r="EW7" s="40"/>
      <c r="EX7" s="40"/>
      <c r="EY7" s="40"/>
      <c r="EZ7" s="35"/>
      <c r="FA7" s="35"/>
      <c r="FB7" s="35"/>
      <c r="FC7" s="35"/>
      <c r="FD7" s="35"/>
      <c r="FE7" s="35"/>
      <c r="FF7" s="35"/>
      <c r="FG7" s="35"/>
    </row>
    <row r="8" spans="1:163">
      <c r="A8" s="60">
        <v>220</v>
      </c>
      <c r="E8" s="63" t="s">
        <v>218</v>
      </c>
      <c r="F8" s="56" t="s">
        <v>95</v>
      </c>
      <c r="G8" s="65" t="s">
        <v>600</v>
      </c>
      <c r="H8" s="66" t="str">
        <f t="shared" si="8"/>
        <v xml:space="preserve"> 212</v>
      </c>
      <c r="I8" s="67" t="s">
        <v>600</v>
      </c>
      <c r="J8" s="68">
        <f t="shared" si="9"/>
        <v>0</v>
      </c>
      <c r="K8" s="63" t="s">
        <v>326</v>
      </c>
      <c r="L8" s="1" t="s">
        <v>46</v>
      </c>
      <c r="O8" s="64" t="s">
        <v>789</v>
      </c>
      <c r="P8" s="82">
        <v>0</v>
      </c>
      <c r="Q8" s="74">
        <f t="shared" si="10"/>
        <v>116500</v>
      </c>
      <c r="R8" s="71">
        <v>116500</v>
      </c>
      <c r="S8" s="72">
        <f t="shared" si="11"/>
        <v>8550</v>
      </c>
      <c r="T8" s="68" t="s">
        <v>791</v>
      </c>
      <c r="U8" s="73">
        <f t="shared" si="12"/>
        <v>107950</v>
      </c>
      <c r="V8" s="73">
        <f>2000+5500+600+200+250</f>
        <v>8550</v>
      </c>
      <c r="W8" s="2">
        <f t="shared" si="13"/>
        <v>116500</v>
      </c>
      <c r="Y8" s="80">
        <f t="shared" si="14"/>
        <v>116500</v>
      </c>
      <c r="Z8" s="93"/>
      <c r="AA8" s="93"/>
      <c r="AB8" s="94"/>
      <c r="AE8" s="2">
        <v>127000</v>
      </c>
      <c r="AF8" s="28">
        <f t="shared" si="15"/>
        <v>127000</v>
      </c>
      <c r="AG8" s="55" t="s">
        <v>125</v>
      </c>
      <c r="AI8" s="20" t="s">
        <v>45</v>
      </c>
      <c r="AJ8" s="2">
        <f t="shared" si="16"/>
        <v>10500</v>
      </c>
      <c r="AN8" s="29">
        <f t="shared" si="17"/>
        <v>8.2677165354330714E-2</v>
      </c>
      <c r="AP8" s="3" t="s">
        <v>29</v>
      </c>
      <c r="AQ8" s="1" t="s">
        <v>190</v>
      </c>
      <c r="AR8" s="31">
        <f t="shared" si="18"/>
        <v>0</v>
      </c>
      <c r="AS8" s="31">
        <f t="shared" si="19"/>
        <v>0</v>
      </c>
      <c r="AT8" s="31">
        <f>IF(BZ8&lt;&gt;"", AF8-BZ8, 0)</f>
        <v>0</v>
      </c>
      <c r="AU8" s="31">
        <f t="shared" si="20"/>
        <v>0</v>
      </c>
      <c r="AV8" s="31">
        <f t="shared" si="21"/>
        <v>0</v>
      </c>
      <c r="AW8" s="31">
        <f t="shared" si="22"/>
        <v>0</v>
      </c>
      <c r="AX8" s="31">
        <f t="shared" si="23"/>
        <v>0</v>
      </c>
      <c r="AY8" s="31">
        <f t="shared" si="24"/>
        <v>0</v>
      </c>
      <c r="AZ8" s="31">
        <f t="shared" si="25"/>
        <v>0</v>
      </c>
      <c r="BA8" s="31">
        <f t="shared" si="26"/>
        <v>0</v>
      </c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35"/>
      <c r="CW8" s="35"/>
      <c r="CX8" s="35"/>
      <c r="CY8" s="35"/>
      <c r="CZ8" s="35"/>
      <c r="DA8" s="35"/>
      <c r="DB8" s="35"/>
      <c r="DC8" s="35"/>
      <c r="DD8" s="40"/>
      <c r="DE8" s="40"/>
      <c r="DF8" s="40"/>
      <c r="DG8" s="40"/>
      <c r="DH8" s="40"/>
      <c r="DI8" s="40"/>
      <c r="DJ8" s="40"/>
      <c r="DK8" s="40"/>
      <c r="DL8" s="35"/>
      <c r="DM8" s="35"/>
      <c r="DN8" s="35"/>
      <c r="DO8" s="35"/>
      <c r="DP8" s="35"/>
      <c r="DQ8" s="35"/>
      <c r="DR8" s="35"/>
      <c r="DS8" s="35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40"/>
      <c r="ES8" s="40"/>
      <c r="ET8" s="40"/>
      <c r="EU8" s="40"/>
      <c r="EV8" s="40"/>
      <c r="EW8" s="40"/>
      <c r="EX8" s="40"/>
      <c r="EY8" s="40"/>
      <c r="EZ8" s="35"/>
      <c r="FA8" s="35"/>
      <c r="FB8" s="35"/>
      <c r="FC8" s="35"/>
      <c r="FD8" s="35"/>
      <c r="FE8" s="35"/>
      <c r="FF8" s="35"/>
      <c r="FG8" s="35"/>
    </row>
    <row r="9" spans="1:163">
      <c r="A9" s="62">
        <v>256</v>
      </c>
      <c r="E9" s="63" t="s">
        <v>218</v>
      </c>
      <c r="F9" s="56" t="s">
        <v>52</v>
      </c>
      <c r="G9" s="65" t="s">
        <v>630</v>
      </c>
      <c r="H9" s="66" t="str">
        <f t="shared" si="8"/>
        <v xml:space="preserve"> 778</v>
      </c>
      <c r="I9" s="67" t="s">
        <v>630</v>
      </c>
      <c r="J9" s="68">
        <f t="shared" si="9"/>
        <v>0</v>
      </c>
      <c r="K9" s="63" t="s">
        <v>326</v>
      </c>
      <c r="L9" s="1" t="s">
        <v>46</v>
      </c>
      <c r="O9" s="64" t="s">
        <v>789</v>
      </c>
      <c r="P9" s="82">
        <v>0</v>
      </c>
      <c r="Q9" s="74">
        <f t="shared" si="10"/>
        <v>112500</v>
      </c>
      <c r="R9" s="71">
        <v>112500</v>
      </c>
      <c r="S9" s="72">
        <f t="shared" si="11"/>
        <v>8550</v>
      </c>
      <c r="T9" s="68" t="s">
        <v>791</v>
      </c>
      <c r="U9" s="73">
        <f t="shared" si="12"/>
        <v>103950</v>
      </c>
      <c r="V9" s="73">
        <f>2000+5500+600+200+250</f>
        <v>8550</v>
      </c>
      <c r="W9" s="2">
        <f t="shared" si="13"/>
        <v>112500</v>
      </c>
      <c r="Y9" s="80">
        <f t="shared" si="14"/>
        <v>112500</v>
      </c>
      <c r="Z9" s="93"/>
      <c r="AA9" s="93"/>
      <c r="AB9" s="94"/>
      <c r="AC9" s="2">
        <v>8000</v>
      </c>
      <c r="AD9" s="2">
        <f>Z9+AC9</f>
        <v>8000</v>
      </c>
      <c r="AF9" s="28">
        <f t="shared" si="15"/>
        <v>0</v>
      </c>
      <c r="AG9" s="55" t="s">
        <v>125</v>
      </c>
      <c r="AI9" s="20" t="s">
        <v>45</v>
      </c>
      <c r="AJ9" s="2">
        <f t="shared" si="16"/>
        <v>-112500</v>
      </c>
      <c r="AN9" s="29" t="e">
        <f t="shared" si="17"/>
        <v>#DIV/0!</v>
      </c>
      <c r="AO9" s="29" t="e">
        <f>AN9-AB9</f>
        <v>#DIV/0!</v>
      </c>
      <c r="AP9" s="3" t="s">
        <v>140</v>
      </c>
      <c r="AQ9" s="1" t="s">
        <v>187</v>
      </c>
      <c r="AR9" s="31">
        <f t="shared" si="18"/>
        <v>-225800</v>
      </c>
      <c r="AS9" s="31">
        <f t="shared" si="19"/>
        <v>-242190</v>
      </c>
      <c r="AT9" s="31">
        <f>IF(BZ9&lt;&gt;"", AF9-BZ9, 0)</f>
        <v>0</v>
      </c>
      <c r="AU9" s="31">
        <f t="shared" si="20"/>
        <v>0</v>
      </c>
      <c r="AV9" s="31">
        <f t="shared" si="21"/>
        <v>0</v>
      </c>
      <c r="AW9" s="31">
        <f t="shared" si="22"/>
        <v>0</v>
      </c>
      <c r="AX9" s="31">
        <f t="shared" si="23"/>
        <v>0</v>
      </c>
      <c r="AY9" s="31">
        <f t="shared" si="24"/>
        <v>-209762</v>
      </c>
      <c r="AZ9" s="31">
        <f t="shared" si="25"/>
        <v>-249999</v>
      </c>
      <c r="BA9" s="31">
        <f t="shared" si="26"/>
        <v>0</v>
      </c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41">
        <v>217800</v>
      </c>
      <c r="BM9" s="41">
        <v>8000</v>
      </c>
      <c r="BN9" s="41">
        <f>BL9+BM9</f>
        <v>225800</v>
      </c>
      <c r="BO9" s="41">
        <f>BN9-Y9</f>
        <v>113300</v>
      </c>
      <c r="BP9" s="41">
        <f>BO9/BL9</f>
        <v>0.52020202020202022</v>
      </c>
      <c r="BQ9" s="41">
        <f>AF9-BN9</f>
        <v>-225800</v>
      </c>
      <c r="BR9" s="40" t="s">
        <v>98</v>
      </c>
      <c r="BS9" s="39"/>
      <c r="BT9" s="39"/>
      <c r="BU9" s="39"/>
      <c r="BV9" s="39"/>
      <c r="BW9" s="39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36">
        <v>242190</v>
      </c>
      <c r="CW9" s="36">
        <f>CV9-Y9</f>
        <v>129690</v>
      </c>
      <c r="CX9" s="52">
        <f>CW9/CV9</f>
        <v>0.53548866592344857</v>
      </c>
      <c r="CY9" s="36">
        <f>AF9-CV9</f>
        <v>-242190</v>
      </c>
      <c r="CZ9" s="35" t="s">
        <v>100</v>
      </c>
      <c r="DA9" s="35"/>
      <c r="DB9" s="35"/>
      <c r="DC9" s="35"/>
      <c r="DD9" s="40"/>
      <c r="DE9" s="40"/>
      <c r="DF9" s="40"/>
      <c r="DG9" s="40"/>
      <c r="DH9" s="40"/>
      <c r="DI9" s="40"/>
      <c r="DJ9" s="40"/>
      <c r="DK9" s="40"/>
      <c r="DL9" s="35"/>
      <c r="DM9" s="35"/>
      <c r="DN9" s="35"/>
      <c r="DO9" s="35"/>
      <c r="DP9" s="35"/>
      <c r="DQ9" s="35"/>
      <c r="DR9" s="35"/>
      <c r="DS9" s="35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36">
        <v>199762</v>
      </c>
      <c r="EG9" s="33">
        <v>10000</v>
      </c>
      <c r="EH9" s="33">
        <f>EF9+EG9</f>
        <v>209762</v>
      </c>
      <c r="EI9" s="33">
        <f>EH9-Y9</f>
        <v>97262</v>
      </c>
      <c r="EJ9" s="44">
        <f>EI9/EH9</f>
        <v>0.46367788255260722</v>
      </c>
      <c r="EK9" s="45">
        <f>AF9-EH9</f>
        <v>-209762</v>
      </c>
      <c r="EL9" s="35" t="s">
        <v>110</v>
      </c>
      <c r="EM9" s="35"/>
      <c r="EN9" s="35"/>
      <c r="EO9" s="35"/>
      <c r="EP9" s="35"/>
      <c r="EQ9" s="35"/>
      <c r="ER9" s="41">
        <v>249999</v>
      </c>
      <c r="ES9" s="37">
        <f>ER9-Y9</f>
        <v>137499</v>
      </c>
      <c r="ET9" s="38">
        <f>ES9/ER9</f>
        <v>0.54999819999279997</v>
      </c>
      <c r="EU9" s="37">
        <f>AF9-ER9</f>
        <v>-249999</v>
      </c>
      <c r="EV9" s="40" t="s">
        <v>107</v>
      </c>
      <c r="EW9" s="40"/>
      <c r="EX9" s="40"/>
      <c r="EY9" s="40"/>
      <c r="EZ9" s="35"/>
      <c r="FA9" s="35"/>
      <c r="FB9" s="35"/>
      <c r="FC9" s="35"/>
      <c r="FD9" s="35"/>
      <c r="FE9" s="35"/>
      <c r="FF9" s="35"/>
      <c r="FG9" s="35"/>
    </row>
    <row r="10" spans="1:163">
      <c r="A10" s="62">
        <v>232</v>
      </c>
      <c r="E10" s="63" t="s">
        <v>93</v>
      </c>
      <c r="F10" s="56" t="s">
        <v>92</v>
      </c>
      <c r="G10" s="65" t="s">
        <v>608</v>
      </c>
      <c r="H10" s="66" t="str">
        <f t="shared" si="8"/>
        <v xml:space="preserve"> 522</v>
      </c>
      <c r="I10" s="67" t="s">
        <v>608</v>
      </c>
      <c r="J10" s="68">
        <f t="shared" si="9"/>
        <v>0</v>
      </c>
      <c r="K10" s="63" t="s">
        <v>326</v>
      </c>
      <c r="L10" s="1" t="s">
        <v>46</v>
      </c>
      <c r="O10" s="88" t="s">
        <v>790</v>
      </c>
      <c r="P10" s="89">
        <v>0</v>
      </c>
      <c r="Q10" s="90">
        <f t="shared" si="10"/>
        <v>0</v>
      </c>
      <c r="R10" s="73"/>
      <c r="S10" s="72">
        <f t="shared" si="11"/>
        <v>0</v>
      </c>
      <c r="T10" s="68"/>
      <c r="U10" s="73">
        <f t="shared" si="12"/>
        <v>0</v>
      </c>
      <c r="V10" s="73"/>
      <c r="W10" s="2">
        <f t="shared" si="13"/>
        <v>0</v>
      </c>
      <c r="Y10" s="81">
        <f t="shared" si="14"/>
        <v>0</v>
      </c>
      <c r="Z10" s="96">
        <v>0</v>
      </c>
      <c r="AA10" s="97">
        <f>U10-Z10</f>
        <v>0</v>
      </c>
      <c r="AB10" s="98" t="e">
        <f>AA10/Z10</f>
        <v>#DIV/0!</v>
      </c>
      <c r="AC10" s="2">
        <v>3000</v>
      </c>
      <c r="AD10" s="2">
        <f>Z10+AC10</f>
        <v>3000</v>
      </c>
      <c r="AF10" s="28">
        <f t="shared" si="15"/>
        <v>3000</v>
      </c>
      <c r="AG10" s="55" t="s">
        <v>125</v>
      </c>
      <c r="AI10" s="20" t="s">
        <v>45</v>
      </c>
      <c r="AJ10" s="2">
        <f t="shared" si="16"/>
        <v>3000</v>
      </c>
      <c r="AN10" s="29">
        <f t="shared" si="17"/>
        <v>1</v>
      </c>
      <c r="AO10" s="29" t="e">
        <f>AN10-AB10</f>
        <v>#DIV/0!</v>
      </c>
      <c r="AP10" s="3" t="s">
        <v>29</v>
      </c>
      <c r="AQ10" s="1" t="s">
        <v>190</v>
      </c>
      <c r="AR10" s="31">
        <f t="shared" si="18"/>
        <v>0</v>
      </c>
      <c r="AS10" s="31">
        <f t="shared" si="19"/>
        <v>0</v>
      </c>
      <c r="AT10" s="31">
        <f>IF(BZ10&lt;&gt;"", AF10-BZ10, 0)</f>
        <v>0</v>
      </c>
      <c r="AU10" s="31">
        <f t="shared" si="20"/>
        <v>0</v>
      </c>
      <c r="AV10" s="31">
        <f t="shared" si="21"/>
        <v>0</v>
      </c>
      <c r="AW10" s="31">
        <f t="shared" si="22"/>
        <v>0</v>
      </c>
      <c r="AX10" s="31">
        <f t="shared" si="23"/>
        <v>0</v>
      </c>
      <c r="AY10" s="31">
        <f t="shared" si="24"/>
        <v>0</v>
      </c>
      <c r="AZ10" s="31">
        <f t="shared" si="25"/>
        <v>0</v>
      </c>
      <c r="BA10" s="31">
        <f t="shared" si="26"/>
        <v>0</v>
      </c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35"/>
      <c r="CW10" s="35"/>
      <c r="CX10" s="35"/>
      <c r="CY10" s="35"/>
      <c r="CZ10" s="35"/>
      <c r="DA10" s="35"/>
      <c r="DB10" s="35"/>
      <c r="DC10" s="35"/>
      <c r="DD10" s="40"/>
      <c r="DE10" s="40"/>
      <c r="DF10" s="40"/>
      <c r="DG10" s="40"/>
      <c r="DH10" s="40"/>
      <c r="DI10" s="40"/>
      <c r="DJ10" s="40"/>
      <c r="DK10" s="40"/>
      <c r="DL10" s="35"/>
      <c r="DM10" s="35"/>
      <c r="DN10" s="35"/>
      <c r="DO10" s="35"/>
      <c r="DP10" s="35"/>
      <c r="DQ10" s="35"/>
      <c r="DR10" s="35"/>
      <c r="DS10" s="35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40"/>
      <c r="ES10" s="40"/>
      <c r="ET10" s="40"/>
      <c r="EU10" s="40"/>
      <c r="EV10" s="40"/>
      <c r="EW10" s="40"/>
      <c r="EX10" s="40"/>
      <c r="EY10" s="40"/>
      <c r="EZ10" s="35"/>
      <c r="FA10" s="35"/>
      <c r="FB10" s="35"/>
      <c r="FC10" s="35"/>
      <c r="FD10" s="35"/>
      <c r="FE10" s="35"/>
      <c r="FF10" s="35"/>
      <c r="FG10" s="35"/>
    </row>
    <row r="11" spans="1:163">
      <c r="A11" s="60">
        <v>208</v>
      </c>
      <c r="E11" s="63" t="s">
        <v>173</v>
      </c>
      <c r="F11" s="56" t="s">
        <v>67</v>
      </c>
      <c r="G11" s="70" t="s">
        <v>588</v>
      </c>
      <c r="H11" s="66" t="str">
        <f t="shared" si="8"/>
        <v xml:space="preserve"> 242</v>
      </c>
      <c r="I11" s="67" t="s">
        <v>588</v>
      </c>
      <c r="J11" s="68">
        <f t="shared" si="9"/>
        <v>0</v>
      </c>
      <c r="K11" s="63" t="s">
        <v>321</v>
      </c>
      <c r="L11" s="1" t="s">
        <v>46</v>
      </c>
      <c r="O11" s="64" t="s">
        <v>789</v>
      </c>
      <c r="P11" s="82">
        <v>0</v>
      </c>
      <c r="Q11" s="74">
        <f t="shared" si="10"/>
        <v>92500</v>
      </c>
      <c r="R11" s="71">
        <v>92500</v>
      </c>
      <c r="S11" s="72">
        <f t="shared" si="11"/>
        <v>8550</v>
      </c>
      <c r="T11" s="68"/>
      <c r="U11" s="73">
        <f t="shared" si="12"/>
        <v>83950</v>
      </c>
      <c r="V11" s="73">
        <f>2000+5500+600+200+250</f>
        <v>8550</v>
      </c>
      <c r="W11" s="2">
        <f t="shared" si="13"/>
        <v>92500</v>
      </c>
      <c r="Y11" s="80">
        <f t="shared" si="14"/>
        <v>92500</v>
      </c>
      <c r="Z11" s="93"/>
      <c r="AA11" s="93"/>
      <c r="AB11" s="94"/>
      <c r="AE11" s="2">
        <v>185000</v>
      </c>
      <c r="AF11" s="28">
        <f t="shared" si="15"/>
        <v>185000</v>
      </c>
      <c r="AG11" s="55" t="s">
        <v>125</v>
      </c>
      <c r="AI11" s="20" t="s">
        <v>205</v>
      </c>
      <c r="AJ11" s="2">
        <f t="shared" si="16"/>
        <v>92500</v>
      </c>
      <c r="AN11" s="29">
        <f t="shared" si="17"/>
        <v>0.5</v>
      </c>
      <c r="AP11" s="3" t="s">
        <v>158</v>
      </c>
      <c r="AR11" s="31">
        <f t="shared" si="18"/>
        <v>-11350</v>
      </c>
      <c r="AS11" s="31">
        <f t="shared" si="19"/>
        <v>17492</v>
      </c>
      <c r="AT11" s="31">
        <f>IF(BX11&lt;&gt;"", AF11-BX11, 0)</f>
        <v>17150</v>
      </c>
      <c r="AU11" s="31">
        <f t="shared" si="20"/>
        <v>0</v>
      </c>
      <c r="AV11" s="31">
        <f t="shared" si="21"/>
        <v>0</v>
      </c>
      <c r="AW11" s="31">
        <f t="shared" si="22"/>
        <v>0</v>
      </c>
      <c r="AX11" s="31">
        <f t="shared" si="23"/>
        <v>0</v>
      </c>
      <c r="AY11" s="31">
        <f t="shared" si="24"/>
        <v>0</v>
      </c>
      <c r="AZ11" s="31">
        <f t="shared" si="25"/>
        <v>0</v>
      </c>
      <c r="BA11" s="31">
        <f t="shared" si="26"/>
        <v>0</v>
      </c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41">
        <v>190350</v>
      </c>
      <c r="BM11" s="41">
        <v>6000</v>
      </c>
      <c r="BN11" s="41">
        <f>BL11+BM11</f>
        <v>196350</v>
      </c>
      <c r="BO11" s="37">
        <f>BN11-Y11</f>
        <v>103850</v>
      </c>
      <c r="BP11" s="38">
        <f>BO11/BL11</f>
        <v>0.54557394273706328</v>
      </c>
      <c r="BQ11" s="37">
        <f>AF11-BN11</f>
        <v>-11350</v>
      </c>
      <c r="BR11" s="40" t="s">
        <v>29</v>
      </c>
      <c r="BS11" s="39"/>
      <c r="BT11" s="39"/>
      <c r="BU11" s="39"/>
      <c r="BV11" s="39"/>
      <c r="BW11" s="39"/>
      <c r="BX11" s="36">
        <v>167850</v>
      </c>
      <c r="BY11" s="33">
        <v>6000</v>
      </c>
      <c r="BZ11" s="33">
        <f>BX11+BY11</f>
        <v>173850</v>
      </c>
      <c r="CA11" s="33">
        <f>BZ11-Y11</f>
        <v>81350</v>
      </c>
      <c r="CB11" s="34">
        <f>CA11/BX11</f>
        <v>0.48465892165624069</v>
      </c>
      <c r="CC11" s="33">
        <f>AF11-BZ11</f>
        <v>11150</v>
      </c>
      <c r="CD11" s="35" t="s">
        <v>111</v>
      </c>
      <c r="CE11" s="48"/>
      <c r="CF11" s="48"/>
      <c r="CG11" s="48"/>
      <c r="CH11" s="48"/>
      <c r="CI11" s="48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36">
        <v>167508</v>
      </c>
      <c r="CW11" s="36">
        <f>CV11-Y11</f>
        <v>75008</v>
      </c>
      <c r="CX11" s="46">
        <f>CW11/CV11</f>
        <v>0.44778756835494427</v>
      </c>
      <c r="CY11" s="36">
        <f>AF11-CV11</f>
        <v>17492</v>
      </c>
      <c r="CZ11" s="35" t="s">
        <v>29</v>
      </c>
      <c r="DA11" s="35"/>
      <c r="DB11" s="35"/>
      <c r="DC11" s="35"/>
      <c r="DD11" s="40"/>
      <c r="DE11" s="40"/>
      <c r="DF11" s="40"/>
      <c r="DG11" s="40"/>
      <c r="DH11" s="40"/>
      <c r="DI11" s="40"/>
      <c r="DJ11" s="40"/>
      <c r="DK11" s="40"/>
      <c r="DL11" s="35"/>
      <c r="DM11" s="35"/>
      <c r="DN11" s="35"/>
      <c r="DO11" s="35"/>
      <c r="DP11" s="35"/>
      <c r="DQ11" s="35"/>
      <c r="DR11" s="35"/>
      <c r="DS11" s="35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40"/>
      <c r="ES11" s="40"/>
      <c r="ET11" s="40"/>
      <c r="EU11" s="40"/>
      <c r="EV11" s="40"/>
      <c r="EW11" s="40"/>
      <c r="EX11" s="40"/>
      <c r="EY11" s="40"/>
      <c r="EZ11" s="35"/>
      <c r="FA11" s="35"/>
      <c r="FB11" s="35"/>
      <c r="FC11" s="35"/>
      <c r="FD11" s="35"/>
      <c r="FE11" s="35"/>
      <c r="FF11" s="35"/>
      <c r="FG11" s="35"/>
    </row>
    <row r="12" spans="1:163">
      <c r="A12" s="62">
        <v>203</v>
      </c>
      <c r="E12" s="63" t="s">
        <v>173</v>
      </c>
      <c r="F12" s="56" t="s">
        <v>67</v>
      </c>
      <c r="G12" s="70" t="s">
        <v>583</v>
      </c>
      <c r="H12" s="66" t="str">
        <f t="shared" si="8"/>
        <v xml:space="preserve"> 145</v>
      </c>
      <c r="I12" s="67" t="s">
        <v>583</v>
      </c>
      <c r="J12" s="68">
        <f t="shared" si="9"/>
        <v>0</v>
      </c>
      <c r="K12" s="63" t="s">
        <v>319</v>
      </c>
      <c r="L12" s="1" t="s">
        <v>46</v>
      </c>
      <c r="O12" s="64" t="s">
        <v>789</v>
      </c>
      <c r="P12" s="82">
        <v>0</v>
      </c>
      <c r="Q12" s="74">
        <f t="shared" si="10"/>
        <v>0</v>
      </c>
      <c r="R12" s="71"/>
      <c r="S12" s="72">
        <f t="shared" si="11"/>
        <v>0</v>
      </c>
      <c r="T12" s="68"/>
      <c r="U12" s="73">
        <f t="shared" si="12"/>
        <v>0</v>
      </c>
      <c r="V12" s="73"/>
      <c r="W12" s="2">
        <f t="shared" si="13"/>
        <v>0</v>
      </c>
      <c r="Y12" s="80">
        <f t="shared" si="14"/>
        <v>0</v>
      </c>
      <c r="Z12" s="93"/>
      <c r="AA12" s="93"/>
      <c r="AB12" s="94"/>
      <c r="AC12" s="2">
        <v>5000</v>
      </c>
      <c r="AD12" s="2">
        <f>Z12+AC12</f>
        <v>5000</v>
      </c>
      <c r="AF12" s="28">
        <f t="shared" si="15"/>
        <v>0</v>
      </c>
      <c r="AG12" s="55" t="s">
        <v>125</v>
      </c>
      <c r="AI12" s="20" t="s">
        <v>205</v>
      </c>
      <c r="AJ12" s="2">
        <f t="shared" si="16"/>
        <v>0</v>
      </c>
      <c r="AN12" s="29" t="e">
        <f t="shared" si="17"/>
        <v>#DIV/0!</v>
      </c>
      <c r="AO12" s="29" t="e">
        <f>AN12-AB12</f>
        <v>#DIV/0!</v>
      </c>
      <c r="AP12" s="3" t="s">
        <v>158</v>
      </c>
      <c r="AR12" s="31">
        <f t="shared" si="18"/>
        <v>-189675</v>
      </c>
      <c r="AS12" s="31">
        <f t="shared" si="19"/>
        <v>-178704</v>
      </c>
      <c r="AT12" s="31">
        <f>IF(BX12&lt;&gt;"", AF12-BX12, 0)</f>
        <v>-189112</v>
      </c>
      <c r="AU12" s="31">
        <f t="shared" si="20"/>
        <v>-203467</v>
      </c>
      <c r="AV12" s="31">
        <f t="shared" si="21"/>
        <v>0</v>
      </c>
      <c r="AW12" s="31">
        <f t="shared" si="22"/>
        <v>-194135</v>
      </c>
      <c r="AX12" s="31">
        <f t="shared" si="23"/>
        <v>0</v>
      </c>
      <c r="AY12" s="31">
        <f t="shared" si="24"/>
        <v>0</v>
      </c>
      <c r="AZ12" s="31">
        <f t="shared" si="25"/>
        <v>-224083</v>
      </c>
      <c r="BA12" s="31">
        <f t="shared" si="26"/>
        <v>0</v>
      </c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41">
        <v>183675</v>
      </c>
      <c r="BM12" s="41">
        <v>6000</v>
      </c>
      <c r="BN12" s="41">
        <f>BL12+BM12</f>
        <v>189675</v>
      </c>
      <c r="BO12" s="37">
        <f>BN12-Y12</f>
        <v>189675</v>
      </c>
      <c r="BP12" s="38">
        <f>BO12/BL12</f>
        <v>1.0326663944467129</v>
      </c>
      <c r="BQ12" s="37">
        <f>AF12-BN12</f>
        <v>-189675</v>
      </c>
      <c r="BR12" s="40" t="s">
        <v>29</v>
      </c>
      <c r="BS12" s="39"/>
      <c r="BT12" s="39"/>
      <c r="BU12" s="39"/>
      <c r="BV12" s="39"/>
      <c r="BW12" s="39"/>
      <c r="BX12" s="36">
        <v>189112</v>
      </c>
      <c r="BY12" s="33">
        <v>6000</v>
      </c>
      <c r="BZ12" s="33">
        <f>BX12+BY12</f>
        <v>195112</v>
      </c>
      <c r="CA12" s="33">
        <f>BZ12-Y12</f>
        <v>195112</v>
      </c>
      <c r="CB12" s="34">
        <f>CA12/BX12</f>
        <v>1.0317272304242988</v>
      </c>
      <c r="CC12" s="33">
        <f>AF12-BZ12</f>
        <v>-195112</v>
      </c>
      <c r="CD12" s="35" t="s">
        <v>29</v>
      </c>
      <c r="CE12" s="48"/>
      <c r="CF12" s="48"/>
      <c r="CG12" s="48"/>
      <c r="CH12" s="48"/>
      <c r="CI12" s="48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36">
        <v>178704</v>
      </c>
      <c r="CW12" s="36">
        <f>CV12-Y12</f>
        <v>178704</v>
      </c>
      <c r="CX12" s="46">
        <f>CW12/CV12</f>
        <v>1</v>
      </c>
      <c r="CY12" s="36">
        <f>AF12-CV12</f>
        <v>-178704</v>
      </c>
      <c r="CZ12" s="35" t="s">
        <v>29</v>
      </c>
      <c r="DA12" s="35"/>
      <c r="DB12" s="35"/>
      <c r="DC12" s="35"/>
      <c r="DD12" s="41">
        <v>203467</v>
      </c>
      <c r="DE12" s="37">
        <f>DD12-Y12</f>
        <v>203467</v>
      </c>
      <c r="DF12" s="38">
        <f>DE12/DD12</f>
        <v>1</v>
      </c>
      <c r="DG12" s="37">
        <f>AF12-DD12</f>
        <v>-203467</v>
      </c>
      <c r="DH12" s="40" t="s">
        <v>29</v>
      </c>
      <c r="DI12" s="40"/>
      <c r="DJ12" s="40"/>
      <c r="DK12" s="40"/>
      <c r="DL12" s="36">
        <v>194135</v>
      </c>
      <c r="DM12" s="33">
        <f>DL12-Y12</f>
        <v>194135</v>
      </c>
      <c r="DN12" s="34">
        <f>DM12/DL12</f>
        <v>1</v>
      </c>
      <c r="DO12" s="33">
        <f>AF12-DL12</f>
        <v>-194135</v>
      </c>
      <c r="DP12" s="35" t="s">
        <v>29</v>
      </c>
      <c r="DQ12" s="35"/>
      <c r="DR12" s="35"/>
      <c r="DS12" s="35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41">
        <v>224083</v>
      </c>
      <c r="ES12" s="37">
        <f>ER12-Y12</f>
        <v>224083</v>
      </c>
      <c r="ET12" s="38">
        <f>ES12/ER12</f>
        <v>1</v>
      </c>
      <c r="EU12" s="37">
        <f>AF12-ER12</f>
        <v>-224083</v>
      </c>
      <c r="EV12" s="40" t="s">
        <v>29</v>
      </c>
      <c r="EW12" s="40"/>
      <c r="EX12" s="40"/>
      <c r="EY12" s="40"/>
      <c r="EZ12" s="35"/>
      <c r="FA12" s="35"/>
      <c r="FB12" s="35"/>
      <c r="FC12" s="35"/>
      <c r="FD12" s="35"/>
      <c r="FE12" s="35"/>
      <c r="FF12" s="35"/>
      <c r="FG12" s="35"/>
    </row>
    <row r="13" spans="1:163">
      <c r="A13" s="62">
        <v>262</v>
      </c>
      <c r="E13" s="63" t="s">
        <v>93</v>
      </c>
      <c r="F13" s="56" t="s">
        <v>95</v>
      </c>
      <c r="G13" s="70" t="s">
        <v>636</v>
      </c>
      <c r="H13" s="66" t="str">
        <f t="shared" si="8"/>
        <v xml:space="preserve"> 965</v>
      </c>
      <c r="I13" s="67" t="s">
        <v>636</v>
      </c>
      <c r="J13" s="68">
        <f t="shared" si="9"/>
        <v>0</v>
      </c>
      <c r="K13" s="63" t="s">
        <v>345</v>
      </c>
      <c r="L13" s="1" t="s">
        <v>46</v>
      </c>
      <c r="O13" s="88" t="s">
        <v>790</v>
      </c>
      <c r="P13" s="89">
        <v>85000</v>
      </c>
      <c r="Q13" s="90">
        <f t="shared" si="10"/>
        <v>0</v>
      </c>
      <c r="R13" s="71"/>
      <c r="S13" s="72">
        <f t="shared" si="11"/>
        <v>0</v>
      </c>
      <c r="T13" s="68"/>
      <c r="U13" s="73">
        <f t="shared" si="12"/>
        <v>0</v>
      </c>
      <c r="V13" s="73"/>
      <c r="W13" s="2">
        <f t="shared" si="13"/>
        <v>-85000</v>
      </c>
      <c r="Y13" s="81">
        <f t="shared" si="14"/>
        <v>0</v>
      </c>
      <c r="Z13" s="96">
        <v>0</v>
      </c>
      <c r="AA13" s="97">
        <f>U13-Z13</f>
        <v>0</v>
      </c>
      <c r="AB13" s="98" t="e">
        <f>AA13/Z13</f>
        <v>#DIV/0!</v>
      </c>
      <c r="AE13" s="2">
        <v>120000</v>
      </c>
      <c r="AF13" s="28">
        <f t="shared" si="15"/>
        <v>0</v>
      </c>
      <c r="AG13" s="55" t="s">
        <v>125</v>
      </c>
      <c r="AI13" s="20" t="s">
        <v>45</v>
      </c>
      <c r="AJ13" s="2">
        <f t="shared" si="16"/>
        <v>0</v>
      </c>
      <c r="AN13" s="29" t="e">
        <f t="shared" si="17"/>
        <v>#DIV/0!</v>
      </c>
      <c r="AP13" s="3" t="s">
        <v>29</v>
      </c>
      <c r="AQ13" s="1" t="s">
        <v>190</v>
      </c>
      <c r="AR13" s="31">
        <f t="shared" si="18"/>
        <v>0</v>
      </c>
      <c r="AS13" s="31">
        <f t="shared" si="19"/>
        <v>0</v>
      </c>
      <c r="AT13" s="31">
        <f t="shared" ref="AT13:AT37" si="27">IF(BZ13&lt;&gt;"", AF13-BZ13, 0)</f>
        <v>0</v>
      </c>
      <c r="AU13" s="31">
        <f t="shared" si="20"/>
        <v>0</v>
      </c>
      <c r="AV13" s="31">
        <f t="shared" si="21"/>
        <v>0</v>
      </c>
      <c r="AW13" s="31">
        <f t="shared" si="22"/>
        <v>0</v>
      </c>
      <c r="AX13" s="31">
        <f t="shared" si="23"/>
        <v>0</v>
      </c>
      <c r="AY13" s="31">
        <f t="shared" si="24"/>
        <v>0</v>
      </c>
      <c r="AZ13" s="31">
        <f t="shared" si="25"/>
        <v>0</v>
      </c>
      <c r="BA13" s="31">
        <f t="shared" si="26"/>
        <v>0</v>
      </c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35"/>
      <c r="CW13" s="35"/>
      <c r="CX13" s="35"/>
      <c r="CY13" s="35"/>
      <c r="CZ13" s="35"/>
      <c r="DA13" s="35"/>
      <c r="DB13" s="35"/>
      <c r="DC13" s="35"/>
      <c r="DD13" s="40"/>
      <c r="DE13" s="40"/>
      <c r="DF13" s="40"/>
      <c r="DG13" s="40"/>
      <c r="DH13" s="40"/>
      <c r="DI13" s="40"/>
      <c r="DJ13" s="40"/>
      <c r="DK13" s="40"/>
      <c r="DL13" s="35"/>
      <c r="DM13" s="35"/>
      <c r="DN13" s="35"/>
      <c r="DO13" s="35"/>
      <c r="DP13" s="35"/>
      <c r="DQ13" s="35"/>
      <c r="DR13" s="35"/>
      <c r="DS13" s="35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40"/>
      <c r="ES13" s="40"/>
      <c r="ET13" s="40"/>
      <c r="EU13" s="40"/>
      <c r="EV13" s="40"/>
      <c r="EW13" s="40"/>
      <c r="EX13" s="40"/>
      <c r="EY13" s="40"/>
      <c r="EZ13" s="35"/>
      <c r="FA13" s="35"/>
      <c r="FB13" s="35"/>
      <c r="FC13" s="35"/>
      <c r="FD13" s="35"/>
      <c r="FE13" s="35"/>
      <c r="FF13" s="35"/>
      <c r="FG13" s="35"/>
    </row>
    <row r="14" spans="1:163">
      <c r="A14" s="62">
        <v>279</v>
      </c>
      <c r="E14" s="63" t="s">
        <v>218</v>
      </c>
      <c r="F14" s="56" t="s">
        <v>95</v>
      </c>
      <c r="G14" s="65" t="s">
        <v>654</v>
      </c>
      <c r="H14" s="66" t="str">
        <f t="shared" si="8"/>
        <v xml:space="preserve"> 652</v>
      </c>
      <c r="I14" s="67" t="s">
        <v>654</v>
      </c>
      <c r="J14" s="68">
        <f t="shared" si="9"/>
        <v>0</v>
      </c>
      <c r="K14" s="63" t="s">
        <v>351</v>
      </c>
      <c r="L14" s="1" t="s">
        <v>46</v>
      </c>
      <c r="O14" s="64" t="s">
        <v>789</v>
      </c>
      <c r="P14" s="82">
        <v>0</v>
      </c>
      <c r="Q14" s="74">
        <f t="shared" si="10"/>
        <v>90000</v>
      </c>
      <c r="R14" s="71">
        <v>90000</v>
      </c>
      <c r="S14" s="72">
        <f t="shared" si="11"/>
        <v>9550</v>
      </c>
      <c r="T14" s="68" t="s">
        <v>791</v>
      </c>
      <c r="U14" s="73">
        <f t="shared" si="12"/>
        <v>80450</v>
      </c>
      <c r="V14" s="75">
        <f>2000+5500+600+200+250+1000</f>
        <v>9550</v>
      </c>
      <c r="W14" s="2">
        <f t="shared" si="13"/>
        <v>90000</v>
      </c>
      <c r="Y14" s="80">
        <f t="shared" si="14"/>
        <v>90000</v>
      </c>
      <c r="Z14" s="93"/>
      <c r="AA14" s="93"/>
      <c r="AB14" s="94"/>
      <c r="AC14" s="2">
        <v>4000</v>
      </c>
      <c r="AD14" s="2">
        <f>Z14+AC14</f>
        <v>4000</v>
      </c>
      <c r="AF14" s="28">
        <f t="shared" si="15"/>
        <v>0</v>
      </c>
      <c r="AG14" s="55" t="s">
        <v>125</v>
      </c>
      <c r="AI14" s="20" t="s">
        <v>45</v>
      </c>
      <c r="AJ14" s="2">
        <f t="shared" si="16"/>
        <v>-90000</v>
      </c>
      <c r="AN14" s="29" t="e">
        <f t="shared" si="17"/>
        <v>#DIV/0!</v>
      </c>
      <c r="AO14" s="29" t="e">
        <f>AN14-AB14</f>
        <v>#DIV/0!</v>
      </c>
      <c r="AP14" s="3" t="s">
        <v>29</v>
      </c>
      <c r="AQ14" s="1" t="s">
        <v>190</v>
      </c>
      <c r="AR14" s="31">
        <f t="shared" si="18"/>
        <v>0</v>
      </c>
      <c r="AS14" s="31">
        <f t="shared" si="19"/>
        <v>0</v>
      </c>
      <c r="AT14" s="31">
        <f t="shared" si="27"/>
        <v>0</v>
      </c>
      <c r="AU14" s="31">
        <f t="shared" si="20"/>
        <v>0</v>
      </c>
      <c r="AV14" s="31">
        <f t="shared" si="21"/>
        <v>0</v>
      </c>
      <c r="AW14" s="31">
        <f t="shared" si="22"/>
        <v>0</v>
      </c>
      <c r="AX14" s="31">
        <f t="shared" si="23"/>
        <v>0</v>
      </c>
      <c r="AY14" s="31">
        <f t="shared" si="24"/>
        <v>0</v>
      </c>
      <c r="AZ14" s="31">
        <f t="shared" si="25"/>
        <v>0</v>
      </c>
      <c r="BA14" s="31">
        <f t="shared" si="26"/>
        <v>0</v>
      </c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35"/>
      <c r="CW14" s="35"/>
      <c r="CX14" s="35"/>
      <c r="CY14" s="35"/>
      <c r="CZ14" s="35"/>
      <c r="DA14" s="35"/>
      <c r="DB14" s="35"/>
      <c r="DC14" s="35"/>
      <c r="DD14" s="40"/>
      <c r="DE14" s="40"/>
      <c r="DF14" s="40"/>
      <c r="DG14" s="40"/>
      <c r="DH14" s="40"/>
      <c r="DI14" s="40"/>
      <c r="DJ14" s="40"/>
      <c r="DK14" s="40"/>
      <c r="DL14" s="35"/>
      <c r="DM14" s="35"/>
      <c r="DN14" s="35"/>
      <c r="DO14" s="35"/>
      <c r="DP14" s="35"/>
      <c r="DQ14" s="35"/>
      <c r="DR14" s="35"/>
      <c r="DS14" s="35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40"/>
      <c r="ES14" s="40"/>
      <c r="ET14" s="40"/>
      <c r="EU14" s="40"/>
      <c r="EV14" s="40"/>
      <c r="EW14" s="40"/>
      <c r="EX14" s="40"/>
      <c r="EY14" s="40"/>
      <c r="EZ14" s="35"/>
      <c r="FA14" s="35"/>
      <c r="FB14" s="35"/>
      <c r="FC14" s="35"/>
      <c r="FD14" s="35"/>
      <c r="FE14" s="35"/>
      <c r="FF14" s="35"/>
      <c r="FG14" s="35"/>
    </row>
    <row r="15" spans="1:163">
      <c r="A15" s="62">
        <v>295</v>
      </c>
      <c r="E15" s="63" t="s">
        <v>218</v>
      </c>
      <c r="F15" s="56" t="s">
        <v>95</v>
      </c>
      <c r="G15" s="65" t="s">
        <v>669</v>
      </c>
      <c r="H15" s="66" t="str">
        <f t="shared" si="8"/>
        <v xml:space="preserve"> 385</v>
      </c>
      <c r="I15" s="67" t="s">
        <v>669</v>
      </c>
      <c r="J15" s="68">
        <f t="shared" si="9"/>
        <v>0</v>
      </c>
      <c r="K15" s="63" t="s">
        <v>351</v>
      </c>
      <c r="L15" s="1" t="s">
        <v>46</v>
      </c>
      <c r="O15" s="64" t="s">
        <v>789</v>
      </c>
      <c r="P15" s="82">
        <v>0</v>
      </c>
      <c r="Q15" s="74">
        <f t="shared" si="10"/>
        <v>85000</v>
      </c>
      <c r="R15" s="71">
        <v>85000</v>
      </c>
      <c r="S15" s="72">
        <f t="shared" si="11"/>
        <v>9050</v>
      </c>
      <c r="T15" s="68" t="s">
        <v>791</v>
      </c>
      <c r="U15" s="73">
        <f t="shared" si="12"/>
        <v>75950</v>
      </c>
      <c r="V15" s="75">
        <f>2000+5500+600+200+250+500</f>
        <v>9050</v>
      </c>
      <c r="W15" s="2">
        <f t="shared" si="13"/>
        <v>85000</v>
      </c>
      <c r="Y15" s="80">
        <f t="shared" si="14"/>
        <v>85000</v>
      </c>
      <c r="Z15" s="93"/>
      <c r="AA15" s="93"/>
      <c r="AB15" s="94"/>
      <c r="AE15" s="2">
        <v>124000</v>
      </c>
      <c r="AF15" s="28">
        <f t="shared" si="15"/>
        <v>124000</v>
      </c>
      <c r="AG15" s="55" t="s">
        <v>125</v>
      </c>
      <c r="AI15" s="20" t="s">
        <v>45</v>
      </c>
      <c r="AJ15" s="2">
        <f t="shared" si="16"/>
        <v>39000</v>
      </c>
      <c r="AN15" s="29">
        <f t="shared" si="17"/>
        <v>0.31451612903225806</v>
      </c>
      <c r="AP15" s="3" t="s">
        <v>29</v>
      </c>
      <c r="AQ15" s="1" t="s">
        <v>190</v>
      </c>
      <c r="AR15" s="31">
        <f t="shared" si="18"/>
        <v>0</v>
      </c>
      <c r="AS15" s="31">
        <f t="shared" si="19"/>
        <v>0</v>
      </c>
      <c r="AT15" s="31">
        <f t="shared" si="27"/>
        <v>0</v>
      </c>
      <c r="AU15" s="31">
        <f t="shared" si="20"/>
        <v>0</v>
      </c>
      <c r="AV15" s="31">
        <f t="shared" si="21"/>
        <v>0</v>
      </c>
      <c r="AW15" s="31">
        <f t="shared" si="22"/>
        <v>0</v>
      </c>
      <c r="AX15" s="31">
        <f t="shared" si="23"/>
        <v>0</v>
      </c>
      <c r="AY15" s="31">
        <f t="shared" si="24"/>
        <v>0</v>
      </c>
      <c r="AZ15" s="31">
        <f t="shared" si="25"/>
        <v>0</v>
      </c>
      <c r="BA15" s="31">
        <f t="shared" si="26"/>
        <v>0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35"/>
      <c r="CW15" s="35"/>
      <c r="CX15" s="35"/>
      <c r="CY15" s="35"/>
      <c r="CZ15" s="35"/>
      <c r="DA15" s="35"/>
      <c r="DB15" s="35"/>
      <c r="DC15" s="35"/>
      <c r="DD15" s="40"/>
      <c r="DE15" s="40"/>
      <c r="DF15" s="40"/>
      <c r="DG15" s="40"/>
      <c r="DH15" s="40"/>
      <c r="DI15" s="40"/>
      <c r="DJ15" s="40"/>
      <c r="DK15" s="40"/>
      <c r="DL15" s="35"/>
      <c r="DM15" s="35"/>
      <c r="DN15" s="35"/>
      <c r="DO15" s="35"/>
      <c r="DP15" s="35"/>
      <c r="DQ15" s="35"/>
      <c r="DR15" s="35"/>
      <c r="DS15" s="35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40"/>
      <c r="ES15" s="40"/>
      <c r="ET15" s="40"/>
      <c r="EU15" s="40"/>
      <c r="EV15" s="40"/>
      <c r="EW15" s="40"/>
      <c r="EX15" s="40"/>
      <c r="EY15" s="40"/>
      <c r="EZ15" s="35"/>
      <c r="FA15" s="35"/>
      <c r="FB15" s="35"/>
      <c r="FC15" s="35"/>
      <c r="FD15" s="35"/>
      <c r="FE15" s="35"/>
      <c r="FF15" s="35"/>
      <c r="FG15" s="35"/>
    </row>
    <row r="16" spans="1:163">
      <c r="A16" s="62">
        <v>358</v>
      </c>
      <c r="E16" s="63" t="s">
        <v>226</v>
      </c>
      <c r="F16" s="56" t="s">
        <v>85</v>
      </c>
      <c r="G16" s="70" t="s">
        <v>727</v>
      </c>
      <c r="H16" s="66" t="str">
        <f t="shared" si="8"/>
        <v xml:space="preserve"> 846</v>
      </c>
      <c r="I16" s="67" t="s">
        <v>727</v>
      </c>
      <c r="J16" s="68">
        <f t="shared" si="9"/>
        <v>0</v>
      </c>
      <c r="K16" s="63" t="s">
        <v>370</v>
      </c>
      <c r="L16" s="1" t="s">
        <v>46</v>
      </c>
      <c r="O16" s="64" t="s">
        <v>789</v>
      </c>
      <c r="P16" s="82">
        <v>0</v>
      </c>
      <c r="Q16" s="74">
        <f t="shared" si="10"/>
        <v>70000</v>
      </c>
      <c r="R16" s="71">
        <v>70000</v>
      </c>
      <c r="S16" s="72">
        <f t="shared" si="11"/>
        <v>7900</v>
      </c>
      <c r="T16" s="68" t="s">
        <v>791</v>
      </c>
      <c r="U16" s="73">
        <f t="shared" si="12"/>
        <v>62100</v>
      </c>
      <c r="V16" s="73">
        <f>2000+4850+600+200+250</f>
        <v>7900</v>
      </c>
      <c r="W16" s="2">
        <f t="shared" si="13"/>
        <v>70000</v>
      </c>
      <c r="Y16" s="80">
        <f t="shared" si="14"/>
        <v>70000</v>
      </c>
      <c r="Z16" s="93"/>
      <c r="AA16" s="93"/>
      <c r="AB16" s="94"/>
      <c r="AE16" s="2">
        <v>95000</v>
      </c>
      <c r="AF16" s="28">
        <f t="shared" si="15"/>
        <v>95000</v>
      </c>
      <c r="AG16" s="55" t="s">
        <v>125</v>
      </c>
      <c r="AI16" s="20" t="s">
        <v>45</v>
      </c>
      <c r="AJ16" s="2">
        <f t="shared" si="16"/>
        <v>25000</v>
      </c>
      <c r="AN16" s="29">
        <f t="shared" si="17"/>
        <v>0.26315789473684209</v>
      </c>
      <c r="AP16" s="3" t="s">
        <v>29</v>
      </c>
      <c r="AQ16" s="1" t="s">
        <v>203</v>
      </c>
      <c r="AR16" s="31">
        <f t="shared" si="18"/>
        <v>0</v>
      </c>
      <c r="AS16" s="31">
        <f t="shared" si="19"/>
        <v>0</v>
      </c>
      <c r="AT16" s="31">
        <f t="shared" si="27"/>
        <v>0</v>
      </c>
      <c r="AU16" s="31">
        <f t="shared" si="20"/>
        <v>0</v>
      </c>
      <c r="AV16" s="31">
        <f t="shared" si="21"/>
        <v>0</v>
      </c>
      <c r="AW16" s="31">
        <f t="shared" si="22"/>
        <v>0</v>
      </c>
      <c r="AX16" s="31">
        <f t="shared" si="23"/>
        <v>0</v>
      </c>
      <c r="AY16" s="31">
        <f t="shared" si="24"/>
        <v>0</v>
      </c>
      <c r="AZ16" s="31">
        <f t="shared" si="25"/>
        <v>0</v>
      </c>
      <c r="BA16" s="31">
        <f t="shared" si="26"/>
        <v>0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35"/>
      <c r="CW16" s="35"/>
      <c r="CX16" s="35"/>
      <c r="CY16" s="35"/>
      <c r="CZ16" s="35"/>
      <c r="DA16" s="35"/>
      <c r="DB16" s="35"/>
      <c r="DC16" s="35"/>
      <c r="DD16" s="40"/>
      <c r="DE16" s="40"/>
      <c r="DF16" s="40"/>
      <c r="DG16" s="40"/>
      <c r="DH16" s="40"/>
      <c r="DI16" s="40"/>
      <c r="DJ16" s="40"/>
      <c r="DK16" s="40"/>
      <c r="DL16" s="35"/>
      <c r="DM16" s="35"/>
      <c r="DN16" s="35"/>
      <c r="DO16" s="35"/>
      <c r="DP16" s="35"/>
      <c r="DQ16" s="35"/>
      <c r="DR16" s="35"/>
      <c r="DS16" s="35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40"/>
      <c r="ES16" s="40"/>
      <c r="ET16" s="40"/>
      <c r="EU16" s="40"/>
      <c r="EV16" s="40"/>
      <c r="EW16" s="40"/>
      <c r="EX16" s="40"/>
      <c r="EY16" s="40"/>
    </row>
    <row r="17" spans="1:163">
      <c r="A17" s="62">
        <v>389</v>
      </c>
      <c r="E17" s="63" t="s">
        <v>234</v>
      </c>
      <c r="F17" s="56" t="s">
        <v>87</v>
      </c>
      <c r="G17" s="70" t="s">
        <v>757</v>
      </c>
      <c r="H17" s="66" t="str">
        <f t="shared" si="8"/>
        <v xml:space="preserve"> 663</v>
      </c>
      <c r="I17" s="67" t="s">
        <v>757</v>
      </c>
      <c r="J17" s="68">
        <f t="shared" si="9"/>
        <v>0</v>
      </c>
      <c r="K17" s="63" t="s">
        <v>370</v>
      </c>
      <c r="L17" s="1" t="s">
        <v>46</v>
      </c>
      <c r="O17" s="64" t="s">
        <v>789</v>
      </c>
      <c r="P17" s="82">
        <v>0</v>
      </c>
      <c r="Q17" s="74">
        <f t="shared" si="10"/>
        <v>65000</v>
      </c>
      <c r="R17" s="71">
        <v>65000</v>
      </c>
      <c r="S17" s="72">
        <f t="shared" si="11"/>
        <v>8400</v>
      </c>
      <c r="T17" s="68" t="s">
        <v>791</v>
      </c>
      <c r="U17" s="73">
        <f t="shared" si="12"/>
        <v>56600</v>
      </c>
      <c r="V17" s="73">
        <f>2000+4850+600+200+250+500</f>
        <v>8400</v>
      </c>
      <c r="W17" s="2">
        <f t="shared" si="13"/>
        <v>65000</v>
      </c>
      <c r="Y17" s="80">
        <f t="shared" si="14"/>
        <v>65000</v>
      </c>
      <c r="Z17" s="93"/>
      <c r="AA17" s="93"/>
      <c r="AB17" s="94"/>
      <c r="AC17" s="2">
        <v>3500</v>
      </c>
      <c r="AD17" s="2">
        <f>Z17+AC17</f>
        <v>3500</v>
      </c>
      <c r="AF17" s="28">
        <f t="shared" si="15"/>
        <v>0</v>
      </c>
      <c r="AG17" s="55" t="s">
        <v>125</v>
      </c>
      <c r="AI17" s="20" t="s">
        <v>206</v>
      </c>
      <c r="AJ17" s="2">
        <f t="shared" si="16"/>
        <v>-65000</v>
      </c>
      <c r="AN17" s="29" t="e">
        <f t="shared" si="17"/>
        <v>#DIV/0!</v>
      </c>
      <c r="AO17" s="29" t="e">
        <f>AN17-AB17</f>
        <v>#DIV/0!</v>
      </c>
      <c r="AP17" s="3" t="s">
        <v>140</v>
      </c>
      <c r="AQ17" s="1" t="s">
        <v>199</v>
      </c>
      <c r="AR17" s="31">
        <f t="shared" si="18"/>
        <v>0</v>
      </c>
      <c r="AS17" s="31">
        <f t="shared" si="19"/>
        <v>0</v>
      </c>
      <c r="AT17" s="31">
        <f t="shared" si="27"/>
        <v>0</v>
      </c>
      <c r="AU17" s="31">
        <f t="shared" si="20"/>
        <v>0</v>
      </c>
      <c r="AV17" s="31">
        <f t="shared" si="21"/>
        <v>0</v>
      </c>
      <c r="AW17" s="31">
        <f t="shared" si="22"/>
        <v>0</v>
      </c>
      <c r="AX17" s="31">
        <f t="shared" si="23"/>
        <v>0</v>
      </c>
      <c r="AY17" s="31">
        <f t="shared" si="24"/>
        <v>0</v>
      </c>
      <c r="AZ17" s="31">
        <f t="shared" si="25"/>
        <v>0</v>
      </c>
      <c r="BA17" s="31">
        <f t="shared" si="26"/>
        <v>0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35"/>
      <c r="CW17" s="35"/>
      <c r="CX17" s="35"/>
      <c r="CY17" s="35"/>
      <c r="CZ17" s="35"/>
      <c r="DA17" s="35"/>
      <c r="DB17" s="35"/>
      <c r="DC17" s="35"/>
      <c r="DD17" s="40"/>
      <c r="DE17" s="40"/>
      <c r="DF17" s="40"/>
      <c r="DG17" s="40"/>
      <c r="DH17" s="40"/>
      <c r="DI17" s="40"/>
      <c r="DJ17" s="40"/>
      <c r="DK17" s="40"/>
      <c r="DL17" s="35"/>
      <c r="DM17" s="35"/>
      <c r="DN17" s="35"/>
      <c r="DO17" s="35"/>
      <c r="DP17" s="35"/>
      <c r="DQ17" s="35"/>
      <c r="DR17" s="35"/>
      <c r="DS17" s="35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40"/>
      <c r="ES17" s="40"/>
      <c r="ET17" s="40"/>
      <c r="EU17" s="40"/>
      <c r="EV17" s="40"/>
      <c r="EW17" s="40"/>
      <c r="EX17" s="40"/>
      <c r="EY17" s="40"/>
      <c r="EZ17" s="35"/>
      <c r="FA17" s="35"/>
      <c r="FB17" s="35"/>
      <c r="FC17" s="35"/>
      <c r="FD17" s="35"/>
      <c r="FE17" s="35"/>
      <c r="FF17" s="35"/>
      <c r="FG17" s="35"/>
    </row>
    <row r="18" spans="1:163">
      <c r="A18" s="60">
        <v>138</v>
      </c>
      <c r="E18" s="63" t="s">
        <v>213</v>
      </c>
      <c r="F18" s="56" t="s">
        <v>123</v>
      </c>
      <c r="G18" s="70" t="s">
        <v>517</v>
      </c>
      <c r="H18" s="66" t="str">
        <f t="shared" si="8"/>
        <v xml:space="preserve"> 673</v>
      </c>
      <c r="I18" s="67" t="s">
        <v>517</v>
      </c>
      <c r="J18" s="68">
        <f t="shared" si="9"/>
        <v>0</v>
      </c>
      <c r="K18" s="63" t="s">
        <v>288</v>
      </c>
      <c r="L18" s="1" t="s">
        <v>46</v>
      </c>
      <c r="O18" s="64" t="s">
        <v>789</v>
      </c>
      <c r="P18" s="82">
        <v>0</v>
      </c>
      <c r="Q18" s="74">
        <f t="shared" si="10"/>
        <v>82000</v>
      </c>
      <c r="R18" s="71">
        <v>82000</v>
      </c>
      <c r="S18" s="72">
        <f t="shared" si="11"/>
        <v>8250</v>
      </c>
      <c r="T18" s="68" t="s">
        <v>791</v>
      </c>
      <c r="U18" s="73">
        <f t="shared" si="12"/>
        <v>73750</v>
      </c>
      <c r="V18" s="73">
        <f>2000+5200+600+200+250</f>
        <v>8250</v>
      </c>
      <c r="W18" s="2">
        <f t="shared" si="13"/>
        <v>82000</v>
      </c>
      <c r="Y18" s="80">
        <f t="shared" si="14"/>
        <v>82000</v>
      </c>
      <c r="Z18" s="93"/>
      <c r="AA18" s="93"/>
      <c r="AB18" s="94"/>
      <c r="AC18" s="2">
        <v>5000</v>
      </c>
      <c r="AD18" s="2">
        <f>Z18+AC18</f>
        <v>5000</v>
      </c>
      <c r="AF18" s="28">
        <f t="shared" si="15"/>
        <v>0</v>
      </c>
      <c r="AG18" s="55" t="s">
        <v>125</v>
      </c>
      <c r="AI18" s="20" t="s">
        <v>205</v>
      </c>
      <c r="AJ18" s="2">
        <f t="shared" si="16"/>
        <v>-82000</v>
      </c>
      <c r="AN18" s="29" t="e">
        <f t="shared" si="17"/>
        <v>#DIV/0!</v>
      </c>
      <c r="AO18" s="29" t="e">
        <f>AN18-AB18</f>
        <v>#DIV/0!</v>
      </c>
      <c r="AP18" s="3" t="s">
        <v>140</v>
      </c>
      <c r="AQ18" s="1" t="s">
        <v>169</v>
      </c>
      <c r="AR18" s="31">
        <f t="shared" si="18"/>
        <v>-146200</v>
      </c>
      <c r="AS18" s="31">
        <f t="shared" si="19"/>
        <v>-160491</v>
      </c>
      <c r="AT18" s="31">
        <f t="shared" si="27"/>
        <v>-143400</v>
      </c>
      <c r="AU18" s="31">
        <f t="shared" si="20"/>
        <v>-146250</v>
      </c>
      <c r="AV18" s="31">
        <f t="shared" si="21"/>
        <v>0</v>
      </c>
      <c r="AW18" s="31">
        <f t="shared" si="22"/>
        <v>-168000</v>
      </c>
      <c r="AX18" s="31">
        <f t="shared" si="23"/>
        <v>-124848</v>
      </c>
      <c r="AY18" s="31">
        <f t="shared" si="24"/>
        <v>-124536</v>
      </c>
      <c r="AZ18" s="31">
        <f t="shared" si="25"/>
        <v>-157000</v>
      </c>
      <c r="BA18" s="31">
        <f t="shared" si="26"/>
        <v>0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41">
        <v>142200</v>
      </c>
      <c r="BM18" s="41">
        <v>4000</v>
      </c>
      <c r="BN18" s="41">
        <f>BL18+BM18</f>
        <v>146200</v>
      </c>
      <c r="BO18" s="37">
        <f>BN18-Y18</f>
        <v>64200</v>
      </c>
      <c r="BP18" s="38">
        <f>BO18/BL18</f>
        <v>0.45147679324894513</v>
      </c>
      <c r="BQ18" s="37">
        <f>AF18-BN18</f>
        <v>-146200</v>
      </c>
      <c r="BR18" s="40" t="s">
        <v>29</v>
      </c>
      <c r="BS18" s="39"/>
      <c r="BT18" s="39"/>
      <c r="BU18" s="39"/>
      <c r="BV18" s="39"/>
      <c r="BW18" s="39"/>
      <c r="BX18" s="36">
        <v>140400</v>
      </c>
      <c r="BY18" s="33">
        <v>3000</v>
      </c>
      <c r="BZ18" s="33">
        <f>BX18+BY18</f>
        <v>143400</v>
      </c>
      <c r="CA18" s="33">
        <f>BZ18-Y18</f>
        <v>61400</v>
      </c>
      <c r="CB18" s="34">
        <f>CA18/BX18</f>
        <v>0.4373219373219373</v>
      </c>
      <c r="CC18" s="33">
        <f>AF18-BZ18</f>
        <v>-143400</v>
      </c>
      <c r="CD18" s="35" t="s">
        <v>29</v>
      </c>
      <c r="CE18" s="48"/>
      <c r="CF18" s="48"/>
      <c r="CG18" s="48"/>
      <c r="CH18" s="48"/>
      <c r="CI18" s="48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36">
        <v>160491</v>
      </c>
      <c r="CW18" s="36">
        <f>CV18-Y18</f>
        <v>78491</v>
      </c>
      <c r="CX18" s="46">
        <f>CW18/CV18</f>
        <v>0.48906792281187106</v>
      </c>
      <c r="CY18" s="36">
        <f>AF18-CV18</f>
        <v>-160491</v>
      </c>
      <c r="CZ18" s="35" t="s">
        <v>29</v>
      </c>
      <c r="DA18" s="35"/>
      <c r="DB18" s="35"/>
      <c r="DC18" s="35"/>
      <c r="DD18" s="41">
        <v>146250</v>
      </c>
      <c r="DE18" s="37">
        <f>DD18-Y18</f>
        <v>64250</v>
      </c>
      <c r="DF18" s="38">
        <f>DE18/DD18</f>
        <v>0.43931623931623931</v>
      </c>
      <c r="DG18" s="37">
        <f>AF18-DD18</f>
        <v>-146250</v>
      </c>
      <c r="DH18" s="42" t="s">
        <v>29</v>
      </c>
      <c r="DI18" s="40"/>
      <c r="DJ18" s="40"/>
      <c r="DK18" s="40"/>
      <c r="DL18" s="36">
        <v>168000</v>
      </c>
      <c r="DM18" s="33">
        <f>DL18-Y18</f>
        <v>86000</v>
      </c>
      <c r="DN18" s="34">
        <f>DM18/DL18</f>
        <v>0.51190476190476186</v>
      </c>
      <c r="DO18" s="33">
        <f>AF18-DL18</f>
        <v>-168000</v>
      </c>
      <c r="DP18" s="43" t="s">
        <v>29</v>
      </c>
      <c r="DQ18" s="35"/>
      <c r="DR18" s="35"/>
      <c r="DS18" s="35"/>
      <c r="DT18" s="41">
        <v>121348</v>
      </c>
      <c r="DU18" s="37">
        <v>3500</v>
      </c>
      <c r="DV18" s="41">
        <f>DT18+DU18</f>
        <v>124848</v>
      </c>
      <c r="DW18" s="37">
        <f>DV18-Y18</f>
        <v>42848</v>
      </c>
      <c r="DX18" s="38">
        <f>DW18/DV18</f>
        <v>0.34320133282070997</v>
      </c>
      <c r="DY18" s="37">
        <f>AF18-DV18</f>
        <v>-124848</v>
      </c>
      <c r="DZ18" s="40" t="s">
        <v>29</v>
      </c>
      <c r="EA18" s="40"/>
      <c r="EB18" s="40"/>
      <c r="EC18" s="40"/>
      <c r="ED18" s="40"/>
      <c r="EE18" s="40"/>
      <c r="EF18" s="36">
        <v>122036</v>
      </c>
      <c r="EG18" s="33">
        <v>2500</v>
      </c>
      <c r="EH18" s="33">
        <f>EF18+EG18</f>
        <v>124536</v>
      </c>
      <c r="EI18" s="33">
        <f>EH18-Y18</f>
        <v>42536</v>
      </c>
      <c r="EJ18" s="44">
        <f>EI18/EH18</f>
        <v>0.34155585533500354</v>
      </c>
      <c r="EK18" s="45">
        <f>AF18-EH18</f>
        <v>-124536</v>
      </c>
      <c r="EL18" s="35" t="s">
        <v>29</v>
      </c>
      <c r="EM18" s="35"/>
      <c r="EN18" s="35"/>
      <c r="EO18" s="35"/>
      <c r="EP18" s="35"/>
      <c r="EQ18" s="35"/>
      <c r="ER18" s="41">
        <v>157000</v>
      </c>
      <c r="ES18" s="37">
        <f>ER18-Y18</f>
        <v>75000</v>
      </c>
      <c r="ET18" s="38">
        <f>ES18/ER18</f>
        <v>0.47770700636942676</v>
      </c>
      <c r="EU18" s="37">
        <f>AF18-ER18</f>
        <v>-157000</v>
      </c>
      <c r="EV18" s="40" t="s">
        <v>29</v>
      </c>
      <c r="EW18" s="40"/>
      <c r="EX18" s="40"/>
      <c r="EY18" s="40"/>
      <c r="EZ18" s="35"/>
      <c r="FA18" s="35"/>
      <c r="FB18" s="35"/>
      <c r="FC18" s="35"/>
      <c r="FD18" s="35"/>
      <c r="FE18" s="35"/>
      <c r="FF18" s="35"/>
      <c r="FG18" s="35"/>
    </row>
    <row r="19" spans="1:163">
      <c r="A19" s="62">
        <v>359</v>
      </c>
      <c r="E19" s="63" t="s">
        <v>226</v>
      </c>
      <c r="F19" s="56" t="s">
        <v>85</v>
      </c>
      <c r="G19" s="70" t="s">
        <v>728</v>
      </c>
      <c r="H19" s="66" t="str">
        <f t="shared" si="8"/>
        <v xml:space="preserve"> 260</v>
      </c>
      <c r="I19" s="67" t="s">
        <v>728</v>
      </c>
      <c r="J19" s="68">
        <f t="shared" si="9"/>
        <v>0</v>
      </c>
      <c r="K19" s="63" t="s">
        <v>371</v>
      </c>
      <c r="L19" s="1" t="s">
        <v>46</v>
      </c>
      <c r="O19" s="64" t="s">
        <v>789</v>
      </c>
      <c r="P19" s="82">
        <v>0</v>
      </c>
      <c r="Q19" s="74">
        <f t="shared" si="10"/>
        <v>70000</v>
      </c>
      <c r="R19" s="71">
        <v>70000</v>
      </c>
      <c r="S19" s="72">
        <f t="shared" si="11"/>
        <v>8900</v>
      </c>
      <c r="T19" s="68" t="s">
        <v>791</v>
      </c>
      <c r="U19" s="73">
        <f t="shared" si="12"/>
        <v>61100</v>
      </c>
      <c r="V19" s="73">
        <f>2000+4850+600+200+250+1000</f>
        <v>8900</v>
      </c>
      <c r="W19" s="2">
        <f t="shared" si="13"/>
        <v>70000</v>
      </c>
      <c r="Y19" s="80">
        <f t="shared" si="14"/>
        <v>70000</v>
      </c>
      <c r="Z19" s="93"/>
      <c r="AA19" s="93"/>
      <c r="AB19" s="94"/>
      <c r="AC19" s="2">
        <v>3000</v>
      </c>
      <c r="AD19" s="2">
        <f>Z19+AC19</f>
        <v>3000</v>
      </c>
      <c r="AF19" s="28">
        <f t="shared" si="15"/>
        <v>0</v>
      </c>
      <c r="AG19" s="55" t="s">
        <v>125</v>
      </c>
      <c r="AI19" s="20" t="s">
        <v>45</v>
      </c>
      <c r="AJ19" s="2">
        <f t="shared" si="16"/>
        <v>-70000</v>
      </c>
      <c r="AN19" s="29" t="e">
        <f t="shared" si="17"/>
        <v>#DIV/0!</v>
      </c>
      <c r="AO19" s="29" t="e">
        <f>AN19-AB19</f>
        <v>#DIV/0!</v>
      </c>
      <c r="AP19" s="3" t="s">
        <v>29</v>
      </c>
      <c r="AQ19" s="1" t="s">
        <v>203</v>
      </c>
      <c r="AR19" s="31">
        <f t="shared" si="18"/>
        <v>0</v>
      </c>
      <c r="AS19" s="31">
        <f t="shared" si="19"/>
        <v>0</v>
      </c>
      <c r="AT19" s="31">
        <f t="shared" si="27"/>
        <v>0</v>
      </c>
      <c r="AU19" s="31">
        <f t="shared" si="20"/>
        <v>0</v>
      </c>
      <c r="AV19" s="31">
        <f t="shared" si="21"/>
        <v>0</v>
      </c>
      <c r="AW19" s="31">
        <f t="shared" si="22"/>
        <v>0</v>
      </c>
      <c r="AX19" s="31">
        <f t="shared" si="23"/>
        <v>0</v>
      </c>
      <c r="AY19" s="31">
        <f t="shared" si="24"/>
        <v>0</v>
      </c>
      <c r="AZ19" s="31">
        <f t="shared" si="25"/>
        <v>0</v>
      </c>
      <c r="BA19" s="31">
        <f t="shared" si="26"/>
        <v>0</v>
      </c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35"/>
      <c r="CW19" s="35"/>
      <c r="CX19" s="35"/>
      <c r="CY19" s="35"/>
      <c r="CZ19" s="35"/>
      <c r="DA19" s="35"/>
      <c r="DB19" s="35"/>
      <c r="DC19" s="35"/>
      <c r="DD19" s="40"/>
      <c r="DE19" s="40"/>
      <c r="DF19" s="40"/>
      <c r="DG19" s="40"/>
      <c r="DH19" s="40"/>
      <c r="DI19" s="40"/>
      <c r="DJ19" s="40"/>
      <c r="DK19" s="40"/>
      <c r="DL19" s="35"/>
      <c r="DM19" s="35"/>
      <c r="DN19" s="35"/>
      <c r="DO19" s="35"/>
      <c r="DP19" s="35"/>
      <c r="DQ19" s="35"/>
      <c r="DR19" s="35"/>
      <c r="DS19" s="35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40"/>
      <c r="ES19" s="40"/>
      <c r="ET19" s="40"/>
      <c r="EU19" s="40"/>
      <c r="EV19" s="40"/>
      <c r="EW19" s="40"/>
      <c r="EX19" s="40"/>
      <c r="EY19" s="40"/>
    </row>
    <row r="20" spans="1:163">
      <c r="A20" s="62">
        <v>363</v>
      </c>
      <c r="E20" s="63" t="s">
        <v>228</v>
      </c>
      <c r="F20" s="56" t="s">
        <v>85</v>
      </c>
      <c r="G20" s="70" t="s">
        <v>732</v>
      </c>
      <c r="H20" s="66" t="str">
        <f t="shared" si="8"/>
        <v xml:space="preserve"> 451</v>
      </c>
      <c r="I20" s="67" t="s">
        <v>732</v>
      </c>
      <c r="J20" s="68">
        <f t="shared" si="9"/>
        <v>0</v>
      </c>
      <c r="K20" s="63" t="s">
        <v>371</v>
      </c>
      <c r="L20" s="1" t="s">
        <v>46</v>
      </c>
      <c r="O20" s="64" t="s">
        <v>789</v>
      </c>
      <c r="P20" s="82">
        <v>0</v>
      </c>
      <c r="Q20" s="74">
        <f t="shared" si="10"/>
        <v>65000</v>
      </c>
      <c r="R20" s="71">
        <v>65000</v>
      </c>
      <c r="S20" s="72">
        <f t="shared" si="11"/>
        <v>8400</v>
      </c>
      <c r="T20" s="68" t="s">
        <v>791</v>
      </c>
      <c r="U20" s="73">
        <f t="shared" si="12"/>
        <v>56600</v>
      </c>
      <c r="V20" s="73">
        <f>2000+4850+600+200+250+500</f>
        <v>8400</v>
      </c>
      <c r="W20" s="2">
        <f t="shared" si="13"/>
        <v>65000</v>
      </c>
      <c r="Y20" s="80">
        <f t="shared" si="14"/>
        <v>65000</v>
      </c>
      <c r="Z20" s="93"/>
      <c r="AA20" s="93"/>
      <c r="AB20" s="94"/>
      <c r="AE20" s="2">
        <v>93000</v>
      </c>
      <c r="AF20" s="28">
        <f t="shared" si="15"/>
        <v>93000</v>
      </c>
      <c r="AG20" s="55" t="s">
        <v>125</v>
      </c>
      <c r="AI20" s="20" t="s">
        <v>45</v>
      </c>
      <c r="AJ20" s="2">
        <f t="shared" si="16"/>
        <v>28000</v>
      </c>
      <c r="AN20" s="29">
        <f t="shared" si="17"/>
        <v>0.30107526881720431</v>
      </c>
      <c r="AP20" s="3" t="s">
        <v>29</v>
      </c>
      <c r="AQ20" s="1" t="s">
        <v>203</v>
      </c>
      <c r="AR20" s="31">
        <f t="shared" si="18"/>
        <v>0</v>
      </c>
      <c r="AS20" s="31">
        <f t="shared" si="19"/>
        <v>0</v>
      </c>
      <c r="AT20" s="31">
        <f t="shared" si="27"/>
        <v>0</v>
      </c>
      <c r="AU20" s="31">
        <f t="shared" si="20"/>
        <v>0</v>
      </c>
      <c r="AV20" s="31">
        <f t="shared" si="21"/>
        <v>0</v>
      </c>
      <c r="AW20" s="31">
        <f t="shared" si="22"/>
        <v>0</v>
      </c>
      <c r="AX20" s="31">
        <f t="shared" si="23"/>
        <v>0</v>
      </c>
      <c r="AY20" s="31">
        <f t="shared" si="24"/>
        <v>0</v>
      </c>
      <c r="AZ20" s="31">
        <f t="shared" si="25"/>
        <v>0</v>
      </c>
      <c r="BA20" s="31">
        <f t="shared" si="26"/>
        <v>0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35"/>
      <c r="CW20" s="35"/>
      <c r="CX20" s="35"/>
      <c r="CY20" s="35"/>
      <c r="CZ20" s="35"/>
      <c r="DA20" s="35"/>
      <c r="DB20" s="35"/>
      <c r="DC20" s="35"/>
      <c r="DD20" s="40"/>
      <c r="DE20" s="40"/>
      <c r="DF20" s="40"/>
      <c r="DG20" s="40"/>
      <c r="DH20" s="40"/>
      <c r="DI20" s="40"/>
      <c r="DJ20" s="40"/>
      <c r="DK20" s="40"/>
      <c r="DL20" s="35"/>
      <c r="DM20" s="35"/>
      <c r="DN20" s="35"/>
      <c r="DO20" s="35"/>
      <c r="DP20" s="35"/>
      <c r="DQ20" s="35"/>
      <c r="DR20" s="35"/>
      <c r="DS20" s="35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40"/>
      <c r="ES20" s="40"/>
      <c r="ET20" s="40"/>
      <c r="EU20" s="40"/>
      <c r="EV20" s="40"/>
      <c r="EW20" s="40"/>
      <c r="EX20" s="40"/>
      <c r="EY20" s="40"/>
    </row>
    <row r="21" spans="1:163">
      <c r="A21" s="60">
        <v>93</v>
      </c>
      <c r="E21" s="63" t="s">
        <v>113</v>
      </c>
      <c r="F21" s="56" t="s">
        <v>57</v>
      </c>
      <c r="G21" s="65" t="s">
        <v>474</v>
      </c>
      <c r="H21" s="66" t="str">
        <f t="shared" si="8"/>
        <v xml:space="preserve"> 827</v>
      </c>
      <c r="I21" s="67" t="s">
        <v>474</v>
      </c>
      <c r="J21" s="68">
        <f t="shared" si="9"/>
        <v>0</v>
      </c>
      <c r="K21" s="63" t="s">
        <v>276</v>
      </c>
      <c r="L21" s="1" t="s">
        <v>46</v>
      </c>
      <c r="O21" s="64" t="s">
        <v>789</v>
      </c>
      <c r="P21" s="82">
        <v>0</v>
      </c>
      <c r="Q21" s="74">
        <f t="shared" si="10"/>
        <v>71500</v>
      </c>
      <c r="R21" s="71">
        <v>71500</v>
      </c>
      <c r="S21" s="72">
        <f t="shared" si="11"/>
        <v>8150</v>
      </c>
      <c r="T21" s="68" t="s">
        <v>791</v>
      </c>
      <c r="U21" s="73">
        <f t="shared" si="12"/>
        <v>63350</v>
      </c>
      <c r="V21" s="75">
        <f>2000+5100+600+200+250</f>
        <v>8150</v>
      </c>
      <c r="W21" s="2">
        <f t="shared" si="13"/>
        <v>71500</v>
      </c>
      <c r="Y21" s="80">
        <f t="shared" si="14"/>
        <v>71500</v>
      </c>
      <c r="Z21" s="93"/>
      <c r="AA21" s="93"/>
      <c r="AB21" s="94"/>
      <c r="AC21" s="2">
        <v>3000</v>
      </c>
      <c r="AD21" s="2">
        <f>Z21+AC21</f>
        <v>3000</v>
      </c>
      <c r="AF21" s="28">
        <f t="shared" si="15"/>
        <v>0</v>
      </c>
      <c r="AG21" s="55" t="s">
        <v>125</v>
      </c>
      <c r="AI21" s="20" t="s">
        <v>206</v>
      </c>
      <c r="AJ21" s="2">
        <f t="shared" si="16"/>
        <v>-71500</v>
      </c>
      <c r="AN21" s="29" t="e">
        <f t="shared" si="17"/>
        <v>#DIV/0!</v>
      </c>
      <c r="AO21" s="29" t="e">
        <f>AN21-AB21</f>
        <v>#DIV/0!</v>
      </c>
      <c r="AP21" s="3" t="s">
        <v>140</v>
      </c>
      <c r="AQ21" s="1" t="s">
        <v>138</v>
      </c>
      <c r="AR21" s="31">
        <f t="shared" si="18"/>
        <v>-99300</v>
      </c>
      <c r="AS21" s="31">
        <f t="shared" si="19"/>
        <v>0</v>
      </c>
      <c r="AT21" s="31">
        <f t="shared" si="27"/>
        <v>0</v>
      </c>
      <c r="AU21" s="31">
        <f t="shared" si="20"/>
        <v>0</v>
      </c>
      <c r="AV21" s="31">
        <f t="shared" si="21"/>
        <v>0</v>
      </c>
      <c r="AW21" s="31">
        <f t="shared" si="22"/>
        <v>-90037</v>
      </c>
      <c r="AX21" s="31">
        <f t="shared" si="23"/>
        <v>0</v>
      </c>
      <c r="AY21" s="31">
        <f t="shared" si="24"/>
        <v>0</v>
      </c>
      <c r="AZ21" s="31">
        <f t="shared" si="25"/>
        <v>0</v>
      </c>
      <c r="BA21" s="31">
        <f t="shared" si="26"/>
        <v>0</v>
      </c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41">
        <v>96300</v>
      </c>
      <c r="BM21" s="41">
        <v>3000</v>
      </c>
      <c r="BN21" s="41">
        <f>BL21+BM21</f>
        <v>99300</v>
      </c>
      <c r="BO21" s="37">
        <f>BN21-Y21</f>
        <v>27800</v>
      </c>
      <c r="BP21" s="38">
        <f>BO21/BL21</f>
        <v>0.28868120456905505</v>
      </c>
      <c r="BQ21" s="37">
        <f>AF21-BN21</f>
        <v>-99300</v>
      </c>
      <c r="BR21" s="40" t="s">
        <v>131</v>
      </c>
      <c r="BS21" s="39"/>
      <c r="BT21" s="39"/>
      <c r="BU21" s="39"/>
      <c r="BV21" s="39"/>
      <c r="BW21" s="39"/>
      <c r="BX21" s="36"/>
      <c r="BY21" s="33"/>
      <c r="BZ21" s="33"/>
      <c r="CA21" s="33"/>
      <c r="CB21" s="34"/>
      <c r="CC21" s="33"/>
      <c r="CD21" s="35"/>
      <c r="CE21" s="48"/>
      <c r="CF21" s="48"/>
      <c r="CG21" s="48"/>
      <c r="CH21" s="48"/>
      <c r="CI21" s="48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35"/>
      <c r="CW21" s="35"/>
      <c r="CX21" s="35"/>
      <c r="CY21" s="35"/>
      <c r="CZ21" s="35"/>
      <c r="DA21" s="35"/>
      <c r="DB21" s="35"/>
      <c r="DC21" s="35"/>
      <c r="DD21" s="40"/>
      <c r="DE21" s="40"/>
      <c r="DF21" s="40"/>
      <c r="DG21" s="40"/>
      <c r="DH21" s="40"/>
      <c r="DI21" s="40"/>
      <c r="DJ21" s="40"/>
      <c r="DK21" s="40"/>
      <c r="DL21" s="36">
        <v>90037</v>
      </c>
      <c r="DM21" s="33">
        <f>DL21-Y21</f>
        <v>18537</v>
      </c>
      <c r="DN21" s="34">
        <f>DM21/DL21</f>
        <v>0.20588202627808569</v>
      </c>
      <c r="DO21" s="33">
        <f>AF21-DL21</f>
        <v>-90037</v>
      </c>
      <c r="DP21" s="35" t="s">
        <v>116</v>
      </c>
      <c r="DQ21" s="35"/>
      <c r="DR21" s="35"/>
      <c r="DS21" s="35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40"/>
      <c r="ES21" s="40"/>
      <c r="ET21" s="40"/>
      <c r="EU21" s="40"/>
      <c r="EV21" s="40"/>
      <c r="EW21" s="40"/>
      <c r="EX21" s="40"/>
      <c r="EY21" s="40"/>
      <c r="EZ21" s="35"/>
      <c r="FA21" s="35"/>
      <c r="FB21" s="35"/>
      <c r="FC21" s="35"/>
      <c r="FD21" s="35"/>
      <c r="FE21" s="35"/>
      <c r="FF21" s="35"/>
      <c r="FG21" s="35"/>
    </row>
    <row r="22" spans="1:163">
      <c r="A22" s="60">
        <v>56</v>
      </c>
      <c r="E22" s="63" t="s">
        <v>211</v>
      </c>
      <c r="F22" s="56" t="s">
        <v>115</v>
      </c>
      <c r="G22" s="70" t="s">
        <v>436</v>
      </c>
      <c r="H22" s="66" t="str">
        <f t="shared" si="8"/>
        <v xml:space="preserve"> 280</v>
      </c>
      <c r="I22" s="67" t="s">
        <v>436</v>
      </c>
      <c r="J22" s="68">
        <f t="shared" si="9"/>
        <v>0</v>
      </c>
      <c r="K22" s="63" t="s">
        <v>266</v>
      </c>
      <c r="L22" s="1" t="s">
        <v>46</v>
      </c>
      <c r="O22" s="64"/>
      <c r="P22" s="82">
        <v>0</v>
      </c>
      <c r="Q22" s="74"/>
      <c r="R22" s="71"/>
      <c r="S22" s="72"/>
      <c r="T22" s="68"/>
      <c r="U22" s="73"/>
      <c r="V22" s="73"/>
      <c r="W22" s="2">
        <f t="shared" si="13"/>
        <v>0</v>
      </c>
      <c r="Y22" s="2">
        <f t="shared" si="14"/>
        <v>0</v>
      </c>
      <c r="Z22" s="93"/>
      <c r="AA22" s="93"/>
      <c r="AB22" s="94"/>
      <c r="AC22" s="2">
        <v>4000</v>
      </c>
      <c r="AD22" s="2">
        <f>Z22+AC22</f>
        <v>4000</v>
      </c>
      <c r="AF22" s="28">
        <f t="shared" si="15"/>
        <v>4000</v>
      </c>
      <c r="AG22" s="55" t="s">
        <v>125</v>
      </c>
      <c r="AI22" s="20" t="s">
        <v>45</v>
      </c>
      <c r="AJ22" s="2">
        <f t="shared" si="16"/>
        <v>4000</v>
      </c>
      <c r="AN22" s="29">
        <f t="shared" si="17"/>
        <v>1</v>
      </c>
      <c r="AO22" s="29">
        <f>AN22-AB22</f>
        <v>1</v>
      </c>
      <c r="AP22" s="3" t="s">
        <v>29</v>
      </c>
      <c r="AQ22" s="1" t="s">
        <v>153</v>
      </c>
      <c r="AR22" s="31">
        <f t="shared" si="18"/>
        <v>0</v>
      </c>
      <c r="AS22" s="31">
        <f t="shared" si="19"/>
        <v>0</v>
      </c>
      <c r="AT22" s="31">
        <f t="shared" si="27"/>
        <v>0</v>
      </c>
      <c r="AU22" s="31">
        <f t="shared" si="20"/>
        <v>0</v>
      </c>
      <c r="AV22" s="31">
        <f t="shared" si="21"/>
        <v>0</v>
      </c>
      <c r="AW22" s="31">
        <f t="shared" si="22"/>
        <v>0</v>
      </c>
      <c r="AX22" s="31">
        <f t="shared" si="23"/>
        <v>0</v>
      </c>
      <c r="AY22" s="31">
        <f t="shared" si="24"/>
        <v>0</v>
      </c>
      <c r="AZ22" s="31">
        <f t="shared" si="25"/>
        <v>0</v>
      </c>
      <c r="BA22" s="31">
        <f t="shared" si="26"/>
        <v>0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41"/>
      <c r="BM22" s="41"/>
      <c r="BN22" s="41"/>
      <c r="BO22" s="37"/>
      <c r="BP22" s="38"/>
      <c r="BQ22" s="37"/>
      <c r="BR22" s="40"/>
      <c r="BS22" s="39"/>
      <c r="BT22" s="39"/>
      <c r="BU22" s="39"/>
      <c r="BV22" s="39"/>
      <c r="BW22" s="39"/>
      <c r="BX22" s="36"/>
      <c r="BY22" s="33"/>
      <c r="BZ22" s="33"/>
      <c r="CA22" s="33"/>
      <c r="CB22" s="34"/>
      <c r="CC22" s="33"/>
      <c r="CD22" s="35"/>
      <c r="CE22" s="48"/>
      <c r="CF22" s="48"/>
      <c r="CG22" s="48"/>
      <c r="CH22" s="48"/>
      <c r="CI22" s="48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35"/>
      <c r="CW22" s="35"/>
      <c r="CX22" s="35"/>
      <c r="CY22" s="35"/>
      <c r="CZ22" s="35"/>
      <c r="DA22" s="35"/>
      <c r="DB22" s="35"/>
      <c r="DC22" s="35"/>
      <c r="DD22" s="40"/>
      <c r="DE22" s="40"/>
      <c r="DF22" s="40"/>
      <c r="DG22" s="40"/>
      <c r="DH22" s="40"/>
      <c r="DI22" s="40"/>
      <c r="DJ22" s="40"/>
      <c r="DK22" s="40"/>
      <c r="DL22" s="35"/>
      <c r="DM22" s="35"/>
      <c r="DN22" s="35"/>
      <c r="DO22" s="35"/>
      <c r="DP22" s="35"/>
      <c r="DQ22" s="35"/>
      <c r="DR22" s="35"/>
      <c r="DS22" s="35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40"/>
      <c r="ES22" s="40"/>
      <c r="ET22" s="40"/>
      <c r="EU22" s="40"/>
      <c r="EV22" s="40"/>
      <c r="EW22" s="40"/>
      <c r="EX22" s="40"/>
      <c r="EY22" s="40"/>
      <c r="EZ22" s="35"/>
      <c r="FA22" s="35"/>
      <c r="FB22" s="35"/>
      <c r="FC22" s="35"/>
      <c r="FD22" s="35"/>
      <c r="FE22" s="35"/>
      <c r="FF22" s="35"/>
      <c r="FG22" s="35"/>
    </row>
    <row r="23" spans="1:163">
      <c r="A23" s="60">
        <v>159</v>
      </c>
      <c r="E23" s="63" t="s">
        <v>63</v>
      </c>
      <c r="F23" s="56" t="s">
        <v>62</v>
      </c>
      <c r="G23" s="65" t="s">
        <v>538</v>
      </c>
      <c r="H23" s="66" t="str">
        <f t="shared" si="8"/>
        <v xml:space="preserve"> 844</v>
      </c>
      <c r="I23" s="67" t="s">
        <v>538</v>
      </c>
      <c r="J23" s="68">
        <f t="shared" si="9"/>
        <v>0</v>
      </c>
      <c r="K23" s="63" t="s">
        <v>301</v>
      </c>
      <c r="L23" s="1" t="s">
        <v>46</v>
      </c>
      <c r="O23" s="64" t="s">
        <v>789</v>
      </c>
      <c r="P23" s="82">
        <v>0</v>
      </c>
      <c r="Q23" s="74">
        <f t="shared" ref="Q23:Q38" si="28">U23+V23</f>
        <v>73150</v>
      </c>
      <c r="R23" s="71">
        <v>73150</v>
      </c>
      <c r="S23" s="72">
        <f t="shared" ref="S23:S86" si="29">R23-U23</f>
        <v>8150</v>
      </c>
      <c r="T23" s="68" t="s">
        <v>791</v>
      </c>
      <c r="U23" s="73">
        <f t="shared" ref="U23:U86" si="30">R23-V23</f>
        <v>65000</v>
      </c>
      <c r="V23" s="73">
        <f>2000+5100+600+200+250</f>
        <v>8150</v>
      </c>
      <c r="W23" s="2">
        <f t="shared" si="13"/>
        <v>73150</v>
      </c>
      <c r="Y23" s="80">
        <f t="shared" si="14"/>
        <v>73150</v>
      </c>
      <c r="Z23" s="93"/>
      <c r="AA23" s="93"/>
      <c r="AB23" s="94"/>
      <c r="AE23" s="2">
        <v>97000</v>
      </c>
      <c r="AF23" s="28">
        <f t="shared" si="15"/>
        <v>97000</v>
      </c>
      <c r="AG23" s="55" t="s">
        <v>125</v>
      </c>
      <c r="AI23" s="20" t="s">
        <v>45</v>
      </c>
      <c r="AJ23" s="2">
        <f t="shared" si="16"/>
        <v>23850</v>
      </c>
      <c r="AN23" s="29">
        <f t="shared" si="17"/>
        <v>0.2458762886597938</v>
      </c>
      <c r="AP23" s="3" t="s">
        <v>29</v>
      </c>
      <c r="AQ23" s="1" t="s">
        <v>155</v>
      </c>
      <c r="AR23" s="31">
        <f t="shared" si="18"/>
        <v>0</v>
      </c>
      <c r="AS23" s="31">
        <f t="shared" si="19"/>
        <v>0</v>
      </c>
      <c r="AT23" s="31">
        <f t="shared" si="27"/>
        <v>0</v>
      </c>
      <c r="AU23" s="31">
        <f t="shared" si="20"/>
        <v>0</v>
      </c>
      <c r="AV23" s="31">
        <f t="shared" si="21"/>
        <v>0</v>
      </c>
      <c r="AW23" s="31">
        <f t="shared" si="22"/>
        <v>0</v>
      </c>
      <c r="AX23" s="31">
        <f t="shared" si="23"/>
        <v>0</v>
      </c>
      <c r="AY23" s="31">
        <f t="shared" si="24"/>
        <v>0</v>
      </c>
      <c r="AZ23" s="31">
        <f t="shared" si="25"/>
        <v>0</v>
      </c>
      <c r="BA23" s="31">
        <f t="shared" si="26"/>
        <v>0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35"/>
      <c r="CW23" s="35"/>
      <c r="CX23" s="35"/>
      <c r="CY23" s="35"/>
      <c r="CZ23" s="35"/>
      <c r="DA23" s="35"/>
      <c r="DB23" s="35"/>
      <c r="DC23" s="35"/>
      <c r="DD23" s="40"/>
      <c r="DE23" s="40"/>
      <c r="DF23" s="40"/>
      <c r="DG23" s="40"/>
      <c r="DH23" s="40"/>
      <c r="DI23" s="40"/>
      <c r="DJ23" s="40"/>
      <c r="DK23" s="40"/>
      <c r="DL23" s="35"/>
      <c r="DM23" s="35"/>
      <c r="DN23" s="35"/>
      <c r="DO23" s="35"/>
      <c r="DP23" s="35"/>
      <c r="DQ23" s="35"/>
      <c r="DR23" s="35"/>
      <c r="DS23" s="35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40"/>
      <c r="ES23" s="40"/>
      <c r="ET23" s="40"/>
      <c r="EU23" s="40"/>
      <c r="EV23" s="40"/>
      <c r="EW23" s="40"/>
      <c r="EX23" s="40"/>
      <c r="EY23" s="40"/>
      <c r="EZ23" s="35"/>
      <c r="FA23" s="35"/>
      <c r="FB23" s="35"/>
      <c r="FC23" s="35"/>
      <c r="FD23" s="35"/>
      <c r="FE23" s="35"/>
      <c r="FF23" s="35"/>
      <c r="FG23" s="35"/>
    </row>
    <row r="24" spans="1:163">
      <c r="A24" s="62">
        <v>286</v>
      </c>
      <c r="E24" s="63" t="s">
        <v>214</v>
      </c>
      <c r="F24" s="56" t="s">
        <v>95</v>
      </c>
      <c r="G24" s="65" t="s">
        <v>660</v>
      </c>
      <c r="H24" s="66" t="str">
        <f t="shared" si="8"/>
        <v xml:space="preserve"> 485</v>
      </c>
      <c r="I24" s="67" t="s">
        <v>660</v>
      </c>
      <c r="J24" s="68">
        <f t="shared" si="9"/>
        <v>0</v>
      </c>
      <c r="K24" s="63" t="s">
        <v>301</v>
      </c>
      <c r="L24" s="1" t="s">
        <v>46</v>
      </c>
      <c r="O24" s="64" t="s">
        <v>789</v>
      </c>
      <c r="P24" s="82">
        <v>0</v>
      </c>
      <c r="Q24" s="74">
        <f t="shared" si="28"/>
        <v>80000</v>
      </c>
      <c r="R24" s="71">
        <v>80000</v>
      </c>
      <c r="S24" s="72">
        <f t="shared" si="29"/>
        <v>9550</v>
      </c>
      <c r="T24" s="68" t="s">
        <v>791</v>
      </c>
      <c r="U24" s="73">
        <f t="shared" si="30"/>
        <v>70450</v>
      </c>
      <c r="V24" s="73">
        <f>2000+5500+600+200+250+1000</f>
        <v>9550</v>
      </c>
      <c r="W24" s="2">
        <f t="shared" si="13"/>
        <v>80000</v>
      </c>
      <c r="Y24" s="80">
        <f t="shared" si="14"/>
        <v>80000</v>
      </c>
      <c r="Z24" s="93"/>
      <c r="AA24" s="93"/>
      <c r="AB24" s="94"/>
      <c r="AE24" s="2">
        <v>99000</v>
      </c>
      <c r="AF24" s="28">
        <f t="shared" si="15"/>
        <v>99000</v>
      </c>
      <c r="AG24" s="55" t="s">
        <v>125</v>
      </c>
      <c r="AI24" s="20" t="s">
        <v>45</v>
      </c>
      <c r="AJ24" s="2">
        <f t="shared" si="16"/>
        <v>19000</v>
      </c>
      <c r="AN24" s="29">
        <f t="shared" si="17"/>
        <v>0.19191919191919191</v>
      </c>
      <c r="AP24" s="3" t="s">
        <v>29</v>
      </c>
      <c r="AQ24" s="1" t="s">
        <v>190</v>
      </c>
      <c r="AR24" s="31">
        <f t="shared" si="18"/>
        <v>0</v>
      </c>
      <c r="AS24" s="31">
        <f t="shared" si="19"/>
        <v>0</v>
      </c>
      <c r="AT24" s="31">
        <f t="shared" si="27"/>
        <v>0</v>
      </c>
      <c r="AU24" s="31">
        <f t="shared" si="20"/>
        <v>0</v>
      </c>
      <c r="AV24" s="31">
        <f t="shared" si="21"/>
        <v>0</v>
      </c>
      <c r="AW24" s="31">
        <f t="shared" si="22"/>
        <v>0</v>
      </c>
      <c r="AX24" s="31">
        <f t="shared" si="23"/>
        <v>0</v>
      </c>
      <c r="AY24" s="31">
        <f t="shared" si="24"/>
        <v>0</v>
      </c>
      <c r="AZ24" s="31">
        <f t="shared" si="25"/>
        <v>0</v>
      </c>
      <c r="BA24" s="31">
        <f t="shared" si="26"/>
        <v>0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35"/>
      <c r="CW24" s="35"/>
      <c r="CX24" s="35"/>
      <c r="CY24" s="35"/>
      <c r="CZ24" s="35"/>
      <c r="DA24" s="35"/>
      <c r="DB24" s="35"/>
      <c r="DC24" s="35"/>
      <c r="DD24" s="40"/>
      <c r="DE24" s="40"/>
      <c r="DF24" s="40"/>
      <c r="DG24" s="40"/>
      <c r="DH24" s="40"/>
      <c r="DI24" s="40"/>
      <c r="DJ24" s="40"/>
      <c r="DK24" s="40"/>
      <c r="DL24" s="35"/>
      <c r="DM24" s="35"/>
      <c r="DN24" s="35"/>
      <c r="DO24" s="35"/>
      <c r="DP24" s="35"/>
      <c r="DQ24" s="35"/>
      <c r="DR24" s="35"/>
      <c r="DS24" s="35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40"/>
      <c r="ES24" s="40"/>
      <c r="ET24" s="40"/>
      <c r="EU24" s="40"/>
      <c r="EV24" s="40"/>
      <c r="EW24" s="40"/>
      <c r="EX24" s="40"/>
      <c r="EY24" s="40"/>
      <c r="EZ24" s="35"/>
      <c r="FA24" s="35"/>
      <c r="FB24" s="35"/>
      <c r="FC24" s="35"/>
      <c r="FD24" s="35"/>
      <c r="FE24" s="35"/>
      <c r="FF24" s="35"/>
      <c r="FG24" s="35"/>
    </row>
    <row r="25" spans="1:163">
      <c r="A25" s="62">
        <v>289</v>
      </c>
      <c r="E25" s="63" t="s">
        <v>214</v>
      </c>
      <c r="F25" s="56" t="s">
        <v>95</v>
      </c>
      <c r="G25" s="65" t="s">
        <v>663</v>
      </c>
      <c r="H25" s="66" t="str">
        <f t="shared" si="8"/>
        <v xml:space="preserve"> 327</v>
      </c>
      <c r="I25" s="67" t="s">
        <v>663</v>
      </c>
      <c r="J25" s="68">
        <f t="shared" si="9"/>
        <v>0</v>
      </c>
      <c r="K25" s="63" t="s">
        <v>301</v>
      </c>
      <c r="L25" s="1" t="s">
        <v>46</v>
      </c>
      <c r="O25" s="64" t="s">
        <v>789</v>
      </c>
      <c r="P25" s="82">
        <v>0</v>
      </c>
      <c r="Q25" s="74">
        <f t="shared" si="28"/>
        <v>80000</v>
      </c>
      <c r="R25" s="71">
        <v>80000</v>
      </c>
      <c r="S25" s="72">
        <f t="shared" si="29"/>
        <v>9550</v>
      </c>
      <c r="T25" s="68" t="s">
        <v>791</v>
      </c>
      <c r="U25" s="73">
        <f t="shared" si="30"/>
        <v>70450</v>
      </c>
      <c r="V25" s="73">
        <f>2000+5500+600+200+250+1000</f>
        <v>9550</v>
      </c>
      <c r="W25" s="2">
        <f t="shared" si="13"/>
        <v>80000</v>
      </c>
      <c r="Y25" s="80">
        <f t="shared" si="14"/>
        <v>80000</v>
      </c>
      <c r="Z25" s="93"/>
      <c r="AA25" s="93"/>
      <c r="AB25" s="94"/>
      <c r="AE25" s="2">
        <v>124000</v>
      </c>
      <c r="AF25" s="28">
        <f t="shared" si="15"/>
        <v>124000</v>
      </c>
      <c r="AG25" s="55" t="s">
        <v>125</v>
      </c>
      <c r="AI25" s="20" t="s">
        <v>45</v>
      </c>
      <c r="AJ25" s="2">
        <f t="shared" si="16"/>
        <v>44000</v>
      </c>
      <c r="AN25" s="29">
        <f t="shared" si="17"/>
        <v>0.35483870967741937</v>
      </c>
      <c r="AP25" s="3" t="s">
        <v>29</v>
      </c>
      <c r="AQ25" s="1" t="s">
        <v>190</v>
      </c>
      <c r="AR25" s="31">
        <f t="shared" si="18"/>
        <v>0</v>
      </c>
      <c r="AS25" s="31">
        <f t="shared" si="19"/>
        <v>0</v>
      </c>
      <c r="AT25" s="31">
        <f t="shared" si="27"/>
        <v>0</v>
      </c>
      <c r="AU25" s="31">
        <f t="shared" si="20"/>
        <v>0</v>
      </c>
      <c r="AV25" s="31">
        <f t="shared" si="21"/>
        <v>0</v>
      </c>
      <c r="AW25" s="31">
        <f t="shared" si="22"/>
        <v>0</v>
      </c>
      <c r="AX25" s="31">
        <f t="shared" si="23"/>
        <v>0</v>
      </c>
      <c r="AY25" s="31">
        <f t="shared" si="24"/>
        <v>0</v>
      </c>
      <c r="AZ25" s="31">
        <f t="shared" si="25"/>
        <v>0</v>
      </c>
      <c r="BA25" s="31">
        <f t="shared" si="26"/>
        <v>0</v>
      </c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35"/>
      <c r="CW25" s="35"/>
      <c r="CX25" s="35"/>
      <c r="CY25" s="35"/>
      <c r="CZ25" s="35"/>
      <c r="DA25" s="35"/>
      <c r="DB25" s="35"/>
      <c r="DC25" s="35"/>
      <c r="DD25" s="40"/>
      <c r="DE25" s="40"/>
      <c r="DF25" s="40"/>
      <c r="DG25" s="40"/>
      <c r="DH25" s="40"/>
      <c r="DI25" s="40"/>
      <c r="DJ25" s="40"/>
      <c r="DK25" s="40"/>
      <c r="DL25" s="35"/>
      <c r="DM25" s="35"/>
      <c r="DN25" s="35"/>
      <c r="DO25" s="35"/>
      <c r="DP25" s="35"/>
      <c r="DQ25" s="35"/>
      <c r="DR25" s="35"/>
      <c r="DS25" s="35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40"/>
      <c r="ES25" s="40"/>
      <c r="ET25" s="40"/>
      <c r="EU25" s="40"/>
      <c r="EV25" s="40"/>
      <c r="EW25" s="40"/>
      <c r="EX25" s="40"/>
      <c r="EY25" s="40"/>
      <c r="EZ25" s="35"/>
      <c r="FA25" s="35"/>
      <c r="FB25" s="35"/>
      <c r="FC25" s="35"/>
      <c r="FD25" s="35"/>
      <c r="FE25" s="35"/>
      <c r="FF25" s="35"/>
      <c r="FG25" s="35"/>
    </row>
    <row r="26" spans="1:163">
      <c r="A26" s="62">
        <v>284</v>
      </c>
      <c r="E26" s="63" t="s">
        <v>218</v>
      </c>
      <c r="F26" s="56" t="s">
        <v>95</v>
      </c>
      <c r="G26" s="65" t="s">
        <v>658</v>
      </c>
      <c r="H26" s="66" t="str">
        <f t="shared" si="8"/>
        <v xml:space="preserve"> 969</v>
      </c>
      <c r="I26" s="67" t="s">
        <v>658</v>
      </c>
      <c r="J26" s="68">
        <f t="shared" si="9"/>
        <v>0</v>
      </c>
      <c r="K26" s="63" t="s">
        <v>301</v>
      </c>
      <c r="L26" s="1" t="s">
        <v>46</v>
      </c>
      <c r="O26" s="88" t="s">
        <v>790</v>
      </c>
      <c r="P26" s="89">
        <v>0</v>
      </c>
      <c r="Q26" s="90">
        <f t="shared" si="28"/>
        <v>80000</v>
      </c>
      <c r="R26" s="71">
        <v>80000</v>
      </c>
      <c r="S26" s="72">
        <f t="shared" si="29"/>
        <v>9550</v>
      </c>
      <c r="T26" s="68" t="s">
        <v>791</v>
      </c>
      <c r="U26" s="73">
        <f t="shared" si="30"/>
        <v>70450</v>
      </c>
      <c r="V26" s="73">
        <f>2000+5500+600+200+250+1000</f>
        <v>9550</v>
      </c>
      <c r="W26" s="2">
        <f t="shared" si="13"/>
        <v>80000</v>
      </c>
      <c r="Y26" s="81">
        <f t="shared" si="14"/>
        <v>80000</v>
      </c>
      <c r="Z26" s="96">
        <v>0</v>
      </c>
      <c r="AA26" s="97">
        <f>U26-Z26</f>
        <v>70450</v>
      </c>
      <c r="AB26" s="98" t="e">
        <f>AA26/Z26</f>
        <v>#DIV/0!</v>
      </c>
      <c r="AE26" s="2">
        <v>120000</v>
      </c>
      <c r="AF26" s="28">
        <f t="shared" si="15"/>
        <v>0</v>
      </c>
      <c r="AG26" s="55" t="s">
        <v>125</v>
      </c>
      <c r="AI26" s="20" t="s">
        <v>45</v>
      </c>
      <c r="AJ26" s="2">
        <f t="shared" si="16"/>
        <v>-80000</v>
      </c>
      <c r="AN26" s="29" t="e">
        <f t="shared" si="17"/>
        <v>#DIV/0!</v>
      </c>
      <c r="AP26" s="3" t="s">
        <v>29</v>
      </c>
      <c r="AQ26" s="1" t="s">
        <v>190</v>
      </c>
      <c r="AR26" s="31">
        <f t="shared" si="18"/>
        <v>0</v>
      </c>
      <c r="AS26" s="31">
        <f t="shared" si="19"/>
        <v>0</v>
      </c>
      <c r="AT26" s="31">
        <f t="shared" si="27"/>
        <v>0</v>
      </c>
      <c r="AU26" s="31">
        <f t="shared" si="20"/>
        <v>0</v>
      </c>
      <c r="AV26" s="31">
        <f t="shared" si="21"/>
        <v>0</v>
      </c>
      <c r="AW26" s="31">
        <f t="shared" si="22"/>
        <v>0</v>
      </c>
      <c r="AX26" s="31">
        <f t="shared" si="23"/>
        <v>0</v>
      </c>
      <c r="AY26" s="31">
        <f t="shared" si="24"/>
        <v>0</v>
      </c>
      <c r="AZ26" s="31">
        <f t="shared" si="25"/>
        <v>0</v>
      </c>
      <c r="BA26" s="31">
        <f t="shared" si="26"/>
        <v>0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35"/>
      <c r="CW26" s="35"/>
      <c r="CX26" s="35"/>
      <c r="CY26" s="35"/>
      <c r="CZ26" s="35"/>
      <c r="DA26" s="35"/>
      <c r="DB26" s="35"/>
      <c r="DC26" s="35"/>
      <c r="DD26" s="40"/>
      <c r="DE26" s="40"/>
      <c r="DF26" s="40"/>
      <c r="DG26" s="40"/>
      <c r="DH26" s="40"/>
      <c r="DI26" s="40"/>
      <c r="DJ26" s="40"/>
      <c r="DK26" s="40"/>
      <c r="DL26" s="35"/>
      <c r="DM26" s="35"/>
      <c r="DN26" s="35"/>
      <c r="DO26" s="35"/>
      <c r="DP26" s="35"/>
      <c r="DQ26" s="35"/>
      <c r="DR26" s="35"/>
      <c r="DS26" s="35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40"/>
      <c r="ES26" s="40"/>
      <c r="ET26" s="40"/>
      <c r="EU26" s="40"/>
      <c r="EV26" s="40"/>
      <c r="EW26" s="40"/>
      <c r="EX26" s="40"/>
      <c r="EY26" s="40"/>
      <c r="EZ26" s="35"/>
      <c r="FA26" s="35"/>
      <c r="FB26" s="35"/>
      <c r="FC26" s="35"/>
      <c r="FD26" s="35"/>
      <c r="FE26" s="35"/>
      <c r="FF26" s="35"/>
      <c r="FG26" s="35"/>
    </row>
    <row r="27" spans="1:163">
      <c r="A27" s="62">
        <v>36</v>
      </c>
      <c r="E27" s="63" t="s">
        <v>113</v>
      </c>
      <c r="F27" s="56" t="s">
        <v>113</v>
      </c>
      <c r="G27" s="65" t="s">
        <v>416</v>
      </c>
      <c r="H27" s="66" t="str">
        <f t="shared" si="8"/>
        <v xml:space="preserve"> 263</v>
      </c>
      <c r="I27" s="67" t="s">
        <v>416</v>
      </c>
      <c r="J27" s="68">
        <f t="shared" si="9"/>
        <v>0</v>
      </c>
      <c r="K27" s="63" t="s">
        <v>261</v>
      </c>
      <c r="L27" s="1" t="s">
        <v>46</v>
      </c>
      <c r="O27" s="64" t="s">
        <v>789</v>
      </c>
      <c r="P27" s="82">
        <v>0</v>
      </c>
      <c r="Q27" s="74">
        <f t="shared" si="28"/>
        <v>73500</v>
      </c>
      <c r="R27" s="71">
        <v>73500</v>
      </c>
      <c r="S27" s="72">
        <f t="shared" si="29"/>
        <v>8150</v>
      </c>
      <c r="T27" s="68" t="s">
        <v>791</v>
      </c>
      <c r="U27" s="73">
        <f t="shared" si="30"/>
        <v>65350</v>
      </c>
      <c r="V27" s="75">
        <f t="shared" ref="V27:V33" si="31">2000+5100+600+200+250</f>
        <v>8150</v>
      </c>
      <c r="W27" s="2">
        <f t="shared" si="13"/>
        <v>73500</v>
      </c>
      <c r="Y27" s="80">
        <f t="shared" si="14"/>
        <v>73500</v>
      </c>
      <c r="Z27" s="93"/>
      <c r="AA27" s="93"/>
      <c r="AB27" s="94"/>
      <c r="AE27" s="2">
        <v>104000</v>
      </c>
      <c r="AF27" s="28">
        <f t="shared" si="15"/>
        <v>104000</v>
      </c>
      <c r="AG27" s="55" t="s">
        <v>125</v>
      </c>
      <c r="AI27" s="20" t="s">
        <v>45</v>
      </c>
      <c r="AJ27" s="2">
        <f t="shared" si="16"/>
        <v>30500</v>
      </c>
      <c r="AN27" s="29">
        <f t="shared" si="17"/>
        <v>0.29326923076923078</v>
      </c>
      <c r="AP27" s="3" t="s">
        <v>29</v>
      </c>
      <c r="AQ27" s="1" t="s">
        <v>148</v>
      </c>
      <c r="AR27" s="31">
        <f t="shared" si="18"/>
        <v>0</v>
      </c>
      <c r="AS27" s="31">
        <f t="shared" si="19"/>
        <v>0</v>
      </c>
      <c r="AT27" s="31">
        <f t="shared" si="27"/>
        <v>0</v>
      </c>
      <c r="AU27" s="31">
        <f t="shared" si="20"/>
        <v>0</v>
      </c>
      <c r="AV27" s="31">
        <f t="shared" si="21"/>
        <v>0</v>
      </c>
      <c r="AW27" s="31">
        <f t="shared" si="22"/>
        <v>0</v>
      </c>
      <c r="AX27" s="31">
        <f t="shared" si="23"/>
        <v>0</v>
      </c>
      <c r="AY27" s="31">
        <f t="shared" si="24"/>
        <v>0</v>
      </c>
      <c r="AZ27" s="31">
        <f t="shared" si="25"/>
        <v>0</v>
      </c>
      <c r="BA27" s="31">
        <f t="shared" si="26"/>
        <v>0</v>
      </c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41"/>
      <c r="BM27" s="41"/>
      <c r="BN27" s="41"/>
      <c r="BO27" s="37"/>
      <c r="BP27" s="38"/>
      <c r="BQ27" s="37"/>
      <c r="BR27" s="40"/>
      <c r="BS27" s="39"/>
      <c r="BT27" s="39"/>
      <c r="BU27" s="39"/>
      <c r="BV27" s="39"/>
      <c r="BW27" s="39"/>
      <c r="BX27" s="36"/>
      <c r="BY27" s="33"/>
      <c r="BZ27" s="33"/>
      <c r="CA27" s="33"/>
      <c r="CB27" s="34"/>
      <c r="CC27" s="33"/>
      <c r="CD27" s="35"/>
      <c r="CE27" s="48"/>
      <c r="CF27" s="48"/>
      <c r="CG27" s="48"/>
      <c r="CH27" s="48"/>
      <c r="CI27" s="48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35"/>
      <c r="CW27" s="35"/>
      <c r="CX27" s="35"/>
      <c r="CY27" s="35"/>
      <c r="CZ27" s="35"/>
      <c r="DA27" s="35"/>
      <c r="DB27" s="35"/>
      <c r="DC27" s="35"/>
      <c r="DD27" s="40"/>
      <c r="DE27" s="40"/>
      <c r="DF27" s="40"/>
      <c r="DG27" s="40"/>
      <c r="DH27" s="40"/>
      <c r="DI27" s="40"/>
      <c r="DJ27" s="40"/>
      <c r="DK27" s="40"/>
      <c r="DL27" s="35"/>
      <c r="DM27" s="35"/>
      <c r="DN27" s="35"/>
      <c r="DO27" s="35"/>
      <c r="DP27" s="35"/>
      <c r="DQ27" s="35"/>
      <c r="DR27" s="35"/>
      <c r="DS27" s="35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40"/>
      <c r="ES27" s="40"/>
      <c r="ET27" s="40"/>
      <c r="EU27" s="40"/>
      <c r="EV27" s="40"/>
      <c r="EW27" s="40"/>
      <c r="EX27" s="40"/>
      <c r="EY27" s="40"/>
      <c r="EZ27" s="35"/>
      <c r="FA27" s="35"/>
      <c r="FB27" s="35"/>
      <c r="FC27" s="35"/>
      <c r="FD27" s="35"/>
      <c r="FE27" s="35"/>
      <c r="FF27" s="35"/>
      <c r="FG27" s="35"/>
    </row>
    <row r="28" spans="1:163">
      <c r="A28" s="62">
        <v>58</v>
      </c>
      <c r="E28" s="63" t="s">
        <v>113</v>
      </c>
      <c r="F28" s="56" t="s">
        <v>115</v>
      </c>
      <c r="G28" s="65" t="s">
        <v>438</v>
      </c>
      <c r="H28" s="66" t="str">
        <f t="shared" si="8"/>
        <v xml:space="preserve"> 762</v>
      </c>
      <c r="I28" s="67" t="s">
        <v>438</v>
      </c>
      <c r="J28" s="68">
        <f t="shared" si="9"/>
        <v>0</v>
      </c>
      <c r="K28" s="63" t="s">
        <v>261</v>
      </c>
      <c r="L28" s="1" t="s">
        <v>46</v>
      </c>
      <c r="O28" s="64" t="s">
        <v>789</v>
      </c>
      <c r="P28" s="82">
        <v>0</v>
      </c>
      <c r="Q28" s="74">
        <f t="shared" si="28"/>
        <v>71750</v>
      </c>
      <c r="R28" s="71">
        <v>71750</v>
      </c>
      <c r="S28" s="72">
        <f t="shared" si="29"/>
        <v>8150</v>
      </c>
      <c r="T28" s="68" t="s">
        <v>791</v>
      </c>
      <c r="U28" s="73">
        <f t="shared" si="30"/>
        <v>63600</v>
      </c>
      <c r="V28" s="75">
        <f t="shared" si="31"/>
        <v>8150</v>
      </c>
      <c r="W28" s="2">
        <f t="shared" si="13"/>
        <v>71750</v>
      </c>
      <c r="Y28" s="80">
        <f t="shared" si="14"/>
        <v>71750</v>
      </c>
      <c r="Z28" s="93"/>
      <c r="AA28" s="93"/>
      <c r="AB28" s="94"/>
      <c r="AE28" s="2">
        <v>97000</v>
      </c>
      <c r="AF28" s="28">
        <f t="shared" si="15"/>
        <v>97000</v>
      </c>
      <c r="AG28" s="55" t="s">
        <v>125</v>
      </c>
      <c r="AI28" s="20" t="s">
        <v>45</v>
      </c>
      <c r="AJ28" s="2">
        <f t="shared" si="16"/>
        <v>25250</v>
      </c>
      <c r="AN28" s="29">
        <f t="shared" si="17"/>
        <v>0.26030927835051548</v>
      </c>
      <c r="AP28" s="3" t="s">
        <v>29</v>
      </c>
      <c r="AQ28" s="1" t="s">
        <v>153</v>
      </c>
      <c r="AR28" s="31">
        <f t="shared" si="18"/>
        <v>0</v>
      </c>
      <c r="AS28" s="31">
        <f t="shared" si="19"/>
        <v>0</v>
      </c>
      <c r="AT28" s="31">
        <f t="shared" si="27"/>
        <v>0</v>
      </c>
      <c r="AU28" s="31">
        <f t="shared" si="20"/>
        <v>0</v>
      </c>
      <c r="AV28" s="31">
        <f t="shared" si="21"/>
        <v>0</v>
      </c>
      <c r="AW28" s="31">
        <f t="shared" si="22"/>
        <v>0</v>
      </c>
      <c r="AX28" s="31">
        <f t="shared" si="23"/>
        <v>0</v>
      </c>
      <c r="AY28" s="31">
        <f t="shared" si="24"/>
        <v>0</v>
      </c>
      <c r="AZ28" s="31">
        <f t="shared" si="25"/>
        <v>0</v>
      </c>
      <c r="BA28" s="31">
        <f t="shared" si="26"/>
        <v>0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41"/>
      <c r="BM28" s="41"/>
      <c r="BN28" s="41"/>
      <c r="BO28" s="37"/>
      <c r="BP28" s="38"/>
      <c r="BQ28" s="37"/>
      <c r="BR28" s="40"/>
      <c r="BS28" s="39"/>
      <c r="BT28" s="39"/>
      <c r="BU28" s="39"/>
      <c r="BV28" s="39"/>
      <c r="BW28" s="39"/>
      <c r="BX28" s="36"/>
      <c r="BY28" s="33"/>
      <c r="BZ28" s="33"/>
      <c r="CA28" s="33"/>
      <c r="CB28" s="34"/>
      <c r="CC28" s="33"/>
      <c r="CD28" s="35"/>
      <c r="CE28" s="48"/>
      <c r="CF28" s="48"/>
      <c r="CG28" s="48"/>
      <c r="CH28" s="48"/>
      <c r="CI28" s="48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35"/>
      <c r="CW28" s="35"/>
      <c r="CX28" s="35"/>
      <c r="CY28" s="35"/>
      <c r="CZ28" s="35"/>
      <c r="DA28" s="35"/>
      <c r="DB28" s="35"/>
      <c r="DC28" s="35"/>
      <c r="DD28" s="40"/>
      <c r="DE28" s="40"/>
      <c r="DF28" s="40"/>
      <c r="DG28" s="40"/>
      <c r="DH28" s="40"/>
      <c r="DI28" s="40"/>
      <c r="DJ28" s="40"/>
      <c r="DK28" s="40"/>
      <c r="DL28" s="35"/>
      <c r="DM28" s="35"/>
      <c r="DN28" s="35"/>
      <c r="DO28" s="35"/>
      <c r="DP28" s="35"/>
      <c r="DQ28" s="35"/>
      <c r="DR28" s="35"/>
      <c r="DS28" s="35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40"/>
      <c r="ES28" s="40"/>
      <c r="ET28" s="40"/>
      <c r="EU28" s="40"/>
      <c r="EV28" s="40"/>
      <c r="EW28" s="40"/>
      <c r="EX28" s="40"/>
      <c r="EY28" s="40"/>
      <c r="EZ28" s="35"/>
      <c r="FA28" s="35"/>
      <c r="FB28" s="35"/>
      <c r="FC28" s="35"/>
      <c r="FD28" s="35"/>
      <c r="FE28" s="35"/>
      <c r="FF28" s="35"/>
      <c r="FG28" s="35"/>
    </row>
    <row r="29" spans="1:163">
      <c r="A29" s="62">
        <v>66</v>
      </c>
      <c r="E29" s="63" t="s">
        <v>113</v>
      </c>
      <c r="F29" s="56" t="s">
        <v>115</v>
      </c>
      <c r="G29" s="65" t="s">
        <v>447</v>
      </c>
      <c r="H29" s="66" t="str">
        <f t="shared" si="8"/>
        <v xml:space="preserve"> 172</v>
      </c>
      <c r="I29" s="67" t="s">
        <v>447</v>
      </c>
      <c r="J29" s="68">
        <f t="shared" si="9"/>
        <v>0</v>
      </c>
      <c r="K29" s="63" t="s">
        <v>261</v>
      </c>
      <c r="L29" s="1" t="s">
        <v>46</v>
      </c>
      <c r="O29" s="64" t="s">
        <v>789</v>
      </c>
      <c r="P29" s="82">
        <v>0</v>
      </c>
      <c r="Q29" s="74">
        <f t="shared" si="28"/>
        <v>71750</v>
      </c>
      <c r="R29" s="71">
        <v>71750</v>
      </c>
      <c r="S29" s="72">
        <f t="shared" si="29"/>
        <v>8150</v>
      </c>
      <c r="T29" s="68" t="s">
        <v>791</v>
      </c>
      <c r="U29" s="73">
        <f t="shared" si="30"/>
        <v>63600</v>
      </c>
      <c r="V29" s="75">
        <f t="shared" si="31"/>
        <v>8150</v>
      </c>
      <c r="W29" s="2">
        <f t="shared" si="13"/>
        <v>71750</v>
      </c>
      <c r="Y29" s="80">
        <f t="shared" si="14"/>
        <v>71750</v>
      </c>
      <c r="Z29" s="93"/>
      <c r="AA29" s="93"/>
      <c r="AB29" s="94"/>
      <c r="AC29" s="2">
        <v>3000</v>
      </c>
      <c r="AD29" s="2">
        <f>Z29+AC29</f>
        <v>3000</v>
      </c>
      <c r="AF29" s="28">
        <f t="shared" si="15"/>
        <v>0</v>
      </c>
      <c r="AG29" s="55" t="s">
        <v>125</v>
      </c>
      <c r="AI29" s="20" t="s">
        <v>45</v>
      </c>
      <c r="AJ29" s="2">
        <f t="shared" si="16"/>
        <v>-71750</v>
      </c>
      <c r="AN29" s="29" t="e">
        <f t="shared" si="17"/>
        <v>#DIV/0!</v>
      </c>
      <c r="AO29" s="29" t="e">
        <f>AN29-AB29</f>
        <v>#DIV/0!</v>
      </c>
      <c r="AP29" s="3" t="s">
        <v>29</v>
      </c>
      <c r="AQ29" s="1" t="s">
        <v>153</v>
      </c>
      <c r="AR29" s="31">
        <f t="shared" si="18"/>
        <v>0</v>
      </c>
      <c r="AS29" s="31">
        <f t="shared" si="19"/>
        <v>0</v>
      </c>
      <c r="AT29" s="31">
        <f t="shared" si="27"/>
        <v>0</v>
      </c>
      <c r="AU29" s="31">
        <f t="shared" si="20"/>
        <v>0</v>
      </c>
      <c r="AV29" s="31">
        <f t="shared" si="21"/>
        <v>0</v>
      </c>
      <c r="AW29" s="31">
        <f t="shared" si="22"/>
        <v>0</v>
      </c>
      <c r="AX29" s="31">
        <f t="shared" si="23"/>
        <v>0</v>
      </c>
      <c r="AY29" s="31">
        <f t="shared" si="24"/>
        <v>0</v>
      </c>
      <c r="AZ29" s="31">
        <f t="shared" si="25"/>
        <v>0</v>
      </c>
      <c r="BA29" s="31">
        <f t="shared" si="26"/>
        <v>0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41"/>
      <c r="BM29" s="41"/>
      <c r="BN29" s="41"/>
      <c r="BO29" s="37"/>
      <c r="BP29" s="38"/>
      <c r="BQ29" s="37"/>
      <c r="BR29" s="40"/>
      <c r="BS29" s="39"/>
      <c r="BT29" s="39"/>
      <c r="BU29" s="39"/>
      <c r="BV29" s="39"/>
      <c r="BW29" s="39"/>
      <c r="BX29" s="36"/>
      <c r="BY29" s="33"/>
      <c r="BZ29" s="33"/>
      <c r="CA29" s="33"/>
      <c r="CB29" s="34"/>
      <c r="CC29" s="33"/>
      <c r="CD29" s="35"/>
      <c r="CE29" s="48"/>
      <c r="CF29" s="48"/>
      <c r="CG29" s="48"/>
      <c r="CH29" s="48"/>
      <c r="CI29" s="48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35"/>
      <c r="CW29" s="35"/>
      <c r="CX29" s="35"/>
      <c r="CY29" s="35"/>
      <c r="CZ29" s="35"/>
      <c r="DA29" s="35"/>
      <c r="DB29" s="35"/>
      <c r="DC29" s="35"/>
      <c r="DD29" s="40"/>
      <c r="DE29" s="40"/>
      <c r="DF29" s="40"/>
      <c r="DG29" s="40"/>
      <c r="DH29" s="40"/>
      <c r="DI29" s="40"/>
      <c r="DJ29" s="40"/>
      <c r="DK29" s="40"/>
      <c r="DL29" s="35"/>
      <c r="DM29" s="35"/>
      <c r="DN29" s="35"/>
      <c r="DO29" s="35"/>
      <c r="DP29" s="35"/>
      <c r="DQ29" s="35"/>
      <c r="DR29" s="35"/>
      <c r="DS29" s="35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40"/>
      <c r="ES29" s="40"/>
      <c r="ET29" s="40"/>
      <c r="EU29" s="40"/>
      <c r="EV29" s="40"/>
      <c r="EW29" s="40"/>
      <c r="EX29" s="40"/>
      <c r="EY29" s="40"/>
      <c r="EZ29" s="35"/>
      <c r="FA29" s="35"/>
      <c r="FB29" s="35"/>
      <c r="FC29" s="35"/>
      <c r="FD29" s="35"/>
      <c r="FE29" s="35"/>
      <c r="FF29" s="35"/>
      <c r="FG29" s="35"/>
    </row>
    <row r="30" spans="1:163">
      <c r="A30" s="60">
        <v>108</v>
      </c>
      <c r="E30" s="63" t="s">
        <v>56</v>
      </c>
      <c r="F30" s="56" t="s">
        <v>58</v>
      </c>
      <c r="G30" s="65" t="s">
        <v>487</v>
      </c>
      <c r="H30" s="66" t="str">
        <f t="shared" si="8"/>
        <v xml:space="preserve"> 801</v>
      </c>
      <c r="I30" s="67" t="s">
        <v>487</v>
      </c>
      <c r="J30" s="68">
        <f t="shared" si="9"/>
        <v>0</v>
      </c>
      <c r="K30" s="63" t="s">
        <v>261</v>
      </c>
      <c r="L30" s="1" t="s">
        <v>46</v>
      </c>
      <c r="O30" s="64" t="s">
        <v>789</v>
      </c>
      <c r="P30" s="82">
        <v>0</v>
      </c>
      <c r="Q30" s="74">
        <f t="shared" si="28"/>
        <v>67500</v>
      </c>
      <c r="R30" s="71">
        <v>67500</v>
      </c>
      <c r="S30" s="72">
        <f t="shared" si="29"/>
        <v>8150</v>
      </c>
      <c r="T30" s="68" t="s">
        <v>791</v>
      </c>
      <c r="U30" s="73">
        <f t="shared" si="30"/>
        <v>59350</v>
      </c>
      <c r="V30" s="75">
        <f t="shared" si="31"/>
        <v>8150</v>
      </c>
      <c r="W30" s="2">
        <f t="shared" si="13"/>
        <v>67500</v>
      </c>
      <c r="Y30" s="80">
        <f t="shared" si="14"/>
        <v>67500</v>
      </c>
      <c r="Z30" s="93"/>
      <c r="AA30" s="93"/>
      <c r="AB30" s="94"/>
      <c r="AE30" s="2">
        <v>93000</v>
      </c>
      <c r="AF30" s="28">
        <f t="shared" si="15"/>
        <v>93000</v>
      </c>
      <c r="AG30" s="55" t="s">
        <v>125</v>
      </c>
      <c r="AI30" s="20" t="s">
        <v>45</v>
      </c>
      <c r="AJ30" s="2">
        <f t="shared" si="16"/>
        <v>25500</v>
      </c>
      <c r="AN30" s="29">
        <f t="shared" si="17"/>
        <v>0.27419354838709675</v>
      </c>
      <c r="AP30" s="3" t="s">
        <v>29</v>
      </c>
      <c r="AQ30" s="1" t="s">
        <v>143</v>
      </c>
      <c r="AR30" s="31">
        <f t="shared" si="18"/>
        <v>0</v>
      </c>
      <c r="AS30" s="31">
        <f t="shared" si="19"/>
        <v>0</v>
      </c>
      <c r="AT30" s="31">
        <f t="shared" si="27"/>
        <v>0</v>
      </c>
      <c r="AU30" s="31">
        <f t="shared" si="20"/>
        <v>0</v>
      </c>
      <c r="AV30" s="31">
        <f t="shared" si="21"/>
        <v>0</v>
      </c>
      <c r="AW30" s="31">
        <f t="shared" si="22"/>
        <v>0</v>
      </c>
      <c r="AX30" s="31">
        <f t="shared" si="23"/>
        <v>0</v>
      </c>
      <c r="AY30" s="31">
        <f t="shared" si="24"/>
        <v>0</v>
      </c>
      <c r="AZ30" s="31">
        <f t="shared" si="25"/>
        <v>0</v>
      </c>
      <c r="BA30" s="31">
        <f t="shared" si="26"/>
        <v>0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41"/>
      <c r="BM30" s="41"/>
      <c r="BN30" s="41"/>
      <c r="BO30" s="37"/>
      <c r="BP30" s="38"/>
      <c r="BQ30" s="37"/>
      <c r="BR30" s="40"/>
      <c r="BS30" s="39"/>
      <c r="BT30" s="39"/>
      <c r="BU30" s="39"/>
      <c r="BV30" s="39"/>
      <c r="BW30" s="39"/>
      <c r="BX30" s="36"/>
      <c r="BY30" s="33"/>
      <c r="BZ30" s="33"/>
      <c r="CA30" s="33"/>
      <c r="CB30" s="34"/>
      <c r="CC30" s="33"/>
      <c r="CD30" s="35"/>
      <c r="CE30" s="48"/>
      <c r="CF30" s="48"/>
      <c r="CG30" s="48"/>
      <c r="CH30" s="48"/>
      <c r="CI30" s="48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35"/>
      <c r="CW30" s="35"/>
      <c r="CX30" s="35"/>
      <c r="CY30" s="35"/>
      <c r="CZ30" s="35"/>
      <c r="DA30" s="35"/>
      <c r="DB30" s="35"/>
      <c r="DC30" s="35"/>
      <c r="DD30" s="40"/>
      <c r="DE30" s="40"/>
      <c r="DF30" s="40"/>
      <c r="DG30" s="40"/>
      <c r="DH30" s="40"/>
      <c r="DI30" s="40"/>
      <c r="DJ30" s="40"/>
      <c r="DK30" s="40"/>
      <c r="DL30" s="35"/>
      <c r="DM30" s="35"/>
      <c r="DN30" s="35"/>
      <c r="DO30" s="35"/>
      <c r="DP30" s="35"/>
      <c r="DQ30" s="35"/>
      <c r="DR30" s="35"/>
      <c r="DS30" s="35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40"/>
      <c r="ES30" s="40"/>
      <c r="ET30" s="40"/>
      <c r="EU30" s="40"/>
      <c r="EV30" s="40"/>
      <c r="EW30" s="40"/>
      <c r="EX30" s="40"/>
      <c r="EY30" s="40"/>
      <c r="EZ30" s="35"/>
      <c r="FA30" s="35"/>
      <c r="FB30" s="35"/>
      <c r="FC30" s="35"/>
      <c r="FD30" s="35"/>
      <c r="FE30" s="35"/>
      <c r="FF30" s="35"/>
      <c r="FG30" s="35"/>
    </row>
    <row r="31" spans="1:163">
      <c r="A31" s="60">
        <v>118</v>
      </c>
      <c r="E31" s="63" t="s">
        <v>58</v>
      </c>
      <c r="F31" s="56" t="s">
        <v>59</v>
      </c>
      <c r="G31" s="65" t="s">
        <v>497</v>
      </c>
      <c r="H31" s="66" t="str">
        <f t="shared" si="8"/>
        <v xml:space="preserve"> 785</v>
      </c>
      <c r="I31" s="67" t="s">
        <v>497</v>
      </c>
      <c r="J31" s="68">
        <f t="shared" si="9"/>
        <v>0</v>
      </c>
      <c r="K31" s="63" t="s">
        <v>261</v>
      </c>
      <c r="L31" s="1" t="s">
        <v>46</v>
      </c>
      <c r="O31" s="64" t="s">
        <v>789</v>
      </c>
      <c r="P31" s="82">
        <v>0</v>
      </c>
      <c r="Q31" s="74">
        <f t="shared" si="28"/>
        <v>67500</v>
      </c>
      <c r="R31" s="71">
        <v>67500</v>
      </c>
      <c r="S31" s="72">
        <f t="shared" si="29"/>
        <v>8150</v>
      </c>
      <c r="T31" s="68" t="s">
        <v>791</v>
      </c>
      <c r="U31" s="73">
        <f t="shared" si="30"/>
        <v>59350</v>
      </c>
      <c r="V31" s="75">
        <f t="shared" si="31"/>
        <v>8150</v>
      </c>
      <c r="W31" s="2">
        <f t="shared" si="13"/>
        <v>67500</v>
      </c>
      <c r="Y31" s="80">
        <f t="shared" si="14"/>
        <v>67500</v>
      </c>
      <c r="Z31" s="93"/>
      <c r="AA31" s="93"/>
      <c r="AB31" s="94"/>
      <c r="AE31" s="2">
        <v>95000</v>
      </c>
      <c r="AF31" s="28">
        <f t="shared" si="15"/>
        <v>95000</v>
      </c>
      <c r="AG31" s="55" t="s">
        <v>125</v>
      </c>
      <c r="AI31" s="20" t="s">
        <v>206</v>
      </c>
      <c r="AJ31" s="2">
        <f t="shared" si="16"/>
        <v>27500</v>
      </c>
      <c r="AN31" s="29">
        <f t="shared" si="17"/>
        <v>0.28947368421052633</v>
      </c>
      <c r="AP31" s="3" t="s">
        <v>29</v>
      </c>
      <c r="AQ31" s="1" t="s">
        <v>139</v>
      </c>
      <c r="AR31" s="31">
        <f t="shared" si="18"/>
        <v>0</v>
      </c>
      <c r="AS31" s="31">
        <f t="shared" si="19"/>
        <v>0</v>
      </c>
      <c r="AT31" s="31">
        <f t="shared" si="27"/>
        <v>0</v>
      </c>
      <c r="AU31" s="31">
        <f t="shared" si="20"/>
        <v>0</v>
      </c>
      <c r="AV31" s="31">
        <f t="shared" si="21"/>
        <v>0</v>
      </c>
      <c r="AW31" s="31">
        <f t="shared" si="22"/>
        <v>0</v>
      </c>
      <c r="AX31" s="31">
        <f t="shared" si="23"/>
        <v>0</v>
      </c>
      <c r="AY31" s="31">
        <f t="shared" si="24"/>
        <v>0</v>
      </c>
      <c r="AZ31" s="31">
        <f t="shared" si="25"/>
        <v>0</v>
      </c>
      <c r="BA31" s="31">
        <f t="shared" si="26"/>
        <v>0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41"/>
      <c r="BM31" s="41"/>
      <c r="BN31" s="41"/>
      <c r="BO31" s="37"/>
      <c r="BP31" s="38"/>
      <c r="BQ31" s="37"/>
      <c r="BR31" s="40"/>
      <c r="BS31" s="39"/>
      <c r="BT31" s="39"/>
      <c r="BU31" s="39"/>
      <c r="BV31" s="39"/>
      <c r="BW31" s="39"/>
      <c r="BX31" s="36"/>
      <c r="BY31" s="33"/>
      <c r="BZ31" s="33"/>
      <c r="CA31" s="33"/>
      <c r="CB31" s="34"/>
      <c r="CC31" s="33"/>
      <c r="CD31" s="35"/>
      <c r="CE31" s="48"/>
      <c r="CF31" s="48"/>
      <c r="CG31" s="48"/>
      <c r="CH31" s="48"/>
      <c r="CI31" s="48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35"/>
      <c r="CW31" s="35"/>
      <c r="CX31" s="35"/>
      <c r="CY31" s="35"/>
      <c r="CZ31" s="35"/>
      <c r="DA31" s="35"/>
      <c r="DB31" s="35"/>
      <c r="DC31" s="35"/>
      <c r="DD31" s="40"/>
      <c r="DE31" s="40"/>
      <c r="DF31" s="40"/>
      <c r="DG31" s="40"/>
      <c r="DH31" s="40"/>
      <c r="DI31" s="40"/>
      <c r="DJ31" s="40"/>
      <c r="DK31" s="40"/>
      <c r="DL31" s="35"/>
      <c r="DM31" s="35"/>
      <c r="DN31" s="35"/>
      <c r="DO31" s="35"/>
      <c r="DP31" s="35"/>
      <c r="DQ31" s="35"/>
      <c r="DR31" s="35"/>
      <c r="DS31" s="35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40"/>
      <c r="ES31" s="40"/>
      <c r="ET31" s="40"/>
      <c r="EU31" s="40"/>
      <c r="EV31" s="40"/>
      <c r="EW31" s="40"/>
      <c r="EX31" s="40"/>
      <c r="EY31" s="40"/>
      <c r="EZ31" s="35"/>
      <c r="FA31" s="35"/>
      <c r="FB31" s="35"/>
      <c r="FC31" s="35"/>
      <c r="FD31" s="35"/>
      <c r="FE31" s="35"/>
      <c r="FF31" s="35"/>
      <c r="FG31" s="35"/>
    </row>
    <row r="32" spans="1:163">
      <c r="A32" s="60">
        <v>120</v>
      </c>
      <c r="E32" s="63" t="s">
        <v>58</v>
      </c>
      <c r="F32" s="56" t="s">
        <v>59</v>
      </c>
      <c r="G32" s="65" t="s">
        <v>499</v>
      </c>
      <c r="H32" s="66" t="str">
        <f t="shared" si="8"/>
        <v xml:space="preserve"> 736</v>
      </c>
      <c r="I32" s="67" t="s">
        <v>499</v>
      </c>
      <c r="J32" s="68">
        <f t="shared" si="9"/>
        <v>0</v>
      </c>
      <c r="K32" s="63" t="s">
        <v>261</v>
      </c>
      <c r="L32" s="1" t="s">
        <v>46</v>
      </c>
      <c r="O32" s="64" t="s">
        <v>789</v>
      </c>
      <c r="P32" s="82">
        <v>0</v>
      </c>
      <c r="Q32" s="74">
        <f t="shared" si="28"/>
        <v>67500</v>
      </c>
      <c r="R32" s="71">
        <v>67500</v>
      </c>
      <c r="S32" s="72">
        <f t="shared" si="29"/>
        <v>8150</v>
      </c>
      <c r="T32" s="68" t="s">
        <v>791</v>
      </c>
      <c r="U32" s="73">
        <f t="shared" si="30"/>
        <v>59350</v>
      </c>
      <c r="V32" s="75">
        <f t="shared" si="31"/>
        <v>8150</v>
      </c>
      <c r="W32" s="2">
        <f t="shared" si="13"/>
        <v>67500</v>
      </c>
      <c r="Y32" s="80">
        <f t="shared" si="14"/>
        <v>67500</v>
      </c>
      <c r="Z32" s="93"/>
      <c r="AA32" s="93"/>
      <c r="AB32" s="94"/>
      <c r="AE32" s="2">
        <v>88000</v>
      </c>
      <c r="AF32" s="28">
        <f t="shared" si="15"/>
        <v>88000</v>
      </c>
      <c r="AG32" s="55" t="s">
        <v>125</v>
      </c>
      <c r="AI32" s="20" t="s">
        <v>206</v>
      </c>
      <c r="AJ32" s="2">
        <f t="shared" si="16"/>
        <v>20500</v>
      </c>
      <c r="AN32" s="29">
        <f t="shared" si="17"/>
        <v>0.23295454545454544</v>
      </c>
      <c r="AP32" s="3" t="s">
        <v>29</v>
      </c>
      <c r="AQ32" s="1" t="s">
        <v>139</v>
      </c>
      <c r="AR32" s="31">
        <f t="shared" si="18"/>
        <v>0</v>
      </c>
      <c r="AS32" s="31">
        <f t="shared" si="19"/>
        <v>0</v>
      </c>
      <c r="AT32" s="31">
        <f t="shared" si="27"/>
        <v>0</v>
      </c>
      <c r="AU32" s="31">
        <f t="shared" si="20"/>
        <v>0</v>
      </c>
      <c r="AV32" s="31">
        <f t="shared" si="21"/>
        <v>0</v>
      </c>
      <c r="AW32" s="31">
        <f t="shared" si="22"/>
        <v>0</v>
      </c>
      <c r="AX32" s="31">
        <f t="shared" si="23"/>
        <v>0</v>
      </c>
      <c r="AY32" s="31">
        <f t="shared" si="24"/>
        <v>0</v>
      </c>
      <c r="AZ32" s="31">
        <f t="shared" si="25"/>
        <v>0</v>
      </c>
      <c r="BA32" s="31">
        <f t="shared" si="26"/>
        <v>0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41"/>
      <c r="BM32" s="41"/>
      <c r="BN32" s="41"/>
      <c r="BO32" s="37"/>
      <c r="BP32" s="38"/>
      <c r="BQ32" s="37"/>
      <c r="BR32" s="40"/>
      <c r="BS32" s="39"/>
      <c r="BT32" s="39"/>
      <c r="BU32" s="39"/>
      <c r="BV32" s="39"/>
      <c r="BW32" s="39"/>
      <c r="BX32" s="36"/>
      <c r="BY32" s="33"/>
      <c r="BZ32" s="33"/>
      <c r="CA32" s="33"/>
      <c r="CB32" s="34"/>
      <c r="CC32" s="33"/>
      <c r="CD32" s="35"/>
      <c r="CE32" s="48"/>
      <c r="CF32" s="48"/>
      <c r="CG32" s="48"/>
      <c r="CH32" s="48"/>
      <c r="CI32" s="48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35"/>
      <c r="CW32" s="35"/>
      <c r="CX32" s="35"/>
      <c r="CY32" s="35"/>
      <c r="CZ32" s="35"/>
      <c r="DA32" s="35"/>
      <c r="DB32" s="35"/>
      <c r="DC32" s="35"/>
      <c r="DD32" s="40"/>
      <c r="DE32" s="40"/>
      <c r="DF32" s="40"/>
      <c r="DG32" s="40"/>
      <c r="DH32" s="40"/>
      <c r="DI32" s="40"/>
      <c r="DJ32" s="40"/>
      <c r="DK32" s="40"/>
      <c r="DL32" s="35"/>
      <c r="DM32" s="35"/>
      <c r="DN32" s="35"/>
      <c r="DO32" s="35"/>
      <c r="DP32" s="35"/>
      <c r="DQ32" s="35"/>
      <c r="DR32" s="35"/>
      <c r="DS32" s="35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40"/>
      <c r="ES32" s="40"/>
      <c r="ET32" s="40"/>
      <c r="EU32" s="40"/>
      <c r="EV32" s="40"/>
      <c r="EW32" s="40"/>
      <c r="EX32" s="40"/>
      <c r="EY32" s="40"/>
      <c r="EZ32" s="35"/>
      <c r="FA32" s="35"/>
      <c r="FB32" s="35"/>
      <c r="FC32" s="35"/>
      <c r="FD32" s="35"/>
      <c r="FE32" s="35"/>
      <c r="FF32" s="35"/>
      <c r="FG32" s="35"/>
    </row>
    <row r="33" spans="1:163">
      <c r="A33" s="62">
        <v>367</v>
      </c>
      <c r="E33" s="63" t="s">
        <v>231</v>
      </c>
      <c r="F33" s="56" t="s">
        <v>86</v>
      </c>
      <c r="G33" s="65" t="s">
        <v>736</v>
      </c>
      <c r="H33" s="66" t="str">
        <f t="shared" si="8"/>
        <v xml:space="preserve"> 301</v>
      </c>
      <c r="I33" s="67" t="s">
        <v>736</v>
      </c>
      <c r="J33" s="68">
        <f t="shared" si="9"/>
        <v>0</v>
      </c>
      <c r="K33" s="63" t="s">
        <v>258</v>
      </c>
      <c r="L33" s="1" t="s">
        <v>46</v>
      </c>
      <c r="O33" s="64" t="s">
        <v>789</v>
      </c>
      <c r="P33" s="82">
        <v>0</v>
      </c>
      <c r="Q33" s="74">
        <f t="shared" si="28"/>
        <v>57000</v>
      </c>
      <c r="R33" s="71">
        <v>57000</v>
      </c>
      <c r="S33" s="72">
        <f t="shared" si="29"/>
        <v>8150</v>
      </c>
      <c r="T33" s="68" t="s">
        <v>791</v>
      </c>
      <c r="U33" s="73">
        <f t="shared" si="30"/>
        <v>48850</v>
      </c>
      <c r="V33" s="73">
        <f t="shared" si="31"/>
        <v>8150</v>
      </c>
      <c r="W33" s="2">
        <f t="shared" si="13"/>
        <v>57000</v>
      </c>
      <c r="Y33" s="80">
        <f t="shared" si="14"/>
        <v>57000</v>
      </c>
      <c r="Z33" s="93"/>
      <c r="AA33" s="93"/>
      <c r="AB33" s="94"/>
      <c r="AC33" s="2">
        <v>4000</v>
      </c>
      <c r="AD33" s="2">
        <f>Z33+AC33</f>
        <v>4000</v>
      </c>
      <c r="AF33" s="28">
        <f t="shared" si="15"/>
        <v>0</v>
      </c>
      <c r="AG33" s="55" t="s">
        <v>125</v>
      </c>
      <c r="AI33" s="20" t="s">
        <v>45</v>
      </c>
      <c r="AJ33" s="2">
        <f t="shared" si="16"/>
        <v>-57000</v>
      </c>
      <c r="AN33" s="29" t="e">
        <f t="shared" si="17"/>
        <v>#DIV/0!</v>
      </c>
      <c r="AO33" s="29" t="e">
        <f>AN33-AB33</f>
        <v>#DIV/0!</v>
      </c>
      <c r="AP33" s="3" t="s">
        <v>29</v>
      </c>
      <c r="AQ33" s="1" t="s">
        <v>203</v>
      </c>
      <c r="AR33" s="31">
        <f t="shared" si="18"/>
        <v>0</v>
      </c>
      <c r="AS33" s="31">
        <f t="shared" si="19"/>
        <v>0</v>
      </c>
      <c r="AT33" s="31">
        <f t="shared" si="27"/>
        <v>0</v>
      </c>
      <c r="AU33" s="31">
        <f t="shared" si="20"/>
        <v>0</v>
      </c>
      <c r="AV33" s="31">
        <f t="shared" si="21"/>
        <v>0</v>
      </c>
      <c r="AW33" s="31">
        <f t="shared" si="22"/>
        <v>0</v>
      </c>
      <c r="AX33" s="31">
        <f t="shared" si="23"/>
        <v>0</v>
      </c>
      <c r="AY33" s="31">
        <f t="shared" si="24"/>
        <v>0</v>
      </c>
      <c r="AZ33" s="31">
        <f t="shared" si="25"/>
        <v>0</v>
      </c>
      <c r="BA33" s="31">
        <f t="shared" si="26"/>
        <v>0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35"/>
      <c r="CW33" s="35"/>
      <c r="CX33" s="35"/>
      <c r="CY33" s="35"/>
      <c r="CZ33" s="35"/>
      <c r="DA33" s="35"/>
      <c r="DB33" s="35"/>
      <c r="DC33" s="35"/>
      <c r="DD33" s="40"/>
      <c r="DE33" s="40"/>
      <c r="DF33" s="40"/>
      <c r="DG33" s="40"/>
      <c r="DH33" s="40"/>
      <c r="DI33" s="40"/>
      <c r="DJ33" s="40"/>
      <c r="DK33" s="40"/>
      <c r="DL33" s="35"/>
      <c r="DM33" s="35"/>
      <c r="DN33" s="35"/>
      <c r="DO33" s="35"/>
      <c r="DP33" s="35"/>
      <c r="DQ33" s="35"/>
      <c r="DR33" s="35"/>
      <c r="DS33" s="35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40"/>
      <c r="ES33" s="40"/>
      <c r="ET33" s="40"/>
      <c r="EU33" s="40"/>
      <c r="EV33" s="40"/>
      <c r="EW33" s="40"/>
      <c r="EX33" s="40"/>
      <c r="EY33" s="40"/>
    </row>
    <row r="34" spans="1:163">
      <c r="A34" s="62">
        <v>28</v>
      </c>
      <c r="E34" s="63" t="s">
        <v>114</v>
      </c>
      <c r="F34" s="56" t="s">
        <v>113</v>
      </c>
      <c r="G34" s="65" t="s">
        <v>410</v>
      </c>
      <c r="H34" s="66" t="str">
        <f t="shared" si="8"/>
        <v xml:space="preserve"> 412</v>
      </c>
      <c r="I34" s="67" t="s">
        <v>410</v>
      </c>
      <c r="J34" s="68">
        <f t="shared" si="9"/>
        <v>0</v>
      </c>
      <c r="K34" s="63" t="s">
        <v>258</v>
      </c>
      <c r="L34" s="1" t="s">
        <v>46</v>
      </c>
      <c r="O34" s="88" t="s">
        <v>790</v>
      </c>
      <c r="P34" s="89">
        <v>0</v>
      </c>
      <c r="Q34" s="90">
        <f t="shared" si="28"/>
        <v>75000</v>
      </c>
      <c r="R34" s="71">
        <v>75000</v>
      </c>
      <c r="S34" s="72">
        <f t="shared" si="29"/>
        <v>8250</v>
      </c>
      <c r="T34" s="68" t="s">
        <v>791</v>
      </c>
      <c r="U34" s="73">
        <f t="shared" si="30"/>
        <v>66750</v>
      </c>
      <c r="V34" s="73">
        <f>2000+5200+600+200+250</f>
        <v>8250</v>
      </c>
      <c r="W34" s="2">
        <f t="shared" si="13"/>
        <v>75000</v>
      </c>
      <c r="Y34" s="81">
        <f t="shared" si="14"/>
        <v>75000</v>
      </c>
      <c r="Z34" s="96">
        <v>0</v>
      </c>
      <c r="AA34" s="97">
        <f>U34-Z34</f>
        <v>66750</v>
      </c>
      <c r="AB34" s="98" t="e">
        <f>AA34/Z34</f>
        <v>#DIV/0!</v>
      </c>
      <c r="AE34" s="2">
        <v>120000</v>
      </c>
      <c r="AF34" s="28">
        <f t="shared" si="15"/>
        <v>0</v>
      </c>
      <c r="AG34" s="55" t="s">
        <v>125</v>
      </c>
      <c r="AI34" s="20" t="s">
        <v>45</v>
      </c>
      <c r="AJ34" s="2">
        <f t="shared" si="16"/>
        <v>-75000</v>
      </c>
      <c r="AN34" s="29" t="e">
        <f t="shared" si="17"/>
        <v>#DIV/0!</v>
      </c>
      <c r="AP34" s="3" t="s">
        <v>29</v>
      </c>
      <c r="AQ34" s="1" t="s">
        <v>148</v>
      </c>
      <c r="AR34" s="31">
        <f t="shared" si="18"/>
        <v>0</v>
      </c>
      <c r="AS34" s="31">
        <f t="shared" si="19"/>
        <v>0</v>
      </c>
      <c r="AT34" s="31">
        <f t="shared" si="27"/>
        <v>0</v>
      </c>
      <c r="AU34" s="31">
        <f t="shared" si="20"/>
        <v>0</v>
      </c>
      <c r="AV34" s="31">
        <f t="shared" si="21"/>
        <v>0</v>
      </c>
      <c r="AW34" s="31">
        <f t="shared" si="22"/>
        <v>0</v>
      </c>
      <c r="AX34" s="31">
        <f t="shared" si="23"/>
        <v>0</v>
      </c>
      <c r="AY34" s="31">
        <f t="shared" si="24"/>
        <v>0</v>
      </c>
      <c r="AZ34" s="31">
        <f t="shared" si="25"/>
        <v>0</v>
      </c>
      <c r="BA34" s="31">
        <f t="shared" si="26"/>
        <v>0</v>
      </c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41"/>
      <c r="BM34" s="41"/>
      <c r="BN34" s="41"/>
      <c r="BO34" s="37"/>
      <c r="BP34" s="38"/>
      <c r="BQ34" s="37"/>
      <c r="BR34" s="40"/>
      <c r="BS34" s="39"/>
      <c r="BT34" s="39"/>
      <c r="BU34" s="39"/>
      <c r="BV34" s="39"/>
      <c r="BW34" s="39"/>
      <c r="BX34" s="36"/>
      <c r="BY34" s="33"/>
      <c r="BZ34" s="33"/>
      <c r="CA34" s="33"/>
      <c r="CB34" s="34"/>
      <c r="CC34" s="33"/>
      <c r="CD34" s="35"/>
      <c r="CE34" s="48"/>
      <c r="CF34" s="48"/>
      <c r="CG34" s="48"/>
      <c r="CH34" s="48"/>
      <c r="CI34" s="48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35"/>
      <c r="CW34" s="35"/>
      <c r="CX34" s="35"/>
      <c r="CY34" s="35"/>
      <c r="CZ34" s="35"/>
      <c r="DA34" s="35"/>
      <c r="DB34" s="35"/>
      <c r="DC34" s="35"/>
      <c r="DD34" s="40"/>
      <c r="DE34" s="40"/>
      <c r="DF34" s="40"/>
      <c r="DG34" s="40"/>
      <c r="DH34" s="40"/>
      <c r="DI34" s="40"/>
      <c r="DJ34" s="40"/>
      <c r="DK34" s="40"/>
      <c r="DL34" s="35"/>
      <c r="DM34" s="35"/>
      <c r="DN34" s="35"/>
      <c r="DO34" s="35"/>
      <c r="DP34" s="35"/>
      <c r="DQ34" s="35"/>
      <c r="DR34" s="35"/>
      <c r="DS34" s="35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40"/>
      <c r="ES34" s="40"/>
      <c r="ET34" s="40"/>
      <c r="EU34" s="40"/>
      <c r="EV34" s="40"/>
      <c r="EW34" s="40"/>
      <c r="EX34" s="40"/>
      <c r="EY34" s="40"/>
      <c r="EZ34" s="35"/>
      <c r="FA34" s="35"/>
      <c r="FB34" s="35"/>
      <c r="FC34" s="35"/>
      <c r="FD34" s="35"/>
      <c r="FE34" s="35"/>
      <c r="FF34" s="35"/>
      <c r="FG34" s="35"/>
    </row>
    <row r="35" spans="1:163">
      <c r="A35" s="60">
        <v>168</v>
      </c>
      <c r="E35" s="63" t="s">
        <v>113</v>
      </c>
      <c r="F35" s="56" t="s">
        <v>62</v>
      </c>
      <c r="G35" s="65" t="s">
        <v>547</v>
      </c>
      <c r="H35" s="66" t="str">
        <f t="shared" si="8"/>
        <v xml:space="preserve"> 795</v>
      </c>
      <c r="I35" s="67" t="s">
        <v>547</v>
      </c>
      <c r="J35" s="68">
        <f t="shared" si="9"/>
        <v>0</v>
      </c>
      <c r="K35" s="63" t="s">
        <v>258</v>
      </c>
      <c r="L35" s="1" t="s">
        <v>46</v>
      </c>
      <c r="O35" s="88" t="s">
        <v>790</v>
      </c>
      <c r="P35" s="89">
        <v>0</v>
      </c>
      <c r="Q35" s="90">
        <f t="shared" si="28"/>
        <v>76000</v>
      </c>
      <c r="R35" s="71">
        <v>76000</v>
      </c>
      <c r="S35" s="72">
        <f t="shared" si="29"/>
        <v>8150</v>
      </c>
      <c r="T35" s="68" t="s">
        <v>791</v>
      </c>
      <c r="U35" s="73">
        <f t="shared" si="30"/>
        <v>67850</v>
      </c>
      <c r="V35" s="73">
        <v>8150</v>
      </c>
      <c r="W35" s="2">
        <f t="shared" si="13"/>
        <v>76000</v>
      </c>
      <c r="Y35" s="81">
        <f t="shared" si="14"/>
        <v>76000</v>
      </c>
      <c r="Z35" s="96">
        <v>0</v>
      </c>
      <c r="AA35" s="97">
        <f>U35-Z35</f>
        <v>67850</v>
      </c>
      <c r="AB35" s="98" t="e">
        <f>AA35/Z35</f>
        <v>#DIV/0!</v>
      </c>
      <c r="AE35" s="2">
        <v>99000</v>
      </c>
      <c r="AF35" s="28">
        <f t="shared" si="15"/>
        <v>0</v>
      </c>
      <c r="AG35" s="55" t="s">
        <v>125</v>
      </c>
      <c r="AI35" s="20" t="s">
        <v>45</v>
      </c>
      <c r="AJ35" s="2">
        <f t="shared" si="16"/>
        <v>-76000</v>
      </c>
      <c r="AN35" s="29" t="e">
        <f t="shared" si="17"/>
        <v>#DIV/0!</v>
      </c>
      <c r="AP35" s="3" t="s">
        <v>29</v>
      </c>
      <c r="AQ35" s="1" t="s">
        <v>155</v>
      </c>
      <c r="AR35" s="31">
        <f t="shared" si="18"/>
        <v>0</v>
      </c>
      <c r="AS35" s="31">
        <f t="shared" si="19"/>
        <v>0</v>
      </c>
      <c r="AT35" s="31">
        <f t="shared" si="27"/>
        <v>0</v>
      </c>
      <c r="AU35" s="31">
        <f t="shared" si="20"/>
        <v>0</v>
      </c>
      <c r="AV35" s="31">
        <f t="shared" si="21"/>
        <v>0</v>
      </c>
      <c r="AW35" s="31">
        <f t="shared" si="22"/>
        <v>0</v>
      </c>
      <c r="AX35" s="31">
        <f t="shared" si="23"/>
        <v>0</v>
      </c>
      <c r="AY35" s="31">
        <f t="shared" si="24"/>
        <v>0</v>
      </c>
      <c r="AZ35" s="31">
        <f t="shared" si="25"/>
        <v>0</v>
      </c>
      <c r="BA35" s="31">
        <f t="shared" si="26"/>
        <v>0</v>
      </c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35"/>
      <c r="CW35" s="35"/>
      <c r="CX35" s="35"/>
      <c r="CY35" s="35"/>
      <c r="CZ35" s="35"/>
      <c r="DA35" s="35"/>
      <c r="DB35" s="35"/>
      <c r="DC35" s="35"/>
      <c r="DD35" s="40"/>
      <c r="DE35" s="40"/>
      <c r="DF35" s="40"/>
      <c r="DG35" s="40"/>
      <c r="DH35" s="40"/>
      <c r="DI35" s="40"/>
      <c r="DJ35" s="40"/>
      <c r="DK35" s="40"/>
      <c r="DL35" s="35"/>
      <c r="DM35" s="35"/>
      <c r="DN35" s="35"/>
      <c r="DO35" s="35"/>
      <c r="DP35" s="35"/>
      <c r="DQ35" s="35"/>
      <c r="DR35" s="35"/>
      <c r="DS35" s="35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40"/>
      <c r="ES35" s="40"/>
      <c r="ET35" s="40"/>
      <c r="EU35" s="40"/>
      <c r="EV35" s="40"/>
      <c r="EW35" s="40"/>
      <c r="EX35" s="40"/>
      <c r="EY35" s="40"/>
      <c r="EZ35" s="35"/>
      <c r="FA35" s="35"/>
      <c r="FB35" s="35"/>
      <c r="FC35" s="35"/>
      <c r="FD35" s="35"/>
      <c r="FE35" s="35"/>
      <c r="FF35" s="35"/>
      <c r="FG35" s="35"/>
    </row>
    <row r="36" spans="1:163">
      <c r="A36" s="60">
        <v>12</v>
      </c>
      <c r="E36" s="63" t="s">
        <v>211</v>
      </c>
      <c r="F36" s="56" t="s">
        <v>115</v>
      </c>
      <c r="G36" s="65" t="s">
        <v>394</v>
      </c>
      <c r="H36" s="66" t="str">
        <f t="shared" si="8"/>
        <v xml:space="preserve"> 311</v>
      </c>
      <c r="I36" s="67" t="s">
        <v>394</v>
      </c>
      <c r="J36" s="68">
        <f t="shared" si="9"/>
        <v>0</v>
      </c>
      <c r="K36" s="63" t="s">
        <v>246</v>
      </c>
      <c r="L36" s="1" t="s">
        <v>46</v>
      </c>
      <c r="O36" s="64" t="s">
        <v>789</v>
      </c>
      <c r="P36" s="82">
        <v>0</v>
      </c>
      <c r="Q36" s="74">
        <f t="shared" si="28"/>
        <v>71500</v>
      </c>
      <c r="R36" s="71">
        <v>71500</v>
      </c>
      <c r="S36" s="72">
        <f t="shared" si="29"/>
        <v>7900</v>
      </c>
      <c r="T36" s="68" t="s">
        <v>791</v>
      </c>
      <c r="U36" s="73">
        <f t="shared" si="30"/>
        <v>63600</v>
      </c>
      <c r="V36" s="75">
        <f>2000+4850+600+200+250</f>
        <v>7900</v>
      </c>
      <c r="W36" s="2">
        <f t="shared" si="13"/>
        <v>71500</v>
      </c>
      <c r="Y36" s="80">
        <f t="shared" si="14"/>
        <v>71500</v>
      </c>
      <c r="Z36" s="93"/>
      <c r="AA36" s="93"/>
      <c r="AB36" s="94"/>
      <c r="AC36" s="2">
        <v>4000</v>
      </c>
      <c r="AD36" s="2">
        <f>Z36+AC36</f>
        <v>4000</v>
      </c>
      <c r="AF36" s="28">
        <f t="shared" si="15"/>
        <v>0</v>
      </c>
      <c r="AG36" s="55" t="s">
        <v>125</v>
      </c>
      <c r="AI36" s="20" t="s">
        <v>45</v>
      </c>
      <c r="AJ36" s="2">
        <f t="shared" si="16"/>
        <v>-71500</v>
      </c>
      <c r="AN36" s="29" t="e">
        <f t="shared" si="17"/>
        <v>#DIV/0!</v>
      </c>
      <c r="AO36" s="29" t="e">
        <f>AN36-AB36</f>
        <v>#DIV/0!</v>
      </c>
      <c r="AP36" s="3" t="s">
        <v>29</v>
      </c>
      <c r="AQ36" s="1" t="s">
        <v>153</v>
      </c>
      <c r="AR36" s="31">
        <f t="shared" si="18"/>
        <v>0</v>
      </c>
      <c r="AS36" s="31">
        <f t="shared" si="19"/>
        <v>0</v>
      </c>
      <c r="AT36" s="31">
        <f t="shared" si="27"/>
        <v>0</v>
      </c>
      <c r="AU36" s="31">
        <f t="shared" si="20"/>
        <v>0</v>
      </c>
      <c r="AV36" s="31">
        <f t="shared" si="21"/>
        <v>0</v>
      </c>
      <c r="AW36" s="31">
        <f t="shared" si="22"/>
        <v>0</v>
      </c>
      <c r="AX36" s="31">
        <f t="shared" si="23"/>
        <v>0</v>
      </c>
      <c r="AY36" s="31">
        <f t="shared" si="24"/>
        <v>0</v>
      </c>
      <c r="AZ36" s="31">
        <f t="shared" si="25"/>
        <v>0</v>
      </c>
      <c r="BA36" s="31">
        <f t="shared" si="26"/>
        <v>0</v>
      </c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41"/>
      <c r="BM36" s="41"/>
      <c r="BN36" s="41"/>
      <c r="BO36" s="37"/>
      <c r="BP36" s="38"/>
      <c r="BQ36" s="37"/>
      <c r="BR36" s="40"/>
      <c r="BS36" s="39"/>
      <c r="BT36" s="39"/>
      <c r="BU36" s="39"/>
      <c r="BV36" s="39"/>
      <c r="BW36" s="39"/>
      <c r="BX36" s="36"/>
      <c r="BY36" s="33"/>
      <c r="BZ36" s="33"/>
      <c r="CA36" s="33"/>
      <c r="CB36" s="34"/>
      <c r="CC36" s="33"/>
      <c r="CD36" s="35"/>
      <c r="CE36" s="48"/>
      <c r="CF36" s="48"/>
      <c r="CG36" s="48"/>
      <c r="CH36" s="48"/>
      <c r="CI36" s="48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35"/>
      <c r="CW36" s="35"/>
      <c r="CX36" s="35"/>
      <c r="CY36" s="35"/>
      <c r="CZ36" s="35"/>
      <c r="DA36" s="35"/>
      <c r="DB36" s="35"/>
      <c r="DC36" s="35"/>
      <c r="DD36" s="40"/>
      <c r="DE36" s="40"/>
      <c r="DF36" s="40"/>
      <c r="DG36" s="40"/>
      <c r="DH36" s="40"/>
      <c r="DI36" s="40"/>
      <c r="DJ36" s="40"/>
      <c r="DK36" s="40"/>
      <c r="DL36" s="35"/>
      <c r="DM36" s="35"/>
      <c r="DN36" s="35"/>
      <c r="DO36" s="35"/>
      <c r="DP36" s="35"/>
      <c r="DQ36" s="35"/>
      <c r="DR36" s="35"/>
      <c r="DS36" s="35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40"/>
      <c r="ES36" s="40"/>
      <c r="ET36" s="40"/>
      <c r="EU36" s="40"/>
      <c r="EV36" s="40"/>
      <c r="EW36" s="40"/>
      <c r="EX36" s="40"/>
      <c r="EY36" s="40"/>
      <c r="EZ36" s="35"/>
      <c r="FA36" s="35"/>
      <c r="FB36" s="35"/>
      <c r="FC36" s="35"/>
      <c r="FD36" s="35"/>
      <c r="FE36" s="35"/>
      <c r="FF36" s="35"/>
      <c r="FG36" s="35"/>
    </row>
    <row r="37" spans="1:163">
      <c r="A37" s="62">
        <v>183</v>
      </c>
      <c r="E37" s="63" t="s">
        <v>62</v>
      </c>
      <c r="F37" s="56" t="s">
        <v>63</v>
      </c>
      <c r="G37" s="65" t="s">
        <v>563</v>
      </c>
      <c r="H37" s="66" t="str">
        <f t="shared" si="8"/>
        <v xml:space="preserve"> 382</v>
      </c>
      <c r="I37" s="67" t="s">
        <v>563</v>
      </c>
      <c r="J37" s="68">
        <f t="shared" si="9"/>
        <v>0</v>
      </c>
      <c r="K37" s="63" t="s">
        <v>246</v>
      </c>
      <c r="L37" s="1" t="s">
        <v>46</v>
      </c>
      <c r="O37" s="64" t="s">
        <v>789</v>
      </c>
      <c r="P37" s="82">
        <v>0</v>
      </c>
      <c r="Q37" s="74">
        <f t="shared" si="28"/>
        <v>70000</v>
      </c>
      <c r="R37" s="71">
        <v>70000</v>
      </c>
      <c r="S37" s="72">
        <f t="shared" si="29"/>
        <v>7900</v>
      </c>
      <c r="T37" s="68" t="s">
        <v>791</v>
      </c>
      <c r="U37" s="73">
        <f t="shared" si="30"/>
        <v>62100</v>
      </c>
      <c r="V37" s="75">
        <f>2000+4850+600+200+250</f>
        <v>7900</v>
      </c>
      <c r="W37" s="2">
        <f t="shared" si="13"/>
        <v>70000</v>
      </c>
      <c r="Y37" s="80">
        <f t="shared" si="14"/>
        <v>70000</v>
      </c>
      <c r="Z37" s="93"/>
      <c r="AA37" s="93"/>
      <c r="AB37" s="94"/>
      <c r="AC37" s="2">
        <v>3000</v>
      </c>
      <c r="AD37" s="2">
        <f>Z37+AC37</f>
        <v>3000</v>
      </c>
      <c r="AF37" s="28">
        <f t="shared" si="15"/>
        <v>0</v>
      </c>
      <c r="AG37" s="55" t="s">
        <v>125</v>
      </c>
      <c r="AI37" s="20" t="s">
        <v>206</v>
      </c>
      <c r="AJ37" s="2">
        <f t="shared" si="16"/>
        <v>-70000</v>
      </c>
      <c r="AN37" s="29" t="e">
        <f t="shared" si="17"/>
        <v>#DIV/0!</v>
      </c>
      <c r="AO37" s="29" t="e">
        <f>AN37-AB37</f>
        <v>#DIV/0!</v>
      </c>
      <c r="AP37" s="3" t="s">
        <v>29</v>
      </c>
      <c r="AQ37" s="1" t="s">
        <v>165</v>
      </c>
      <c r="AR37" s="31">
        <f t="shared" si="18"/>
        <v>0</v>
      </c>
      <c r="AS37" s="31">
        <f t="shared" si="19"/>
        <v>0</v>
      </c>
      <c r="AT37" s="31">
        <f t="shared" si="27"/>
        <v>0</v>
      </c>
      <c r="AU37" s="31">
        <f t="shared" si="20"/>
        <v>0</v>
      </c>
      <c r="AV37" s="31">
        <f t="shared" si="21"/>
        <v>0</v>
      </c>
      <c r="AW37" s="31">
        <f t="shared" si="22"/>
        <v>0</v>
      </c>
      <c r="AX37" s="31">
        <f t="shared" si="23"/>
        <v>0</v>
      </c>
      <c r="AY37" s="31">
        <f t="shared" si="24"/>
        <v>0</v>
      </c>
      <c r="AZ37" s="31">
        <f t="shared" si="25"/>
        <v>0</v>
      </c>
      <c r="BA37" s="31">
        <f t="shared" si="26"/>
        <v>0</v>
      </c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41"/>
      <c r="BM37" s="41"/>
      <c r="BN37" s="41"/>
      <c r="BO37" s="37"/>
      <c r="BP37" s="38"/>
      <c r="BQ37" s="37"/>
      <c r="BR37" s="40"/>
      <c r="BS37" s="39"/>
      <c r="BT37" s="39"/>
      <c r="BU37" s="39"/>
      <c r="BV37" s="39"/>
      <c r="BW37" s="39"/>
      <c r="BX37" s="36"/>
      <c r="BY37" s="33"/>
      <c r="BZ37" s="33"/>
      <c r="CA37" s="33"/>
      <c r="CB37" s="34"/>
      <c r="CC37" s="33"/>
      <c r="CD37" s="35"/>
      <c r="CE37" s="48"/>
      <c r="CF37" s="48"/>
      <c r="CG37" s="48"/>
      <c r="CH37" s="48"/>
      <c r="CI37" s="48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35"/>
      <c r="CW37" s="35"/>
      <c r="CX37" s="35"/>
      <c r="CY37" s="35"/>
      <c r="CZ37" s="35"/>
      <c r="DA37" s="35"/>
      <c r="DB37" s="35"/>
      <c r="DC37" s="35"/>
      <c r="DD37" s="40"/>
      <c r="DE37" s="40"/>
      <c r="DF37" s="40"/>
      <c r="DG37" s="40"/>
      <c r="DH37" s="40"/>
      <c r="DI37" s="40"/>
      <c r="DJ37" s="40"/>
      <c r="DK37" s="40"/>
      <c r="DL37" s="35"/>
      <c r="DM37" s="35"/>
      <c r="DN37" s="35"/>
      <c r="DO37" s="35"/>
      <c r="DP37" s="35"/>
      <c r="DQ37" s="35"/>
      <c r="DR37" s="35"/>
      <c r="DS37" s="35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40"/>
      <c r="ES37" s="40"/>
      <c r="ET37" s="40"/>
      <c r="EU37" s="40"/>
      <c r="EV37" s="40"/>
      <c r="EW37" s="40"/>
      <c r="EX37" s="40"/>
      <c r="EY37" s="40"/>
      <c r="EZ37" s="35"/>
      <c r="FA37" s="35"/>
      <c r="FB37" s="35"/>
      <c r="FC37" s="35"/>
      <c r="FD37" s="35"/>
      <c r="FE37" s="35"/>
      <c r="FF37" s="35"/>
      <c r="FG37" s="35"/>
    </row>
    <row r="38" spans="1:163">
      <c r="A38" s="60">
        <v>197</v>
      </c>
      <c r="E38" s="63" t="s">
        <v>211</v>
      </c>
      <c r="F38" s="56" t="s">
        <v>65</v>
      </c>
      <c r="G38" s="65" t="s">
        <v>577</v>
      </c>
      <c r="H38" s="66" t="str">
        <f t="shared" si="8"/>
        <v xml:space="preserve"> 853</v>
      </c>
      <c r="I38" s="67" t="s">
        <v>577</v>
      </c>
      <c r="J38" s="68">
        <f t="shared" si="9"/>
        <v>0</v>
      </c>
      <c r="K38" s="63" t="s">
        <v>246</v>
      </c>
      <c r="L38" s="1" t="s">
        <v>46</v>
      </c>
      <c r="O38" s="64" t="s">
        <v>789</v>
      </c>
      <c r="P38" s="82">
        <v>0</v>
      </c>
      <c r="Q38" s="74">
        <f t="shared" si="28"/>
        <v>72500</v>
      </c>
      <c r="R38" s="71">
        <v>72500</v>
      </c>
      <c r="S38" s="72">
        <f t="shared" si="29"/>
        <v>8150</v>
      </c>
      <c r="T38" s="68" t="s">
        <v>791</v>
      </c>
      <c r="U38" s="73">
        <f t="shared" si="30"/>
        <v>64350</v>
      </c>
      <c r="V38" s="75">
        <f>2000+5100+600+200+250</f>
        <v>8150</v>
      </c>
      <c r="W38" s="2">
        <f t="shared" si="13"/>
        <v>72500</v>
      </c>
      <c r="Y38" s="80">
        <f t="shared" si="14"/>
        <v>72500</v>
      </c>
      <c r="Z38" s="93"/>
      <c r="AA38" s="93"/>
      <c r="AB38" s="94"/>
      <c r="AC38" s="2">
        <v>3000</v>
      </c>
      <c r="AD38" s="2">
        <f>Z38+AC38</f>
        <v>3000</v>
      </c>
      <c r="AF38" s="28">
        <f t="shared" si="15"/>
        <v>0</v>
      </c>
      <c r="AJ38" s="2">
        <f t="shared" si="16"/>
        <v>-72500</v>
      </c>
      <c r="AN38" s="29" t="e">
        <f t="shared" si="17"/>
        <v>#DIV/0!</v>
      </c>
      <c r="AO38" s="29" t="e">
        <f>AN38-AB38</f>
        <v>#DIV/0!</v>
      </c>
      <c r="AP38" s="3" t="s">
        <v>158</v>
      </c>
      <c r="AR38" s="31">
        <f t="shared" si="18"/>
        <v>0</v>
      </c>
      <c r="AS38" s="31">
        <f t="shared" si="19"/>
        <v>0</v>
      </c>
      <c r="AT38" s="31">
        <f>IF(BX38&lt;&gt;"", AF38-BX38, 0)</f>
        <v>0</v>
      </c>
      <c r="AU38" s="31">
        <f t="shared" si="20"/>
        <v>0</v>
      </c>
      <c r="AV38" s="31">
        <f t="shared" si="21"/>
        <v>0</v>
      </c>
      <c r="AW38" s="31">
        <f t="shared" si="22"/>
        <v>0</v>
      </c>
      <c r="AX38" s="31">
        <f t="shared" si="23"/>
        <v>0</v>
      </c>
      <c r="AY38" s="31">
        <f t="shared" si="24"/>
        <v>0</v>
      </c>
      <c r="AZ38" s="31">
        <f t="shared" si="25"/>
        <v>0</v>
      </c>
      <c r="BA38" s="31">
        <f t="shared" si="26"/>
        <v>0</v>
      </c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41"/>
      <c r="BM38" s="41"/>
      <c r="BN38" s="41"/>
      <c r="BO38" s="37"/>
      <c r="BP38" s="38"/>
      <c r="BQ38" s="37"/>
      <c r="BR38" s="40"/>
      <c r="BS38" s="39"/>
      <c r="BT38" s="39"/>
      <c r="BU38" s="39"/>
      <c r="BV38" s="39"/>
      <c r="BW38" s="39"/>
      <c r="BX38" s="36"/>
      <c r="BY38" s="33"/>
      <c r="BZ38" s="33"/>
      <c r="CA38" s="33"/>
      <c r="CB38" s="34"/>
      <c r="CC38" s="33"/>
      <c r="CD38" s="35"/>
      <c r="CE38" s="48"/>
      <c r="CF38" s="48"/>
      <c r="CG38" s="48"/>
      <c r="CH38" s="48"/>
      <c r="CI38" s="48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35"/>
      <c r="CW38" s="35"/>
      <c r="CX38" s="35"/>
      <c r="CY38" s="35"/>
      <c r="CZ38" s="35"/>
      <c r="DA38" s="35"/>
      <c r="DB38" s="35"/>
      <c r="DC38" s="35"/>
      <c r="DD38" s="40"/>
      <c r="DE38" s="40"/>
      <c r="DF38" s="40"/>
      <c r="DG38" s="40"/>
      <c r="DH38" s="40"/>
      <c r="DI38" s="40"/>
      <c r="DJ38" s="40"/>
      <c r="DK38" s="40"/>
      <c r="DL38" s="35"/>
      <c r="DM38" s="35"/>
      <c r="DN38" s="35"/>
      <c r="DO38" s="35"/>
      <c r="DP38" s="35"/>
      <c r="DQ38" s="35"/>
      <c r="DR38" s="35"/>
      <c r="DS38" s="35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40"/>
      <c r="ES38" s="40"/>
      <c r="ET38" s="40"/>
      <c r="EU38" s="40"/>
      <c r="EV38" s="40"/>
      <c r="EW38" s="40"/>
      <c r="EX38" s="40"/>
      <c r="EY38" s="40"/>
      <c r="EZ38" s="35"/>
      <c r="FA38" s="35"/>
      <c r="FB38" s="35"/>
      <c r="FC38" s="35"/>
      <c r="FD38" s="35"/>
      <c r="FE38" s="35"/>
      <c r="FF38" s="35"/>
      <c r="FG38" s="35"/>
    </row>
    <row r="39" spans="1:163">
      <c r="A39" s="61">
        <v>10</v>
      </c>
      <c r="E39" s="63" t="s">
        <v>211</v>
      </c>
      <c r="F39" s="56" t="s">
        <v>115</v>
      </c>
      <c r="G39" s="70" t="s">
        <v>392</v>
      </c>
      <c r="H39" s="66" t="str">
        <f t="shared" si="8"/>
        <v xml:space="preserve"> 128</v>
      </c>
      <c r="I39" s="67" t="s">
        <v>392</v>
      </c>
      <c r="J39" s="68">
        <f t="shared" si="9"/>
        <v>0</v>
      </c>
      <c r="K39" s="63" t="s">
        <v>245</v>
      </c>
      <c r="L39" s="1" t="s">
        <v>46</v>
      </c>
      <c r="O39" s="64" t="s">
        <v>789</v>
      </c>
      <c r="P39" s="82">
        <v>0</v>
      </c>
      <c r="Q39" s="74">
        <v>97500</v>
      </c>
      <c r="R39" s="76">
        <v>77500</v>
      </c>
      <c r="S39" s="72">
        <f t="shared" si="29"/>
        <v>8250</v>
      </c>
      <c r="T39" s="68" t="s">
        <v>791</v>
      </c>
      <c r="U39" s="73">
        <f t="shared" si="30"/>
        <v>69250</v>
      </c>
      <c r="V39" s="76">
        <f>2000+5200+600+200+250</f>
        <v>8250</v>
      </c>
      <c r="W39" s="2">
        <f t="shared" si="13"/>
        <v>97500</v>
      </c>
      <c r="Y39" s="80">
        <f t="shared" si="14"/>
        <v>97500</v>
      </c>
      <c r="Z39" s="93"/>
      <c r="AA39" s="93"/>
      <c r="AB39" s="94"/>
      <c r="AC39" s="2">
        <v>3000</v>
      </c>
      <c r="AD39" s="2">
        <f>Z39+AC39</f>
        <v>3000</v>
      </c>
      <c r="AF39" s="28">
        <f t="shared" ref="AF39:AF70" si="32">IF(O39="Baru",AE39,AD39)</f>
        <v>0</v>
      </c>
      <c r="AG39" s="55" t="s">
        <v>125</v>
      </c>
      <c r="AI39" s="20" t="s">
        <v>45</v>
      </c>
      <c r="AJ39" s="2">
        <f t="shared" si="16"/>
        <v>-97500</v>
      </c>
      <c r="AN39" s="29" t="e">
        <f t="shared" si="17"/>
        <v>#DIV/0!</v>
      </c>
      <c r="AO39" s="29" t="e">
        <f>AN39-AB39</f>
        <v>#DIV/0!</v>
      </c>
      <c r="AP39" s="3" t="s">
        <v>29</v>
      </c>
      <c r="AQ39" s="1" t="s">
        <v>153</v>
      </c>
      <c r="AR39" s="31">
        <f t="shared" si="18"/>
        <v>0</v>
      </c>
      <c r="AS39" s="31">
        <f t="shared" si="19"/>
        <v>0</v>
      </c>
      <c r="AT39" s="31">
        <f t="shared" ref="AT39:AT52" si="33">IF(BZ39&lt;&gt;"", AF39-BZ39, 0)</f>
        <v>0</v>
      </c>
      <c r="AU39" s="31">
        <f t="shared" si="20"/>
        <v>0</v>
      </c>
      <c r="AV39" s="31">
        <f t="shared" si="21"/>
        <v>0</v>
      </c>
      <c r="AW39" s="31">
        <f t="shared" si="22"/>
        <v>0</v>
      </c>
      <c r="AX39" s="31">
        <f t="shared" si="23"/>
        <v>0</v>
      </c>
      <c r="AY39" s="31">
        <f t="shared" si="24"/>
        <v>0</v>
      </c>
      <c r="AZ39" s="31">
        <f t="shared" si="25"/>
        <v>0</v>
      </c>
      <c r="BA39" s="31">
        <f t="shared" si="26"/>
        <v>0</v>
      </c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41"/>
      <c r="BM39" s="41"/>
      <c r="BN39" s="41"/>
      <c r="BO39" s="37"/>
      <c r="BP39" s="38"/>
      <c r="BQ39" s="37"/>
      <c r="BR39" s="40"/>
      <c r="BS39" s="39"/>
      <c r="BT39" s="39"/>
      <c r="BU39" s="39"/>
      <c r="BV39" s="39"/>
      <c r="BW39" s="39"/>
      <c r="BX39" s="36"/>
      <c r="BY39" s="33"/>
      <c r="BZ39" s="33"/>
      <c r="CA39" s="33"/>
      <c r="CB39" s="34"/>
      <c r="CC39" s="33"/>
      <c r="CD39" s="35"/>
      <c r="CE39" s="48"/>
      <c r="CF39" s="48"/>
      <c r="CG39" s="48"/>
      <c r="CH39" s="48"/>
      <c r="CI39" s="48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35"/>
      <c r="CW39" s="35"/>
      <c r="CX39" s="35"/>
      <c r="CY39" s="35"/>
      <c r="CZ39" s="35"/>
      <c r="DA39" s="35"/>
      <c r="DB39" s="35"/>
      <c r="DC39" s="35"/>
      <c r="DD39" s="40"/>
      <c r="DE39" s="40"/>
      <c r="DF39" s="40"/>
      <c r="DG39" s="40"/>
      <c r="DH39" s="40"/>
      <c r="DI39" s="40"/>
      <c r="DJ39" s="40"/>
      <c r="DK39" s="40"/>
      <c r="DL39" s="35"/>
      <c r="DM39" s="35"/>
      <c r="DN39" s="35"/>
      <c r="DO39" s="35"/>
      <c r="DP39" s="35"/>
      <c r="DQ39" s="35"/>
      <c r="DR39" s="35"/>
      <c r="DS39" s="35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40"/>
      <c r="ES39" s="40"/>
      <c r="ET39" s="40"/>
      <c r="EU39" s="40"/>
      <c r="EV39" s="40"/>
      <c r="EW39" s="40"/>
      <c r="EX39" s="40"/>
      <c r="EY39" s="40"/>
      <c r="EZ39" s="35"/>
      <c r="FA39" s="35"/>
      <c r="FB39" s="35"/>
      <c r="FC39" s="35"/>
      <c r="FD39" s="35"/>
      <c r="FE39" s="35"/>
      <c r="FF39" s="35"/>
      <c r="FG39" s="35"/>
    </row>
    <row r="40" spans="1:163">
      <c r="A40" s="60">
        <v>37</v>
      </c>
      <c r="E40" s="63" t="s">
        <v>113</v>
      </c>
      <c r="F40" s="56" t="s">
        <v>113</v>
      </c>
      <c r="G40" s="70" t="s">
        <v>417</v>
      </c>
      <c r="H40" s="66" t="str">
        <f t="shared" si="8"/>
        <v xml:space="preserve"> 800</v>
      </c>
      <c r="I40" s="67" t="s">
        <v>417</v>
      </c>
      <c r="J40" s="68">
        <f t="shared" si="9"/>
        <v>0</v>
      </c>
      <c r="K40" s="63" t="s">
        <v>245</v>
      </c>
      <c r="L40" s="1" t="s">
        <v>46</v>
      </c>
      <c r="O40" s="88" t="s">
        <v>790</v>
      </c>
      <c r="P40" s="89">
        <v>0</v>
      </c>
      <c r="Q40" s="90">
        <f t="shared" ref="Q40:Q71" si="34">U40+V40</f>
        <v>97500</v>
      </c>
      <c r="R40" s="71">
        <v>97500</v>
      </c>
      <c r="S40" s="72">
        <f t="shared" si="29"/>
        <v>8250</v>
      </c>
      <c r="T40" s="68" t="s">
        <v>791</v>
      </c>
      <c r="U40" s="73">
        <f t="shared" si="30"/>
        <v>89250</v>
      </c>
      <c r="V40" s="76">
        <f>2000+5200+600+200+250</f>
        <v>8250</v>
      </c>
      <c r="W40" s="2">
        <f t="shared" si="13"/>
        <v>97500</v>
      </c>
      <c r="Y40" s="81">
        <f t="shared" si="14"/>
        <v>97500</v>
      </c>
      <c r="Z40" s="96">
        <v>0</v>
      </c>
      <c r="AA40" s="97">
        <f>U40-Z40</f>
        <v>89250</v>
      </c>
      <c r="AB40" s="98" t="e">
        <f>AA40/Z40</f>
        <v>#DIV/0!</v>
      </c>
      <c r="AE40" s="2">
        <v>97000</v>
      </c>
      <c r="AF40" s="28">
        <f t="shared" si="32"/>
        <v>0</v>
      </c>
      <c r="AG40" s="55" t="s">
        <v>125</v>
      </c>
      <c r="AI40" s="20" t="s">
        <v>45</v>
      </c>
      <c r="AJ40" s="2">
        <f t="shared" si="16"/>
        <v>-97500</v>
      </c>
      <c r="AN40" s="29" t="e">
        <f t="shared" si="17"/>
        <v>#DIV/0!</v>
      </c>
      <c r="AP40" s="3" t="s">
        <v>29</v>
      </c>
      <c r="AQ40" s="1" t="s">
        <v>148</v>
      </c>
      <c r="AR40" s="31">
        <f t="shared" si="18"/>
        <v>0</v>
      </c>
      <c r="AS40" s="31">
        <f t="shared" si="19"/>
        <v>0</v>
      </c>
      <c r="AT40" s="31">
        <f t="shared" si="33"/>
        <v>0</v>
      </c>
      <c r="AU40" s="31">
        <f t="shared" si="20"/>
        <v>0</v>
      </c>
      <c r="AV40" s="31">
        <f t="shared" si="21"/>
        <v>0</v>
      </c>
      <c r="AW40" s="31">
        <f t="shared" si="22"/>
        <v>0</v>
      </c>
      <c r="AX40" s="31">
        <f t="shared" si="23"/>
        <v>0</v>
      </c>
      <c r="AY40" s="31">
        <f t="shared" si="24"/>
        <v>0</v>
      </c>
      <c r="AZ40" s="31">
        <f t="shared" si="25"/>
        <v>0</v>
      </c>
      <c r="BA40" s="31">
        <f t="shared" si="26"/>
        <v>0</v>
      </c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41"/>
      <c r="BM40" s="41"/>
      <c r="BN40" s="41"/>
      <c r="BO40" s="37"/>
      <c r="BP40" s="38"/>
      <c r="BQ40" s="37"/>
      <c r="BR40" s="40"/>
      <c r="BS40" s="39"/>
      <c r="BT40" s="39"/>
      <c r="BU40" s="39"/>
      <c r="BV40" s="39"/>
      <c r="BW40" s="39"/>
      <c r="BX40" s="36"/>
      <c r="BY40" s="33"/>
      <c r="BZ40" s="33"/>
      <c r="CA40" s="33"/>
      <c r="CB40" s="34"/>
      <c r="CC40" s="33"/>
      <c r="CD40" s="35"/>
      <c r="CE40" s="48"/>
      <c r="CF40" s="48"/>
      <c r="CG40" s="48"/>
      <c r="CH40" s="48"/>
      <c r="CI40" s="48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35"/>
      <c r="CW40" s="35"/>
      <c r="CX40" s="35"/>
      <c r="CY40" s="35"/>
      <c r="CZ40" s="35"/>
      <c r="DA40" s="35"/>
      <c r="DB40" s="35"/>
      <c r="DC40" s="35"/>
      <c r="DD40" s="40"/>
      <c r="DE40" s="40"/>
      <c r="DF40" s="40"/>
      <c r="DG40" s="40"/>
      <c r="DH40" s="40"/>
      <c r="DI40" s="40"/>
      <c r="DJ40" s="40"/>
      <c r="DK40" s="40"/>
      <c r="DL40" s="35"/>
      <c r="DM40" s="35"/>
      <c r="DN40" s="35"/>
      <c r="DO40" s="35"/>
      <c r="DP40" s="35"/>
      <c r="DQ40" s="35"/>
      <c r="DR40" s="35"/>
      <c r="DS40" s="35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40"/>
      <c r="ES40" s="40"/>
      <c r="ET40" s="40"/>
      <c r="EU40" s="40"/>
      <c r="EV40" s="40"/>
      <c r="EW40" s="40"/>
      <c r="EX40" s="40"/>
      <c r="EY40" s="40"/>
      <c r="EZ40" s="35"/>
      <c r="FA40" s="35"/>
      <c r="FB40" s="35"/>
      <c r="FC40" s="35"/>
      <c r="FD40" s="35"/>
      <c r="FE40" s="35"/>
      <c r="FF40" s="35"/>
      <c r="FG40" s="35"/>
    </row>
    <row r="41" spans="1:163">
      <c r="A41" s="62">
        <v>329</v>
      </c>
      <c r="E41" s="63" t="s">
        <v>76</v>
      </c>
      <c r="F41" s="56" t="s">
        <v>74</v>
      </c>
      <c r="G41" s="70" t="s">
        <v>700</v>
      </c>
      <c r="H41" s="66" t="str">
        <f t="shared" si="8"/>
        <v xml:space="preserve"> 625</v>
      </c>
      <c r="I41" s="67" t="s">
        <v>700</v>
      </c>
      <c r="J41" s="68">
        <f t="shared" si="9"/>
        <v>0</v>
      </c>
      <c r="K41" s="63" t="s">
        <v>361</v>
      </c>
      <c r="L41" s="1" t="s">
        <v>46</v>
      </c>
      <c r="O41" s="88" t="s">
        <v>790</v>
      </c>
      <c r="P41" s="89">
        <v>58000</v>
      </c>
      <c r="Q41" s="90">
        <f t="shared" si="34"/>
        <v>0</v>
      </c>
      <c r="R41" s="71"/>
      <c r="S41" s="72">
        <f t="shared" si="29"/>
        <v>0</v>
      </c>
      <c r="T41" s="68"/>
      <c r="U41" s="73">
        <f t="shared" si="30"/>
        <v>0</v>
      </c>
      <c r="V41" s="73"/>
      <c r="W41" s="2">
        <f t="shared" si="13"/>
        <v>-58000</v>
      </c>
      <c r="Y41" s="81">
        <f t="shared" si="14"/>
        <v>0</v>
      </c>
      <c r="Z41" s="96">
        <v>0</v>
      </c>
      <c r="AA41" s="97">
        <f>U41-Z41</f>
        <v>0</v>
      </c>
      <c r="AB41" s="98" t="e">
        <f>AA41/Z41</f>
        <v>#DIV/0!</v>
      </c>
      <c r="AE41" s="2">
        <v>92000</v>
      </c>
      <c r="AF41" s="28">
        <f t="shared" si="32"/>
        <v>0</v>
      </c>
      <c r="AG41" s="55" t="s">
        <v>125</v>
      </c>
      <c r="AI41" s="20" t="s">
        <v>45</v>
      </c>
      <c r="AJ41" s="2">
        <f t="shared" si="16"/>
        <v>0</v>
      </c>
      <c r="AN41" s="29" t="e">
        <f t="shared" si="17"/>
        <v>#DIV/0!</v>
      </c>
      <c r="AP41" s="3" t="s">
        <v>29</v>
      </c>
      <c r="AQ41" s="1" t="s">
        <v>185</v>
      </c>
      <c r="AR41" s="31">
        <f t="shared" si="18"/>
        <v>0</v>
      </c>
      <c r="AS41" s="31">
        <f t="shared" si="19"/>
        <v>0</v>
      </c>
      <c r="AT41" s="31">
        <f t="shared" si="33"/>
        <v>0</v>
      </c>
      <c r="AU41" s="31">
        <f t="shared" si="20"/>
        <v>0</v>
      </c>
      <c r="AV41" s="31">
        <f t="shared" si="21"/>
        <v>0</v>
      </c>
      <c r="AW41" s="31">
        <f t="shared" si="22"/>
        <v>0</v>
      </c>
      <c r="AX41" s="31">
        <f t="shared" si="23"/>
        <v>0</v>
      </c>
      <c r="AY41" s="31">
        <f t="shared" si="24"/>
        <v>0</v>
      </c>
      <c r="AZ41" s="31">
        <f t="shared" si="25"/>
        <v>0</v>
      </c>
      <c r="BA41" s="31">
        <f t="shared" si="26"/>
        <v>0</v>
      </c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41"/>
      <c r="BM41" s="41"/>
      <c r="BN41" s="41"/>
      <c r="BO41" s="37"/>
      <c r="BP41" s="38"/>
      <c r="BQ41" s="37"/>
      <c r="BR41" s="40"/>
      <c r="BS41" s="39"/>
      <c r="BT41" s="39"/>
      <c r="BU41" s="39"/>
      <c r="BV41" s="39"/>
      <c r="BW41" s="39"/>
      <c r="BX41" s="36"/>
      <c r="BY41" s="33"/>
      <c r="BZ41" s="33"/>
      <c r="CA41" s="33"/>
      <c r="CB41" s="34"/>
      <c r="CC41" s="33"/>
      <c r="CD41" s="35"/>
      <c r="CE41" s="48"/>
      <c r="CF41" s="48"/>
      <c r="CG41" s="48"/>
      <c r="CH41" s="48"/>
      <c r="CI41" s="48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35"/>
      <c r="CW41" s="35"/>
      <c r="CX41" s="35"/>
      <c r="CY41" s="35"/>
      <c r="CZ41" s="35"/>
      <c r="DA41" s="35"/>
      <c r="DB41" s="35"/>
      <c r="DC41" s="35"/>
      <c r="DD41" s="40"/>
      <c r="DE41" s="40"/>
      <c r="DF41" s="40"/>
      <c r="DG41" s="40"/>
      <c r="DH41" s="40"/>
      <c r="DI41" s="40"/>
      <c r="DJ41" s="40"/>
      <c r="DK41" s="40"/>
      <c r="DL41" s="35"/>
      <c r="DM41" s="35"/>
      <c r="DN41" s="35"/>
      <c r="DO41" s="35"/>
      <c r="DP41" s="35"/>
      <c r="DQ41" s="35"/>
      <c r="DR41" s="35"/>
      <c r="DS41" s="35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40"/>
      <c r="ES41" s="40"/>
      <c r="ET41" s="40"/>
      <c r="EU41" s="40"/>
      <c r="EV41" s="40"/>
      <c r="EW41" s="40"/>
      <c r="EX41" s="40"/>
      <c r="EY41" s="40"/>
      <c r="EZ41" s="35"/>
      <c r="FA41" s="35"/>
      <c r="FB41" s="35"/>
      <c r="FC41" s="35"/>
      <c r="FD41" s="35"/>
      <c r="FE41" s="35"/>
      <c r="FF41" s="35"/>
      <c r="FG41" s="35"/>
    </row>
    <row r="42" spans="1:163">
      <c r="A42" s="60">
        <v>73</v>
      </c>
      <c r="E42" s="63" t="s">
        <v>114</v>
      </c>
      <c r="F42" s="56" t="s">
        <v>60</v>
      </c>
      <c r="G42" s="65" t="s">
        <v>454</v>
      </c>
      <c r="H42" s="66" t="str">
        <f t="shared" si="8"/>
        <v xml:space="preserve"> 224</v>
      </c>
      <c r="I42" s="67" t="s">
        <v>454</v>
      </c>
      <c r="J42" s="68">
        <f t="shared" si="9"/>
        <v>0</v>
      </c>
      <c r="K42" s="63" t="s">
        <v>270</v>
      </c>
      <c r="L42" s="1" t="s">
        <v>46</v>
      </c>
      <c r="O42" s="64" t="s">
        <v>789</v>
      </c>
      <c r="P42" s="82">
        <v>0</v>
      </c>
      <c r="Q42" s="74">
        <f t="shared" si="34"/>
        <v>68000</v>
      </c>
      <c r="R42" s="77">
        <v>68000</v>
      </c>
      <c r="S42" s="72">
        <f t="shared" si="29"/>
        <v>7900</v>
      </c>
      <c r="T42" s="68" t="s">
        <v>791</v>
      </c>
      <c r="U42" s="73">
        <f t="shared" si="30"/>
        <v>60100</v>
      </c>
      <c r="V42" s="73">
        <f>2000+4850+600+200+250</f>
        <v>7900</v>
      </c>
      <c r="W42" s="2">
        <f t="shared" si="13"/>
        <v>68000</v>
      </c>
      <c r="Y42" s="80">
        <f t="shared" si="14"/>
        <v>68000</v>
      </c>
      <c r="Z42" s="93"/>
      <c r="AA42" s="93"/>
      <c r="AB42" s="94"/>
      <c r="AE42" s="2">
        <v>103000</v>
      </c>
      <c r="AF42" s="28">
        <f t="shared" si="32"/>
        <v>103000</v>
      </c>
      <c r="AG42" s="55" t="s">
        <v>125</v>
      </c>
      <c r="AI42" s="20" t="s">
        <v>204</v>
      </c>
      <c r="AJ42" s="2">
        <f t="shared" si="16"/>
        <v>35000</v>
      </c>
      <c r="AN42" s="29">
        <f t="shared" si="17"/>
        <v>0.33980582524271846</v>
      </c>
      <c r="AP42" s="3" t="s">
        <v>29</v>
      </c>
      <c r="AQ42" s="1" t="s">
        <v>142</v>
      </c>
      <c r="AR42" s="31">
        <f t="shared" si="18"/>
        <v>0</v>
      </c>
      <c r="AS42" s="31">
        <f t="shared" si="19"/>
        <v>0</v>
      </c>
      <c r="AT42" s="31">
        <f t="shared" si="33"/>
        <v>0</v>
      </c>
      <c r="AU42" s="31">
        <f t="shared" si="20"/>
        <v>0</v>
      </c>
      <c r="AV42" s="31">
        <f t="shared" si="21"/>
        <v>0</v>
      </c>
      <c r="AW42" s="31">
        <f t="shared" si="22"/>
        <v>0</v>
      </c>
      <c r="AX42" s="31">
        <f t="shared" si="23"/>
        <v>0</v>
      </c>
      <c r="AY42" s="31">
        <f t="shared" si="24"/>
        <v>0</v>
      </c>
      <c r="AZ42" s="31">
        <f t="shared" si="25"/>
        <v>0</v>
      </c>
      <c r="BA42" s="31">
        <f t="shared" si="26"/>
        <v>0</v>
      </c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41"/>
      <c r="BM42" s="41"/>
      <c r="BN42" s="41"/>
      <c r="BO42" s="37"/>
      <c r="BP42" s="38"/>
      <c r="BQ42" s="37"/>
      <c r="BR42" s="40"/>
      <c r="BS42" s="39"/>
      <c r="BT42" s="39"/>
      <c r="BU42" s="39"/>
      <c r="BV42" s="39"/>
      <c r="BW42" s="39"/>
      <c r="BX42" s="36"/>
      <c r="BY42" s="33"/>
      <c r="BZ42" s="33"/>
      <c r="CA42" s="33"/>
      <c r="CB42" s="34"/>
      <c r="CC42" s="33"/>
      <c r="CD42" s="35"/>
      <c r="CE42" s="48"/>
      <c r="CF42" s="48"/>
      <c r="CG42" s="48"/>
      <c r="CH42" s="48"/>
      <c r="CI42" s="48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35"/>
      <c r="CW42" s="35"/>
      <c r="CX42" s="35"/>
      <c r="CY42" s="35"/>
      <c r="CZ42" s="35"/>
      <c r="DA42" s="35"/>
      <c r="DB42" s="35"/>
      <c r="DC42" s="35"/>
      <c r="DD42" s="40"/>
      <c r="DE42" s="40"/>
      <c r="DF42" s="40"/>
      <c r="DG42" s="40"/>
      <c r="DH42" s="40"/>
      <c r="DI42" s="40"/>
      <c r="DJ42" s="40"/>
      <c r="DK42" s="40"/>
      <c r="DL42" s="35"/>
      <c r="DM42" s="35"/>
      <c r="DN42" s="35"/>
      <c r="DO42" s="35"/>
      <c r="DP42" s="35"/>
      <c r="DQ42" s="35"/>
      <c r="DR42" s="35"/>
      <c r="DS42" s="35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40"/>
      <c r="ES42" s="40"/>
      <c r="ET42" s="40"/>
      <c r="EU42" s="40"/>
      <c r="EV42" s="40"/>
      <c r="EW42" s="40"/>
      <c r="EX42" s="40"/>
      <c r="EY42" s="40"/>
      <c r="EZ42" s="35"/>
      <c r="FA42" s="35"/>
      <c r="FB42" s="35"/>
      <c r="FC42" s="35"/>
      <c r="FD42" s="35"/>
      <c r="FE42" s="35"/>
      <c r="FF42" s="35"/>
      <c r="FG42" s="35"/>
    </row>
    <row r="43" spans="1:163">
      <c r="A43" s="60">
        <v>75</v>
      </c>
      <c r="E43" s="63" t="s">
        <v>114</v>
      </c>
      <c r="F43" s="56" t="s">
        <v>115</v>
      </c>
      <c r="G43" s="65" t="s">
        <v>456</v>
      </c>
      <c r="H43" s="66" t="str">
        <f t="shared" si="8"/>
        <v xml:space="preserve"> 273</v>
      </c>
      <c r="I43" s="67" t="s">
        <v>456</v>
      </c>
      <c r="J43" s="68">
        <f t="shared" si="9"/>
        <v>0</v>
      </c>
      <c r="K43" s="63" t="s">
        <v>270</v>
      </c>
      <c r="L43" s="1" t="s">
        <v>46</v>
      </c>
      <c r="O43" s="64" t="s">
        <v>789</v>
      </c>
      <c r="P43" s="82">
        <v>0</v>
      </c>
      <c r="Q43" s="74">
        <f t="shared" si="34"/>
        <v>75000</v>
      </c>
      <c r="R43" s="71">
        <v>75000</v>
      </c>
      <c r="S43" s="72">
        <f t="shared" si="29"/>
        <v>8150</v>
      </c>
      <c r="T43" s="68" t="s">
        <v>791</v>
      </c>
      <c r="U43" s="73">
        <f t="shared" si="30"/>
        <v>66850</v>
      </c>
      <c r="V43" s="73">
        <f>2000+5100+600+200+250</f>
        <v>8150</v>
      </c>
      <c r="W43" s="2">
        <f t="shared" si="13"/>
        <v>75000</v>
      </c>
      <c r="Y43" s="80">
        <f t="shared" si="14"/>
        <v>75000</v>
      </c>
      <c r="Z43" s="93"/>
      <c r="AA43" s="93"/>
      <c r="AB43" s="94"/>
      <c r="AE43" s="2">
        <v>109000</v>
      </c>
      <c r="AF43" s="28">
        <f t="shared" si="32"/>
        <v>109000</v>
      </c>
      <c r="AG43" s="55" t="s">
        <v>125</v>
      </c>
      <c r="AI43" s="20" t="s">
        <v>45</v>
      </c>
      <c r="AJ43" s="2">
        <f t="shared" si="16"/>
        <v>34000</v>
      </c>
      <c r="AN43" s="29">
        <f t="shared" si="17"/>
        <v>0.31192660550458717</v>
      </c>
      <c r="AP43" s="3" t="s">
        <v>29</v>
      </c>
      <c r="AQ43" s="1" t="s">
        <v>153</v>
      </c>
      <c r="AR43" s="31">
        <f t="shared" si="18"/>
        <v>0</v>
      </c>
      <c r="AS43" s="31">
        <f t="shared" si="19"/>
        <v>0</v>
      </c>
      <c r="AT43" s="31">
        <f t="shared" si="33"/>
        <v>0</v>
      </c>
      <c r="AU43" s="31">
        <f t="shared" si="20"/>
        <v>0</v>
      </c>
      <c r="AV43" s="31">
        <f t="shared" si="21"/>
        <v>0</v>
      </c>
      <c r="AW43" s="31">
        <f t="shared" si="22"/>
        <v>0</v>
      </c>
      <c r="AX43" s="31">
        <f t="shared" si="23"/>
        <v>0</v>
      </c>
      <c r="AY43" s="31">
        <f t="shared" si="24"/>
        <v>0</v>
      </c>
      <c r="AZ43" s="31">
        <f t="shared" si="25"/>
        <v>0</v>
      </c>
      <c r="BA43" s="31">
        <f t="shared" si="26"/>
        <v>0</v>
      </c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41"/>
      <c r="BM43" s="41"/>
      <c r="BN43" s="41"/>
      <c r="BO43" s="37"/>
      <c r="BP43" s="38"/>
      <c r="BQ43" s="37"/>
      <c r="BR43" s="40"/>
      <c r="BS43" s="39"/>
      <c r="BT43" s="39"/>
      <c r="BU43" s="39"/>
      <c r="BV43" s="39"/>
      <c r="BW43" s="39"/>
      <c r="BX43" s="36"/>
      <c r="BY43" s="33"/>
      <c r="BZ43" s="33"/>
      <c r="CA43" s="33"/>
      <c r="CB43" s="34"/>
      <c r="CC43" s="33"/>
      <c r="CD43" s="35"/>
      <c r="CE43" s="48"/>
      <c r="CF43" s="48"/>
      <c r="CG43" s="48"/>
      <c r="CH43" s="48"/>
      <c r="CI43" s="48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35"/>
      <c r="CW43" s="35"/>
      <c r="CX43" s="35"/>
      <c r="CY43" s="35"/>
      <c r="CZ43" s="35"/>
      <c r="DA43" s="35"/>
      <c r="DB43" s="35"/>
      <c r="DC43" s="35"/>
      <c r="DD43" s="40"/>
      <c r="DE43" s="40"/>
      <c r="DF43" s="40"/>
      <c r="DG43" s="40"/>
      <c r="DH43" s="40"/>
      <c r="DI43" s="40"/>
      <c r="DJ43" s="40"/>
      <c r="DK43" s="40"/>
      <c r="DL43" s="35"/>
      <c r="DM43" s="35"/>
      <c r="DN43" s="35"/>
      <c r="DO43" s="35"/>
      <c r="DP43" s="35"/>
      <c r="DQ43" s="35"/>
      <c r="DR43" s="35"/>
      <c r="DS43" s="35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40"/>
      <c r="ES43" s="40"/>
      <c r="ET43" s="40"/>
      <c r="EU43" s="40"/>
      <c r="EV43" s="40"/>
      <c r="EW43" s="40"/>
      <c r="EX43" s="40"/>
      <c r="EY43" s="40"/>
      <c r="EZ43" s="35"/>
      <c r="FA43" s="35"/>
      <c r="FB43" s="35"/>
      <c r="FC43" s="35"/>
      <c r="FD43" s="35"/>
      <c r="FE43" s="35"/>
      <c r="FF43" s="35"/>
      <c r="FG43" s="35"/>
    </row>
    <row r="44" spans="1:163">
      <c r="A44" s="60">
        <v>185</v>
      </c>
      <c r="E44" s="63" t="s">
        <v>215</v>
      </c>
      <c r="F44" s="56" t="s">
        <v>64</v>
      </c>
      <c r="G44" s="65" t="s">
        <v>565</v>
      </c>
      <c r="H44" s="66" t="str">
        <f t="shared" si="8"/>
        <v xml:space="preserve"> 236</v>
      </c>
      <c r="I44" s="67" t="s">
        <v>565</v>
      </c>
      <c r="J44" s="68">
        <f t="shared" si="9"/>
        <v>0</v>
      </c>
      <c r="K44" s="63" t="s">
        <v>311</v>
      </c>
      <c r="L44" s="1" t="s">
        <v>46</v>
      </c>
      <c r="O44" s="64" t="s">
        <v>789</v>
      </c>
      <c r="P44" s="82">
        <v>0</v>
      </c>
      <c r="Q44" s="74">
        <f t="shared" si="34"/>
        <v>0</v>
      </c>
      <c r="R44" s="71"/>
      <c r="S44" s="72">
        <f t="shared" si="29"/>
        <v>0</v>
      </c>
      <c r="T44" s="68" t="s">
        <v>791</v>
      </c>
      <c r="U44" s="73">
        <f t="shared" si="30"/>
        <v>0</v>
      </c>
      <c r="V44" s="73"/>
      <c r="W44" s="2">
        <f t="shared" si="13"/>
        <v>0</v>
      </c>
      <c r="Y44" s="80">
        <f t="shared" si="14"/>
        <v>0</v>
      </c>
      <c r="Z44" s="93"/>
      <c r="AA44" s="93"/>
      <c r="AB44" s="94"/>
      <c r="AE44" s="2">
        <v>104000</v>
      </c>
      <c r="AF44" s="28">
        <f t="shared" si="32"/>
        <v>104000</v>
      </c>
      <c r="AG44" s="55" t="s">
        <v>125</v>
      </c>
      <c r="AI44" s="20" t="s">
        <v>206</v>
      </c>
      <c r="AJ44" s="2">
        <f t="shared" si="16"/>
        <v>104000</v>
      </c>
      <c r="AN44" s="29">
        <f t="shared" si="17"/>
        <v>1</v>
      </c>
      <c r="AP44" s="3" t="s">
        <v>140</v>
      </c>
      <c r="AQ44" s="1" t="s">
        <v>163</v>
      </c>
      <c r="AR44" s="31">
        <f t="shared" si="18"/>
        <v>-11219</v>
      </c>
      <c r="AS44" s="31">
        <f t="shared" si="19"/>
        <v>0</v>
      </c>
      <c r="AT44" s="31">
        <f t="shared" si="33"/>
        <v>-12962</v>
      </c>
      <c r="AU44" s="31">
        <f t="shared" si="20"/>
        <v>0</v>
      </c>
      <c r="AV44" s="31">
        <f t="shared" si="21"/>
        <v>0</v>
      </c>
      <c r="AW44" s="31">
        <f t="shared" si="22"/>
        <v>0</v>
      </c>
      <c r="AX44" s="31">
        <f t="shared" si="23"/>
        <v>-4762</v>
      </c>
      <c r="AY44" s="31">
        <f t="shared" si="24"/>
        <v>0</v>
      </c>
      <c r="AZ44" s="31">
        <f t="shared" si="25"/>
        <v>0</v>
      </c>
      <c r="BA44" s="31">
        <f t="shared" si="26"/>
        <v>0</v>
      </c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41">
        <v>112219</v>
      </c>
      <c r="BM44" s="41">
        <v>3000</v>
      </c>
      <c r="BN44" s="41">
        <f>BL44+BM44</f>
        <v>115219</v>
      </c>
      <c r="BO44" s="37">
        <f>BN44-Y44</f>
        <v>115219</v>
      </c>
      <c r="BP44" s="38">
        <f>BO44/BL44</f>
        <v>1.0267334408611732</v>
      </c>
      <c r="BQ44" s="37">
        <f>AF44-BN44</f>
        <v>-11219</v>
      </c>
      <c r="BR44" s="40" t="s">
        <v>29</v>
      </c>
      <c r="BS44" s="39"/>
      <c r="BT44" s="39"/>
      <c r="BU44" s="39"/>
      <c r="BV44" s="39"/>
      <c r="BW44" s="39"/>
      <c r="BX44" s="36">
        <v>113962</v>
      </c>
      <c r="BY44" s="33">
        <v>3000</v>
      </c>
      <c r="BZ44" s="33">
        <f>BX44+BY44</f>
        <v>116962</v>
      </c>
      <c r="CA44" s="33">
        <f>BZ44-Y44</f>
        <v>116962</v>
      </c>
      <c r="CB44" s="34">
        <f>CA44/BX44</f>
        <v>1.0263245643284604</v>
      </c>
      <c r="CC44" s="33">
        <f>AF44-BZ44</f>
        <v>-12962</v>
      </c>
      <c r="CD44" s="35" t="s">
        <v>29</v>
      </c>
      <c r="CE44" s="48"/>
      <c r="CF44" s="48"/>
      <c r="CG44" s="48"/>
      <c r="CH44" s="48"/>
      <c r="CI44" s="48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35"/>
      <c r="CW44" s="35"/>
      <c r="CX44" s="35"/>
      <c r="CY44" s="35"/>
      <c r="CZ44" s="35"/>
      <c r="DA44" s="35"/>
      <c r="DB44" s="35"/>
      <c r="DC44" s="35"/>
      <c r="DD44" s="40"/>
      <c r="DE44" s="40"/>
      <c r="DF44" s="40"/>
      <c r="DG44" s="40"/>
      <c r="DH44" s="40"/>
      <c r="DI44" s="40"/>
      <c r="DJ44" s="40"/>
      <c r="DK44" s="40"/>
      <c r="DL44" s="35"/>
      <c r="DM44" s="35"/>
      <c r="DN44" s="35"/>
      <c r="DO44" s="35"/>
      <c r="DP44" s="35"/>
      <c r="DQ44" s="35"/>
      <c r="DR44" s="35"/>
      <c r="DS44" s="35"/>
      <c r="DT44" s="41">
        <v>105262</v>
      </c>
      <c r="DU44" s="37">
        <v>3500</v>
      </c>
      <c r="DV44" s="41">
        <f>DT44+DU44</f>
        <v>108762</v>
      </c>
      <c r="DW44" s="37">
        <f>DV44-Y44</f>
        <v>108762</v>
      </c>
      <c r="DX44" s="38">
        <f>DW44/DV44</f>
        <v>1</v>
      </c>
      <c r="DY44" s="37">
        <f>AF44-DV44</f>
        <v>-4762</v>
      </c>
      <c r="DZ44" s="40" t="s">
        <v>29</v>
      </c>
      <c r="EA44" s="40"/>
      <c r="EB44" s="40"/>
      <c r="EC44" s="40"/>
      <c r="ED44" s="40"/>
      <c r="EE44" s="40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40"/>
      <c r="ES44" s="40"/>
      <c r="ET44" s="40"/>
      <c r="EU44" s="40"/>
      <c r="EV44" s="40"/>
      <c r="EW44" s="40"/>
      <c r="EX44" s="40"/>
      <c r="EY44" s="40"/>
      <c r="EZ44" s="35"/>
      <c r="FA44" s="35"/>
      <c r="FB44" s="35"/>
      <c r="FC44" s="35"/>
      <c r="FD44" s="35"/>
      <c r="FE44" s="35"/>
      <c r="FF44" s="35"/>
      <c r="FG44" s="35"/>
    </row>
    <row r="45" spans="1:163">
      <c r="A45" s="62">
        <v>268</v>
      </c>
      <c r="E45" s="63" t="s">
        <v>218</v>
      </c>
      <c r="F45" s="56" t="s">
        <v>95</v>
      </c>
      <c r="G45" s="69" t="s">
        <v>642</v>
      </c>
      <c r="H45" s="66" t="str">
        <f t="shared" si="8"/>
        <v xml:space="preserve"> 849</v>
      </c>
      <c r="I45" s="67" t="s">
        <v>642</v>
      </c>
      <c r="J45" s="68">
        <f t="shared" si="9"/>
        <v>0</v>
      </c>
      <c r="K45" s="63" t="s">
        <v>347</v>
      </c>
      <c r="L45" s="1" t="s">
        <v>46</v>
      </c>
      <c r="O45" s="64" t="s">
        <v>789</v>
      </c>
      <c r="P45" s="82">
        <v>0</v>
      </c>
      <c r="Q45" s="74">
        <f t="shared" si="34"/>
        <v>92000</v>
      </c>
      <c r="R45" s="76">
        <v>92000</v>
      </c>
      <c r="S45" s="72">
        <f t="shared" si="29"/>
        <v>9550</v>
      </c>
      <c r="T45" s="68" t="s">
        <v>791</v>
      </c>
      <c r="U45" s="73">
        <f t="shared" si="30"/>
        <v>82450</v>
      </c>
      <c r="V45" s="76">
        <f>2000+5500+600+200+250+1000</f>
        <v>9550</v>
      </c>
      <c r="W45" s="2">
        <f t="shared" si="13"/>
        <v>92000</v>
      </c>
      <c r="Y45" s="80">
        <f t="shared" si="14"/>
        <v>92000</v>
      </c>
      <c r="Z45" s="93"/>
      <c r="AA45" s="93"/>
      <c r="AB45" s="94"/>
      <c r="AC45" s="2">
        <v>3000</v>
      </c>
      <c r="AD45" s="2">
        <f>Z45+AC45</f>
        <v>3000</v>
      </c>
      <c r="AF45" s="28">
        <f t="shared" si="32"/>
        <v>0</v>
      </c>
      <c r="AG45" s="55" t="s">
        <v>125</v>
      </c>
      <c r="AI45" s="20" t="s">
        <v>45</v>
      </c>
      <c r="AJ45" s="2">
        <f t="shared" si="16"/>
        <v>-92000</v>
      </c>
      <c r="AN45" s="29" t="e">
        <f t="shared" si="17"/>
        <v>#DIV/0!</v>
      </c>
      <c r="AO45" s="29" t="e">
        <f>AN45-AB45</f>
        <v>#DIV/0!</v>
      </c>
      <c r="AP45" s="3" t="s">
        <v>29</v>
      </c>
      <c r="AQ45" s="1" t="s">
        <v>190</v>
      </c>
      <c r="AR45" s="31">
        <f t="shared" si="18"/>
        <v>0</v>
      </c>
      <c r="AS45" s="31">
        <f t="shared" si="19"/>
        <v>0</v>
      </c>
      <c r="AT45" s="31">
        <f t="shared" si="33"/>
        <v>0</v>
      </c>
      <c r="AU45" s="31">
        <f t="shared" si="20"/>
        <v>0</v>
      </c>
      <c r="AV45" s="31">
        <f t="shared" si="21"/>
        <v>0</v>
      </c>
      <c r="AW45" s="31">
        <f t="shared" si="22"/>
        <v>0</v>
      </c>
      <c r="AX45" s="31">
        <f t="shared" si="23"/>
        <v>0</v>
      </c>
      <c r="AY45" s="31">
        <f t="shared" si="24"/>
        <v>0</v>
      </c>
      <c r="AZ45" s="31">
        <f t="shared" si="25"/>
        <v>0</v>
      </c>
      <c r="BA45" s="31">
        <f t="shared" si="26"/>
        <v>0</v>
      </c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35"/>
      <c r="CW45" s="35"/>
      <c r="CX45" s="35"/>
      <c r="CY45" s="35"/>
      <c r="CZ45" s="35"/>
      <c r="DA45" s="35"/>
      <c r="DB45" s="35"/>
      <c r="DC45" s="35"/>
      <c r="DD45" s="40"/>
      <c r="DE45" s="40"/>
      <c r="DF45" s="40"/>
      <c r="DG45" s="40"/>
      <c r="DH45" s="40"/>
      <c r="DI45" s="40"/>
      <c r="DJ45" s="40"/>
      <c r="DK45" s="40"/>
      <c r="DL45" s="35"/>
      <c r="DM45" s="35"/>
      <c r="DN45" s="35"/>
      <c r="DO45" s="35"/>
      <c r="DP45" s="35"/>
      <c r="DQ45" s="35"/>
      <c r="DR45" s="35"/>
      <c r="DS45" s="35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40"/>
      <c r="ES45" s="40"/>
      <c r="ET45" s="40"/>
      <c r="EU45" s="40"/>
      <c r="EV45" s="40"/>
      <c r="EW45" s="40"/>
      <c r="EX45" s="40"/>
      <c r="EY45" s="40"/>
      <c r="EZ45" s="35"/>
      <c r="FA45" s="35"/>
      <c r="FB45" s="35"/>
      <c r="FC45" s="35"/>
      <c r="FD45" s="35"/>
      <c r="FE45" s="35"/>
      <c r="FF45" s="35"/>
      <c r="FG45" s="35"/>
    </row>
    <row r="46" spans="1:163">
      <c r="A46" s="62">
        <v>277</v>
      </c>
      <c r="E46" s="63" t="s">
        <v>218</v>
      </c>
      <c r="F46" s="56" t="s">
        <v>95</v>
      </c>
      <c r="G46" s="69" t="s">
        <v>652</v>
      </c>
      <c r="H46" s="66" t="str">
        <f t="shared" si="8"/>
        <v xml:space="preserve"> 876</v>
      </c>
      <c r="I46" s="67" t="s">
        <v>652</v>
      </c>
      <c r="J46" s="68">
        <f t="shared" si="9"/>
        <v>0</v>
      </c>
      <c r="K46" s="63" t="s">
        <v>347</v>
      </c>
      <c r="L46" s="1" t="s">
        <v>46</v>
      </c>
      <c r="O46" s="64" t="s">
        <v>789</v>
      </c>
      <c r="P46" s="82">
        <v>0</v>
      </c>
      <c r="Q46" s="74">
        <f t="shared" si="34"/>
        <v>92000</v>
      </c>
      <c r="R46" s="76">
        <v>92000</v>
      </c>
      <c r="S46" s="72">
        <f t="shared" si="29"/>
        <v>9550</v>
      </c>
      <c r="T46" s="68" t="s">
        <v>791</v>
      </c>
      <c r="U46" s="73">
        <f t="shared" si="30"/>
        <v>82450</v>
      </c>
      <c r="V46" s="76">
        <f>2000+5500+600+200+250+1000</f>
        <v>9550</v>
      </c>
      <c r="W46" s="2">
        <f t="shared" si="13"/>
        <v>92000</v>
      </c>
      <c r="Y46" s="80">
        <f t="shared" si="14"/>
        <v>92000</v>
      </c>
      <c r="Z46" s="93"/>
      <c r="AA46" s="93"/>
      <c r="AB46" s="94"/>
      <c r="AC46" s="2">
        <v>4000</v>
      </c>
      <c r="AD46" s="2">
        <f>Z46+AC46</f>
        <v>4000</v>
      </c>
      <c r="AF46" s="28">
        <f t="shared" si="32"/>
        <v>0</v>
      </c>
      <c r="AG46" s="55" t="s">
        <v>125</v>
      </c>
      <c r="AI46" s="20" t="s">
        <v>45</v>
      </c>
      <c r="AJ46" s="2">
        <f t="shared" si="16"/>
        <v>-92000</v>
      </c>
      <c r="AN46" s="29" t="e">
        <f t="shared" si="17"/>
        <v>#DIV/0!</v>
      </c>
      <c r="AO46" s="29" t="e">
        <f>AN46-AB46</f>
        <v>#DIV/0!</v>
      </c>
      <c r="AP46" s="3" t="s">
        <v>29</v>
      </c>
      <c r="AQ46" s="1" t="s">
        <v>190</v>
      </c>
      <c r="AR46" s="31">
        <f t="shared" si="18"/>
        <v>0</v>
      </c>
      <c r="AS46" s="31">
        <f t="shared" si="19"/>
        <v>0</v>
      </c>
      <c r="AT46" s="31">
        <f t="shared" si="33"/>
        <v>0</v>
      </c>
      <c r="AU46" s="31">
        <f t="shared" si="20"/>
        <v>0</v>
      </c>
      <c r="AV46" s="31">
        <f t="shared" si="21"/>
        <v>0</v>
      </c>
      <c r="AW46" s="31">
        <f t="shared" si="22"/>
        <v>0</v>
      </c>
      <c r="AX46" s="31">
        <f t="shared" si="23"/>
        <v>0</v>
      </c>
      <c r="AY46" s="31">
        <f t="shared" si="24"/>
        <v>0</v>
      </c>
      <c r="AZ46" s="31">
        <f t="shared" si="25"/>
        <v>0</v>
      </c>
      <c r="BA46" s="31">
        <f t="shared" si="26"/>
        <v>0</v>
      </c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35"/>
      <c r="CW46" s="35"/>
      <c r="CX46" s="35"/>
      <c r="CY46" s="35"/>
      <c r="CZ46" s="35"/>
      <c r="DA46" s="35"/>
      <c r="DB46" s="35"/>
      <c r="DC46" s="35"/>
      <c r="DD46" s="40"/>
      <c r="DE46" s="40"/>
      <c r="DF46" s="40"/>
      <c r="DG46" s="40"/>
      <c r="DH46" s="40"/>
      <c r="DI46" s="40"/>
      <c r="DJ46" s="40"/>
      <c r="DK46" s="40"/>
      <c r="DL46" s="35"/>
      <c r="DM46" s="35"/>
      <c r="DN46" s="35"/>
      <c r="DO46" s="35"/>
      <c r="DP46" s="35"/>
      <c r="DQ46" s="35"/>
      <c r="DR46" s="35"/>
      <c r="DS46" s="35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40"/>
      <c r="ES46" s="40"/>
      <c r="ET46" s="40"/>
      <c r="EU46" s="40"/>
      <c r="EV46" s="40"/>
      <c r="EW46" s="40"/>
      <c r="EX46" s="40"/>
      <c r="EY46" s="40"/>
      <c r="EZ46" s="35"/>
      <c r="FA46" s="35"/>
      <c r="FB46" s="35"/>
      <c r="FC46" s="35"/>
      <c r="FD46" s="35"/>
      <c r="FE46" s="35"/>
      <c r="FF46" s="35"/>
      <c r="FG46" s="35"/>
    </row>
    <row r="47" spans="1:163">
      <c r="A47" s="62">
        <v>290</v>
      </c>
      <c r="E47" s="63" t="s">
        <v>218</v>
      </c>
      <c r="F47" s="56" t="s">
        <v>95</v>
      </c>
      <c r="G47" s="69" t="s">
        <v>664</v>
      </c>
      <c r="H47" s="66" t="str">
        <f t="shared" si="8"/>
        <v xml:space="preserve"> 839</v>
      </c>
      <c r="I47" s="67" t="s">
        <v>664</v>
      </c>
      <c r="J47" s="68">
        <f t="shared" si="9"/>
        <v>0</v>
      </c>
      <c r="K47" s="63" t="s">
        <v>347</v>
      </c>
      <c r="L47" s="1" t="s">
        <v>46</v>
      </c>
      <c r="O47" s="88" t="s">
        <v>790</v>
      </c>
      <c r="P47" s="89">
        <v>0</v>
      </c>
      <c r="Q47" s="90">
        <f t="shared" si="34"/>
        <v>90000</v>
      </c>
      <c r="R47" s="76">
        <v>90000</v>
      </c>
      <c r="S47" s="72">
        <f t="shared" si="29"/>
        <v>9050</v>
      </c>
      <c r="T47" s="68" t="s">
        <v>791</v>
      </c>
      <c r="U47" s="73">
        <f t="shared" si="30"/>
        <v>80950</v>
      </c>
      <c r="V47" s="76">
        <f>2000+5500+600+200+250+500</f>
        <v>9050</v>
      </c>
      <c r="W47" s="2">
        <f t="shared" si="13"/>
        <v>90000</v>
      </c>
      <c r="Y47" s="81">
        <f t="shared" si="14"/>
        <v>90000</v>
      </c>
      <c r="Z47" s="96">
        <v>0</v>
      </c>
      <c r="AA47" s="97">
        <f>U47-Z47</f>
        <v>80950</v>
      </c>
      <c r="AB47" s="98" t="e">
        <f>AA47/Z47</f>
        <v>#DIV/0!</v>
      </c>
      <c r="AE47" s="2">
        <v>124000</v>
      </c>
      <c r="AF47" s="28">
        <f t="shared" si="32"/>
        <v>0</v>
      </c>
      <c r="AG47" s="55" t="s">
        <v>125</v>
      </c>
      <c r="AI47" s="20" t="s">
        <v>45</v>
      </c>
      <c r="AJ47" s="2">
        <f t="shared" si="16"/>
        <v>-90000</v>
      </c>
      <c r="AN47" s="29" t="e">
        <f t="shared" si="17"/>
        <v>#DIV/0!</v>
      </c>
      <c r="AP47" s="3" t="s">
        <v>29</v>
      </c>
      <c r="AQ47" s="1" t="s">
        <v>190</v>
      </c>
      <c r="AR47" s="31">
        <f t="shared" si="18"/>
        <v>0</v>
      </c>
      <c r="AS47" s="31">
        <f t="shared" si="19"/>
        <v>0</v>
      </c>
      <c r="AT47" s="31">
        <f t="shared" si="33"/>
        <v>0</v>
      </c>
      <c r="AU47" s="31">
        <f t="shared" si="20"/>
        <v>0</v>
      </c>
      <c r="AV47" s="31">
        <f t="shared" si="21"/>
        <v>0</v>
      </c>
      <c r="AW47" s="31">
        <f t="shared" si="22"/>
        <v>0</v>
      </c>
      <c r="AX47" s="31">
        <f t="shared" si="23"/>
        <v>0</v>
      </c>
      <c r="AY47" s="31">
        <f t="shared" si="24"/>
        <v>0</v>
      </c>
      <c r="AZ47" s="31">
        <f t="shared" si="25"/>
        <v>0</v>
      </c>
      <c r="BA47" s="31">
        <f t="shared" si="26"/>
        <v>0</v>
      </c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35"/>
      <c r="CW47" s="35"/>
      <c r="CX47" s="35"/>
      <c r="CY47" s="35"/>
      <c r="CZ47" s="35"/>
      <c r="DA47" s="35"/>
      <c r="DB47" s="35"/>
      <c r="DC47" s="35"/>
      <c r="DD47" s="40"/>
      <c r="DE47" s="40"/>
      <c r="DF47" s="40"/>
      <c r="DG47" s="40"/>
      <c r="DH47" s="40"/>
      <c r="DI47" s="40"/>
      <c r="DJ47" s="40"/>
      <c r="DK47" s="40"/>
      <c r="DL47" s="35"/>
      <c r="DM47" s="35"/>
      <c r="DN47" s="35"/>
      <c r="DO47" s="35"/>
      <c r="DP47" s="35"/>
      <c r="DQ47" s="35"/>
      <c r="DR47" s="35"/>
      <c r="DS47" s="35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40"/>
      <c r="ES47" s="40"/>
      <c r="ET47" s="40"/>
      <c r="EU47" s="40"/>
      <c r="EV47" s="40"/>
      <c r="EW47" s="40"/>
      <c r="EX47" s="40"/>
      <c r="EY47" s="40"/>
      <c r="EZ47" s="35"/>
      <c r="FA47" s="35"/>
      <c r="FB47" s="35"/>
      <c r="FC47" s="35"/>
      <c r="FD47" s="35"/>
      <c r="FE47" s="35"/>
      <c r="FF47" s="35"/>
      <c r="FG47" s="35"/>
    </row>
    <row r="48" spans="1:163">
      <c r="A48" s="62">
        <v>240</v>
      </c>
      <c r="E48" s="63" t="s">
        <v>218</v>
      </c>
      <c r="F48" s="56" t="s">
        <v>92</v>
      </c>
      <c r="G48" s="70" t="s">
        <v>616</v>
      </c>
      <c r="H48" s="66" t="str">
        <f t="shared" si="8"/>
        <v xml:space="preserve"> 312</v>
      </c>
      <c r="I48" s="67" t="s">
        <v>616</v>
      </c>
      <c r="J48" s="68">
        <f t="shared" si="9"/>
        <v>0</v>
      </c>
      <c r="K48" s="63" t="s">
        <v>336</v>
      </c>
      <c r="L48" s="1" t="s">
        <v>46</v>
      </c>
      <c r="O48" s="64" t="s">
        <v>789</v>
      </c>
      <c r="P48" s="82">
        <v>0</v>
      </c>
      <c r="Q48" s="74">
        <f t="shared" si="34"/>
        <v>93000</v>
      </c>
      <c r="R48" s="71">
        <v>93000</v>
      </c>
      <c r="S48" s="72">
        <f t="shared" si="29"/>
        <v>9550</v>
      </c>
      <c r="T48" s="68" t="s">
        <v>791</v>
      </c>
      <c r="U48" s="73">
        <f t="shared" si="30"/>
        <v>83450</v>
      </c>
      <c r="V48" s="73">
        <f>2000+5500+600+200+250+1000</f>
        <v>9550</v>
      </c>
      <c r="W48" s="2">
        <f t="shared" si="13"/>
        <v>93000</v>
      </c>
      <c r="Y48" s="80">
        <f t="shared" si="14"/>
        <v>93000</v>
      </c>
      <c r="Z48" s="93"/>
      <c r="AA48" s="93"/>
      <c r="AB48" s="94"/>
      <c r="AC48" s="2">
        <v>4000</v>
      </c>
      <c r="AD48" s="2">
        <f>Z48+AC48</f>
        <v>4000</v>
      </c>
      <c r="AF48" s="28">
        <f t="shared" si="32"/>
        <v>0</v>
      </c>
      <c r="AG48" s="55" t="s">
        <v>125</v>
      </c>
      <c r="AI48" s="20" t="s">
        <v>45</v>
      </c>
      <c r="AJ48" s="2">
        <f t="shared" si="16"/>
        <v>-93000</v>
      </c>
      <c r="AN48" s="29" t="e">
        <f t="shared" si="17"/>
        <v>#DIV/0!</v>
      </c>
      <c r="AO48" s="29" t="e">
        <f>AN48-AB48</f>
        <v>#DIV/0!</v>
      </c>
      <c r="AP48" s="3" t="s">
        <v>29</v>
      </c>
      <c r="AQ48" s="1" t="s">
        <v>190</v>
      </c>
      <c r="AR48" s="31">
        <f t="shared" si="18"/>
        <v>0</v>
      </c>
      <c r="AS48" s="31">
        <f t="shared" si="19"/>
        <v>0</v>
      </c>
      <c r="AT48" s="31">
        <f t="shared" si="33"/>
        <v>0</v>
      </c>
      <c r="AU48" s="31">
        <f t="shared" si="20"/>
        <v>0</v>
      </c>
      <c r="AV48" s="31">
        <f t="shared" si="21"/>
        <v>0</v>
      </c>
      <c r="AW48" s="31">
        <f t="shared" si="22"/>
        <v>0</v>
      </c>
      <c r="AX48" s="31">
        <f t="shared" si="23"/>
        <v>0</v>
      </c>
      <c r="AY48" s="31">
        <f t="shared" si="24"/>
        <v>0</v>
      </c>
      <c r="AZ48" s="31">
        <f t="shared" si="25"/>
        <v>0</v>
      </c>
      <c r="BA48" s="31">
        <f t="shared" si="26"/>
        <v>0</v>
      </c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35"/>
      <c r="CW48" s="35"/>
      <c r="CX48" s="35"/>
      <c r="CY48" s="35"/>
      <c r="CZ48" s="35"/>
      <c r="DA48" s="35"/>
      <c r="DB48" s="35"/>
      <c r="DC48" s="35"/>
      <c r="DD48" s="40"/>
      <c r="DE48" s="40"/>
      <c r="DF48" s="40"/>
      <c r="DG48" s="40"/>
      <c r="DH48" s="40"/>
      <c r="DI48" s="40"/>
      <c r="DJ48" s="40"/>
      <c r="DK48" s="40"/>
      <c r="DL48" s="35"/>
      <c r="DM48" s="35"/>
      <c r="DN48" s="35"/>
      <c r="DO48" s="35"/>
      <c r="DP48" s="35"/>
      <c r="DQ48" s="35"/>
      <c r="DR48" s="35"/>
      <c r="DS48" s="35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40"/>
      <c r="ES48" s="40"/>
      <c r="ET48" s="40"/>
      <c r="EU48" s="40"/>
      <c r="EV48" s="40"/>
      <c r="EW48" s="40"/>
      <c r="EX48" s="40"/>
      <c r="EY48" s="40"/>
      <c r="EZ48" s="35"/>
      <c r="FA48" s="35"/>
      <c r="FB48" s="35"/>
      <c r="FC48" s="35"/>
      <c r="FD48" s="35"/>
      <c r="FE48" s="35"/>
      <c r="FF48" s="35"/>
      <c r="FG48" s="35"/>
    </row>
    <row r="49" spans="1:163">
      <c r="A49" s="62">
        <v>247</v>
      </c>
      <c r="E49" s="63" t="s">
        <v>219</v>
      </c>
      <c r="F49" s="56" t="s">
        <v>70</v>
      </c>
      <c r="G49" s="65" t="s">
        <v>623</v>
      </c>
      <c r="H49" s="66" t="str">
        <f t="shared" si="8"/>
        <v xml:space="preserve"> 414</v>
      </c>
      <c r="I49" s="67" t="s">
        <v>623</v>
      </c>
      <c r="J49" s="68">
        <f t="shared" si="9"/>
        <v>0</v>
      </c>
      <c r="K49" s="63" t="s">
        <v>338</v>
      </c>
      <c r="L49" s="1" t="s">
        <v>46</v>
      </c>
      <c r="O49" s="64" t="s">
        <v>789</v>
      </c>
      <c r="P49" s="82">
        <v>0</v>
      </c>
      <c r="Q49" s="74">
        <f t="shared" si="34"/>
        <v>125000</v>
      </c>
      <c r="R49" s="71">
        <v>125000</v>
      </c>
      <c r="S49" s="72">
        <f t="shared" si="29"/>
        <v>9750</v>
      </c>
      <c r="T49" s="68" t="s">
        <v>791</v>
      </c>
      <c r="U49" s="73">
        <f t="shared" si="30"/>
        <v>115250</v>
      </c>
      <c r="V49" s="75">
        <f>2000+6200+600+500+200+250</f>
        <v>9750</v>
      </c>
      <c r="W49" s="2">
        <f t="shared" si="13"/>
        <v>125000</v>
      </c>
      <c r="Y49" s="80">
        <f t="shared" si="14"/>
        <v>125000</v>
      </c>
      <c r="Z49" s="93"/>
      <c r="AA49" s="93"/>
      <c r="AB49" s="94"/>
      <c r="AC49" s="2">
        <v>8000</v>
      </c>
      <c r="AD49" s="2">
        <f>Z49+AC49</f>
        <v>8000</v>
      </c>
      <c r="AF49" s="28">
        <f t="shared" si="32"/>
        <v>0</v>
      </c>
      <c r="AG49" s="55" t="s">
        <v>125</v>
      </c>
      <c r="AI49" s="20" t="s">
        <v>206</v>
      </c>
      <c r="AJ49" s="2">
        <f t="shared" si="16"/>
        <v>-125000</v>
      </c>
      <c r="AN49" s="29" t="e">
        <f t="shared" si="17"/>
        <v>#DIV/0!</v>
      </c>
      <c r="AO49" s="29" t="e">
        <f>AN49-AB49</f>
        <v>#DIV/0!</v>
      </c>
      <c r="AP49" s="3" t="s">
        <v>140</v>
      </c>
      <c r="AQ49" s="1" t="s">
        <v>186</v>
      </c>
      <c r="AR49" s="31">
        <f t="shared" si="18"/>
        <v>-208250</v>
      </c>
      <c r="AS49" s="31">
        <f t="shared" si="19"/>
        <v>-262845</v>
      </c>
      <c r="AT49" s="31">
        <f t="shared" si="33"/>
        <v>-203100</v>
      </c>
      <c r="AU49" s="31">
        <f t="shared" si="20"/>
        <v>-234225</v>
      </c>
      <c r="AV49" s="31">
        <f t="shared" si="21"/>
        <v>0</v>
      </c>
      <c r="AW49" s="31">
        <f t="shared" si="22"/>
        <v>0</v>
      </c>
      <c r="AX49" s="31">
        <f t="shared" si="23"/>
        <v>-202510</v>
      </c>
      <c r="AY49" s="31">
        <f t="shared" si="24"/>
        <v>0</v>
      </c>
      <c r="AZ49" s="31">
        <f t="shared" si="25"/>
        <v>0</v>
      </c>
      <c r="BA49" s="31">
        <f t="shared" si="26"/>
        <v>0</v>
      </c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41">
        <v>200250</v>
      </c>
      <c r="BM49" s="41">
        <v>8000</v>
      </c>
      <c r="BN49" s="41">
        <f>BL49+BM49</f>
        <v>208250</v>
      </c>
      <c r="BO49" s="41">
        <f>BN49-Y49</f>
        <v>83250</v>
      </c>
      <c r="BP49" s="41">
        <f>BO49/BL49</f>
        <v>0.4157303370786517</v>
      </c>
      <c r="BQ49" s="41">
        <f>AF49-BN49</f>
        <v>-208250</v>
      </c>
      <c r="BR49" s="41" t="s">
        <v>29</v>
      </c>
      <c r="BS49" s="39"/>
      <c r="BT49" s="39"/>
      <c r="BU49" s="39"/>
      <c r="BV49" s="39"/>
      <c r="BW49" s="39"/>
      <c r="BX49" s="36">
        <v>197100</v>
      </c>
      <c r="BY49" s="33">
        <v>6000</v>
      </c>
      <c r="BZ49" s="33">
        <f>BX49+BY49</f>
        <v>203100</v>
      </c>
      <c r="CA49" s="33">
        <f>BZ49-Y49</f>
        <v>78100</v>
      </c>
      <c r="CB49" s="34">
        <f>CA49/BX49</f>
        <v>0.39624556062912225</v>
      </c>
      <c r="CC49" s="33">
        <f>AF49-BZ49</f>
        <v>-203100</v>
      </c>
      <c r="CD49" s="48"/>
      <c r="CE49" s="48"/>
      <c r="CF49" s="48"/>
      <c r="CG49" s="48"/>
      <c r="CH49" s="48"/>
      <c r="CI49" s="48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35">
        <v>262845</v>
      </c>
      <c r="CW49" s="36">
        <f>CV49-Y49</f>
        <v>137845</v>
      </c>
      <c r="CX49" s="52">
        <f>CW49/CV49</f>
        <v>0.52443455268314021</v>
      </c>
      <c r="CY49" s="36">
        <f>AF49-CV49</f>
        <v>-262845</v>
      </c>
      <c r="CZ49" s="35" t="s">
        <v>29</v>
      </c>
      <c r="DA49" s="35"/>
      <c r="DB49" s="35"/>
      <c r="DC49" s="35"/>
      <c r="DD49" s="41">
        <v>234225</v>
      </c>
      <c r="DE49" s="37">
        <f>DD49-Y49</f>
        <v>109225</v>
      </c>
      <c r="DF49" s="38">
        <f>DE49/DD49</f>
        <v>0.46632511474010035</v>
      </c>
      <c r="DG49" s="37">
        <f>AF49-DD49</f>
        <v>-234225</v>
      </c>
      <c r="DH49" s="42" t="s">
        <v>29</v>
      </c>
      <c r="DI49" s="40"/>
      <c r="DJ49" s="40"/>
      <c r="DK49" s="40"/>
      <c r="DL49" s="35"/>
      <c r="DM49" s="35"/>
      <c r="DN49" s="35"/>
      <c r="DO49" s="35"/>
      <c r="DP49" s="35"/>
      <c r="DQ49" s="35"/>
      <c r="DR49" s="35"/>
      <c r="DS49" s="35"/>
      <c r="DT49" s="41">
        <v>195510</v>
      </c>
      <c r="DU49" s="37">
        <v>7000</v>
      </c>
      <c r="DV49" s="41">
        <f>DT49+DU49</f>
        <v>202510</v>
      </c>
      <c r="DW49" s="37">
        <f>DV49-Y49</f>
        <v>77510</v>
      </c>
      <c r="DX49" s="38">
        <f>DW49/DV49</f>
        <v>0.38274653103550443</v>
      </c>
      <c r="DY49" s="37">
        <f>AF49-DV49</f>
        <v>-202510</v>
      </c>
      <c r="DZ49" s="40" t="s">
        <v>103</v>
      </c>
      <c r="EA49" s="40"/>
      <c r="EB49" s="40"/>
      <c r="EC49" s="40"/>
      <c r="ED49" s="40"/>
      <c r="EE49" s="40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40"/>
      <c r="ES49" s="40"/>
      <c r="ET49" s="40"/>
      <c r="EU49" s="40"/>
      <c r="EV49" s="40"/>
      <c r="EW49" s="40"/>
      <c r="EX49" s="40"/>
      <c r="EY49" s="40"/>
      <c r="EZ49" s="35"/>
      <c r="FA49" s="35"/>
      <c r="FB49" s="35"/>
      <c r="FC49" s="35"/>
      <c r="FD49" s="35"/>
      <c r="FE49" s="35"/>
      <c r="FF49" s="35"/>
      <c r="FG49" s="35"/>
    </row>
    <row r="50" spans="1:163">
      <c r="A50" s="62">
        <v>249</v>
      </c>
      <c r="E50" s="63" t="s">
        <v>219</v>
      </c>
      <c r="F50" s="56" t="s">
        <v>70</v>
      </c>
      <c r="G50" s="65" t="s">
        <v>625</v>
      </c>
      <c r="H50" s="66" t="str">
        <f t="shared" si="8"/>
        <v xml:space="preserve"> 448</v>
      </c>
      <c r="I50" s="67" t="s">
        <v>625</v>
      </c>
      <c r="J50" s="68">
        <f t="shared" si="9"/>
        <v>0</v>
      </c>
      <c r="K50" s="63" t="s">
        <v>338</v>
      </c>
      <c r="L50" s="1" t="s">
        <v>46</v>
      </c>
      <c r="O50" s="64" t="s">
        <v>789</v>
      </c>
      <c r="P50" s="82">
        <v>0</v>
      </c>
      <c r="Q50" s="74">
        <f t="shared" si="34"/>
        <v>125500</v>
      </c>
      <c r="R50" s="71">
        <v>125500</v>
      </c>
      <c r="S50" s="72">
        <f t="shared" si="29"/>
        <v>10050</v>
      </c>
      <c r="T50" s="68" t="s">
        <v>791</v>
      </c>
      <c r="U50" s="73">
        <f t="shared" si="30"/>
        <v>115450</v>
      </c>
      <c r="V50" s="75">
        <f>2000+6200+600+200+250+800</f>
        <v>10050</v>
      </c>
      <c r="W50" s="2">
        <f t="shared" si="13"/>
        <v>125500</v>
      </c>
      <c r="Y50" s="80">
        <f t="shared" si="14"/>
        <v>125500</v>
      </c>
      <c r="Z50" s="93"/>
      <c r="AA50" s="93"/>
      <c r="AB50" s="94"/>
      <c r="AC50" s="2">
        <v>8000</v>
      </c>
      <c r="AD50" s="2">
        <f>Z50+AC50</f>
        <v>8000</v>
      </c>
      <c r="AF50" s="28">
        <f t="shared" si="32"/>
        <v>0</v>
      </c>
      <c r="AG50" s="55" t="s">
        <v>125</v>
      </c>
      <c r="AI50" s="20" t="s">
        <v>206</v>
      </c>
      <c r="AJ50" s="2">
        <f t="shared" si="16"/>
        <v>-125500</v>
      </c>
      <c r="AN50" s="29" t="e">
        <f t="shared" si="17"/>
        <v>#DIV/0!</v>
      </c>
      <c r="AO50" s="29" t="e">
        <f>AN50-AB50</f>
        <v>#DIV/0!</v>
      </c>
      <c r="AP50" s="3" t="s">
        <v>140</v>
      </c>
      <c r="AQ50" s="1" t="s">
        <v>186</v>
      </c>
      <c r="AR50" s="31">
        <f t="shared" si="18"/>
        <v>-208250</v>
      </c>
      <c r="AS50" s="31">
        <f t="shared" si="19"/>
        <v>-262845</v>
      </c>
      <c r="AT50" s="31">
        <f t="shared" si="33"/>
        <v>-203100</v>
      </c>
      <c r="AU50" s="31">
        <f t="shared" si="20"/>
        <v>-234225</v>
      </c>
      <c r="AV50" s="31">
        <f t="shared" si="21"/>
        <v>0</v>
      </c>
      <c r="AW50" s="31">
        <f t="shared" si="22"/>
        <v>0</v>
      </c>
      <c r="AX50" s="31">
        <f t="shared" si="23"/>
        <v>-202510</v>
      </c>
      <c r="AY50" s="31">
        <f t="shared" si="24"/>
        <v>0</v>
      </c>
      <c r="AZ50" s="31">
        <f t="shared" si="25"/>
        <v>0</v>
      </c>
      <c r="BA50" s="31">
        <f t="shared" si="26"/>
        <v>0</v>
      </c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41">
        <v>200250</v>
      </c>
      <c r="BM50" s="41">
        <v>8000</v>
      </c>
      <c r="BN50" s="41">
        <f>BL50+BM50</f>
        <v>208250</v>
      </c>
      <c r="BO50" s="41">
        <f>BN50-Y50</f>
        <v>82750</v>
      </c>
      <c r="BP50" s="41">
        <f>BO50/BL50</f>
        <v>0.41323345817727841</v>
      </c>
      <c r="BQ50" s="41">
        <f>AF50-BN50</f>
        <v>-208250</v>
      </c>
      <c r="BR50" s="41" t="s">
        <v>29</v>
      </c>
      <c r="BS50" s="39"/>
      <c r="BT50" s="39"/>
      <c r="BU50" s="39"/>
      <c r="BV50" s="39"/>
      <c r="BW50" s="39"/>
      <c r="BX50" s="36">
        <v>197100</v>
      </c>
      <c r="BY50" s="33">
        <v>6000</v>
      </c>
      <c r="BZ50" s="33">
        <f>BX50+BY50</f>
        <v>203100</v>
      </c>
      <c r="CA50" s="33">
        <f>BZ50-Y50</f>
        <v>77600</v>
      </c>
      <c r="CB50" s="34">
        <f>CA50/BX50</f>
        <v>0.39370877727042108</v>
      </c>
      <c r="CC50" s="33">
        <f>AF50-BZ50</f>
        <v>-203100</v>
      </c>
      <c r="CD50" s="48"/>
      <c r="CE50" s="48"/>
      <c r="CF50" s="48"/>
      <c r="CG50" s="48"/>
      <c r="CH50" s="48"/>
      <c r="CI50" s="48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35">
        <v>262845</v>
      </c>
      <c r="CW50" s="36">
        <f>CV50-Y50</f>
        <v>137345</v>
      </c>
      <c r="CX50" s="52">
        <f>CW50/CV50</f>
        <v>0.52253229089387276</v>
      </c>
      <c r="CY50" s="36">
        <f>AF50-CV50</f>
        <v>-262845</v>
      </c>
      <c r="CZ50" s="35" t="s">
        <v>29</v>
      </c>
      <c r="DA50" s="35"/>
      <c r="DB50" s="35"/>
      <c r="DC50" s="35"/>
      <c r="DD50" s="41">
        <v>234225</v>
      </c>
      <c r="DE50" s="37">
        <f>DD50-Y50</f>
        <v>108725</v>
      </c>
      <c r="DF50" s="38">
        <f>DE50/DD50</f>
        <v>0.46419041519906074</v>
      </c>
      <c r="DG50" s="37">
        <f>AF50-DD50</f>
        <v>-234225</v>
      </c>
      <c r="DH50" s="42" t="s">
        <v>29</v>
      </c>
      <c r="DI50" s="40"/>
      <c r="DJ50" s="40"/>
      <c r="DK50" s="40"/>
      <c r="DL50" s="35"/>
      <c r="DM50" s="35"/>
      <c r="DN50" s="35"/>
      <c r="DO50" s="35"/>
      <c r="DP50" s="35"/>
      <c r="DQ50" s="35"/>
      <c r="DR50" s="35"/>
      <c r="DS50" s="35"/>
      <c r="DT50" s="41">
        <v>195510</v>
      </c>
      <c r="DU50" s="37">
        <v>7000</v>
      </c>
      <c r="DV50" s="41">
        <f>DT50+DU50</f>
        <v>202510</v>
      </c>
      <c r="DW50" s="37">
        <f>DV50-Y50</f>
        <v>77010</v>
      </c>
      <c r="DX50" s="38">
        <f>DW50/DV50</f>
        <v>0.38027751715964642</v>
      </c>
      <c r="DY50" s="37">
        <f>AF50-DV50</f>
        <v>-202510</v>
      </c>
      <c r="DZ50" s="40" t="s">
        <v>103</v>
      </c>
      <c r="EA50" s="40"/>
      <c r="EB50" s="40"/>
      <c r="EC50" s="40"/>
      <c r="ED50" s="40"/>
      <c r="EE50" s="40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40"/>
      <c r="ES50" s="40"/>
      <c r="ET50" s="40"/>
      <c r="EU50" s="40"/>
      <c r="EV50" s="40"/>
      <c r="EW50" s="40"/>
      <c r="EX50" s="40"/>
      <c r="EY50" s="40"/>
      <c r="EZ50" s="35"/>
      <c r="FA50" s="35"/>
      <c r="FB50" s="35"/>
      <c r="FC50" s="35"/>
      <c r="FD50" s="35"/>
      <c r="FE50" s="35"/>
      <c r="FF50" s="35"/>
      <c r="FG50" s="35"/>
    </row>
    <row r="51" spans="1:163">
      <c r="A51" s="62">
        <v>253</v>
      </c>
      <c r="E51" s="63" t="s">
        <v>219</v>
      </c>
      <c r="F51" s="56" t="s">
        <v>52</v>
      </c>
      <c r="G51" s="65" t="s">
        <v>207</v>
      </c>
      <c r="H51" s="66" t="str">
        <f t="shared" si="8"/>
        <v xml:space="preserve"> 387</v>
      </c>
      <c r="I51" s="67" t="s">
        <v>207</v>
      </c>
      <c r="J51" s="68">
        <f t="shared" si="9"/>
        <v>0</v>
      </c>
      <c r="K51" s="63" t="s">
        <v>338</v>
      </c>
      <c r="L51" s="1" t="s">
        <v>46</v>
      </c>
      <c r="O51" s="88" t="s">
        <v>790</v>
      </c>
      <c r="P51" s="89">
        <v>0</v>
      </c>
      <c r="Q51" s="90">
        <f t="shared" si="34"/>
        <v>194400</v>
      </c>
      <c r="R51" s="71">
        <v>194400</v>
      </c>
      <c r="S51" s="72">
        <f t="shared" si="29"/>
        <v>3850</v>
      </c>
      <c r="T51" s="68" t="s">
        <v>791</v>
      </c>
      <c r="U51" s="73">
        <f t="shared" si="30"/>
        <v>190550</v>
      </c>
      <c r="V51" s="75">
        <f>2000+600+800+200+250</f>
        <v>3850</v>
      </c>
      <c r="W51" s="2">
        <f t="shared" si="13"/>
        <v>194400</v>
      </c>
      <c r="Y51" s="81">
        <f t="shared" si="14"/>
        <v>194400</v>
      </c>
      <c r="Z51" s="96">
        <v>0</v>
      </c>
      <c r="AA51" s="97">
        <f>U51-Z51</f>
        <v>190550</v>
      </c>
      <c r="AB51" s="98" t="e">
        <f>AA51/Z51</f>
        <v>#DIV/0!</v>
      </c>
      <c r="AE51" s="2">
        <v>250000</v>
      </c>
      <c r="AF51" s="28">
        <f t="shared" si="32"/>
        <v>0</v>
      </c>
      <c r="AG51" s="55" t="s">
        <v>125</v>
      </c>
      <c r="AI51" s="20" t="s">
        <v>204</v>
      </c>
      <c r="AJ51" s="2">
        <f t="shared" si="16"/>
        <v>-194400</v>
      </c>
      <c r="AN51" s="29" t="e">
        <f t="shared" si="17"/>
        <v>#DIV/0!</v>
      </c>
      <c r="AP51" s="3" t="s">
        <v>158</v>
      </c>
      <c r="AR51" s="31">
        <f t="shared" si="18"/>
        <v>-232550</v>
      </c>
      <c r="AS51" s="31">
        <f t="shared" si="19"/>
        <v>-259200</v>
      </c>
      <c r="AT51" s="31">
        <f t="shared" si="33"/>
        <v>0</v>
      </c>
      <c r="AU51" s="31">
        <f t="shared" si="20"/>
        <v>0</v>
      </c>
      <c r="AV51" s="31">
        <f t="shared" si="21"/>
        <v>0</v>
      </c>
      <c r="AW51" s="31">
        <f t="shared" si="22"/>
        <v>0</v>
      </c>
      <c r="AX51" s="31">
        <f t="shared" si="23"/>
        <v>0</v>
      </c>
      <c r="AY51" s="31">
        <f t="shared" si="24"/>
        <v>0</v>
      </c>
      <c r="AZ51" s="31">
        <f t="shared" si="25"/>
        <v>0</v>
      </c>
      <c r="BA51" s="31">
        <f t="shared" si="26"/>
        <v>0</v>
      </c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41">
        <v>224550</v>
      </c>
      <c r="BM51" s="41">
        <v>8000</v>
      </c>
      <c r="BN51" s="41">
        <f>BL51+BM51</f>
        <v>232550</v>
      </c>
      <c r="BO51" s="41">
        <f>BN51-Y51</f>
        <v>38150</v>
      </c>
      <c r="BP51" s="41">
        <f>BO51/BL51</f>
        <v>0.16989534624805167</v>
      </c>
      <c r="BQ51" s="41">
        <f>AF51-BN51</f>
        <v>-232550</v>
      </c>
      <c r="BR51" s="41" t="s">
        <v>99</v>
      </c>
      <c r="BS51" s="39"/>
      <c r="BT51" s="39"/>
      <c r="BU51" s="39"/>
      <c r="BV51" s="39"/>
      <c r="BW51" s="39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36">
        <v>259200</v>
      </c>
      <c r="CW51" s="36">
        <f>CV51-Y51</f>
        <v>64800</v>
      </c>
      <c r="CX51" s="52">
        <f>CW51/CV51</f>
        <v>0.25</v>
      </c>
      <c r="CY51" s="36">
        <f>AF51-CV51</f>
        <v>-259200</v>
      </c>
      <c r="CZ51" s="35" t="s">
        <v>101</v>
      </c>
      <c r="DA51" s="35"/>
      <c r="DB51" s="35"/>
      <c r="DC51" s="35"/>
      <c r="DD51" s="40"/>
      <c r="DE51" s="40"/>
      <c r="DF51" s="40"/>
      <c r="DG51" s="40"/>
      <c r="DH51" s="40"/>
      <c r="DI51" s="40"/>
      <c r="DJ51" s="40"/>
      <c r="DK51" s="40"/>
      <c r="DL51" s="35"/>
      <c r="DM51" s="35"/>
      <c r="DN51" s="35"/>
      <c r="DO51" s="35"/>
      <c r="DP51" s="35"/>
      <c r="DQ51" s="35"/>
      <c r="DR51" s="35"/>
      <c r="DS51" s="35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40"/>
      <c r="ES51" s="40"/>
      <c r="ET51" s="40"/>
      <c r="EU51" s="40"/>
      <c r="EV51" s="40"/>
      <c r="EW51" s="40"/>
      <c r="EX51" s="40"/>
      <c r="EY51" s="40"/>
      <c r="EZ51" s="35"/>
      <c r="FA51" s="35"/>
      <c r="FB51" s="35"/>
      <c r="FC51" s="35"/>
      <c r="FD51" s="35"/>
      <c r="FE51" s="35"/>
      <c r="FF51" s="35"/>
      <c r="FG51" s="35"/>
    </row>
    <row r="52" spans="1:163">
      <c r="A52" s="62">
        <v>381</v>
      </c>
      <c r="E52" s="63" t="s">
        <v>233</v>
      </c>
      <c r="F52" s="56" t="s">
        <v>80</v>
      </c>
      <c r="G52" s="70" t="s">
        <v>749</v>
      </c>
      <c r="H52" s="66" t="str">
        <f t="shared" si="8"/>
        <v xml:space="preserve"> 872</v>
      </c>
      <c r="I52" s="67" t="s">
        <v>749</v>
      </c>
      <c r="J52" s="68">
        <f t="shared" si="9"/>
        <v>0</v>
      </c>
      <c r="K52" s="63" t="s">
        <v>378</v>
      </c>
      <c r="L52" s="1" t="s">
        <v>46</v>
      </c>
      <c r="O52" s="64" t="s">
        <v>789</v>
      </c>
      <c r="P52" s="82">
        <v>0</v>
      </c>
      <c r="Q52" s="74">
        <f t="shared" si="34"/>
        <v>59000</v>
      </c>
      <c r="R52" s="71">
        <v>59000</v>
      </c>
      <c r="S52" s="72">
        <f t="shared" si="29"/>
        <v>7900</v>
      </c>
      <c r="T52" s="68" t="s">
        <v>791</v>
      </c>
      <c r="U52" s="73">
        <f t="shared" si="30"/>
        <v>51100</v>
      </c>
      <c r="V52" s="75">
        <f>2000+4850+600+200+250</f>
        <v>7900</v>
      </c>
      <c r="W52" s="2">
        <f t="shared" si="13"/>
        <v>59000</v>
      </c>
      <c r="Y52" s="80">
        <f t="shared" si="14"/>
        <v>59000</v>
      </c>
      <c r="Z52" s="93"/>
      <c r="AA52" s="93"/>
      <c r="AB52" s="94"/>
      <c r="AC52" s="2">
        <v>2500</v>
      </c>
      <c r="AD52" s="2">
        <f>Z52+AC52</f>
        <v>2500</v>
      </c>
      <c r="AF52" s="28">
        <f t="shared" si="32"/>
        <v>0</v>
      </c>
      <c r="AG52" s="55" t="s">
        <v>125</v>
      </c>
      <c r="AI52" s="20" t="s">
        <v>204</v>
      </c>
      <c r="AJ52" s="2">
        <f t="shared" si="16"/>
        <v>-59000</v>
      </c>
      <c r="AN52" s="29" t="e">
        <f t="shared" si="17"/>
        <v>#DIV/0!</v>
      </c>
      <c r="AO52" s="29" t="e">
        <f>AN52-AB52</f>
        <v>#DIV/0!</v>
      </c>
      <c r="AP52" s="3" t="s">
        <v>140</v>
      </c>
      <c r="AQ52" s="1" t="s">
        <v>201</v>
      </c>
      <c r="AR52" s="31">
        <f t="shared" si="18"/>
        <v>0</v>
      </c>
      <c r="AS52" s="31">
        <f t="shared" si="19"/>
        <v>0</v>
      </c>
      <c r="AT52" s="31">
        <f t="shared" si="33"/>
        <v>0</v>
      </c>
      <c r="AU52" s="31">
        <f t="shared" si="20"/>
        <v>0</v>
      </c>
      <c r="AV52" s="31">
        <f t="shared" si="21"/>
        <v>-71631</v>
      </c>
      <c r="AW52" s="31">
        <f t="shared" si="22"/>
        <v>0</v>
      </c>
      <c r="AX52" s="31">
        <f t="shared" si="23"/>
        <v>-71669</v>
      </c>
      <c r="AY52" s="31">
        <f t="shared" si="24"/>
        <v>-71537</v>
      </c>
      <c r="AZ52" s="31">
        <f t="shared" si="25"/>
        <v>0</v>
      </c>
      <c r="BA52" s="31">
        <f t="shared" si="26"/>
        <v>0</v>
      </c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41">
        <v>69131</v>
      </c>
      <c r="CK52" s="41">
        <v>2500</v>
      </c>
      <c r="CL52" s="37">
        <f>CJ52+CK52</f>
        <v>71631</v>
      </c>
      <c r="CM52" s="37">
        <f>CL52-Y52</f>
        <v>12631</v>
      </c>
      <c r="CN52" s="38">
        <f>CM52/CJ52</f>
        <v>0.18271108475213724</v>
      </c>
      <c r="CO52" s="37">
        <f>AF52-CL52</f>
        <v>-71631</v>
      </c>
      <c r="CP52" s="40" t="s">
        <v>29</v>
      </c>
      <c r="CQ52" s="39"/>
      <c r="CR52" s="39"/>
      <c r="CS52" s="39"/>
      <c r="CT52" s="39"/>
      <c r="CU52" s="39"/>
      <c r="CV52" s="35"/>
      <c r="CW52" s="35"/>
      <c r="CX52" s="35"/>
      <c r="CY52" s="35"/>
      <c r="CZ52" s="35"/>
      <c r="DA52" s="35"/>
      <c r="DB52" s="35"/>
      <c r="DC52" s="35"/>
      <c r="DD52" s="39"/>
      <c r="DE52" s="39"/>
      <c r="DF52" s="39"/>
      <c r="DG52" s="39"/>
      <c r="DH52" s="39"/>
      <c r="DI52" s="39"/>
      <c r="DJ52" s="39"/>
      <c r="DK52" s="39"/>
      <c r="DL52" s="43"/>
      <c r="DM52" s="43"/>
      <c r="DN52" s="43"/>
      <c r="DO52" s="43"/>
      <c r="DP52" s="43"/>
      <c r="DQ52" s="43"/>
      <c r="DR52" s="43"/>
      <c r="DS52" s="43"/>
      <c r="DT52" s="41">
        <v>69169</v>
      </c>
      <c r="DU52" s="37">
        <v>2500</v>
      </c>
      <c r="DV52" s="41">
        <f>DT52+DU52</f>
        <v>71669</v>
      </c>
      <c r="DW52" s="37">
        <f>DV52-Y52</f>
        <v>12669</v>
      </c>
      <c r="DX52" s="38">
        <f>DW52/DV52</f>
        <v>0.17677098885152576</v>
      </c>
      <c r="DY52" s="37">
        <f>AF52-DV52</f>
        <v>-71669</v>
      </c>
      <c r="DZ52" s="40" t="s">
        <v>29</v>
      </c>
      <c r="EA52" s="40"/>
      <c r="EB52" s="40"/>
      <c r="EC52" s="40"/>
      <c r="ED52" s="40"/>
      <c r="EE52" s="40"/>
      <c r="EF52" s="33">
        <v>69037</v>
      </c>
      <c r="EG52" s="33">
        <v>2500</v>
      </c>
      <c r="EH52" s="33">
        <f>EF52+EG52</f>
        <v>71537</v>
      </c>
      <c r="EI52" s="33">
        <f>EH52-Y52</f>
        <v>12537</v>
      </c>
      <c r="EJ52" s="44">
        <f>EI52/EH52</f>
        <v>0.17525196751331479</v>
      </c>
      <c r="EK52" s="45">
        <f>AF52-EH52</f>
        <v>-71537</v>
      </c>
      <c r="EL52" s="43" t="s">
        <v>29</v>
      </c>
      <c r="EM52" s="43"/>
      <c r="EN52" s="43"/>
      <c r="EO52" s="43"/>
      <c r="EP52" s="43"/>
      <c r="EQ52" s="43"/>
      <c r="ER52" s="40"/>
      <c r="ES52" s="40"/>
      <c r="ET52" s="40"/>
      <c r="EU52" s="40"/>
      <c r="EV52" s="40"/>
      <c r="EW52" s="40"/>
      <c r="EX52" s="40"/>
      <c r="EY52" s="40"/>
      <c r="EZ52" s="35"/>
      <c r="FA52" s="35"/>
      <c r="FB52" s="35"/>
      <c r="FC52" s="35"/>
      <c r="FD52" s="35"/>
      <c r="FE52" s="35"/>
      <c r="FF52" s="35"/>
      <c r="FG52" s="35"/>
    </row>
    <row r="53" spans="1:163">
      <c r="A53" s="62">
        <v>190</v>
      </c>
      <c r="E53" s="63" t="s">
        <v>61</v>
      </c>
      <c r="F53" s="56" t="s">
        <v>65</v>
      </c>
      <c r="G53" s="70" t="s">
        <v>570</v>
      </c>
      <c r="H53" s="66" t="str">
        <f t="shared" si="8"/>
        <v xml:space="preserve"> 980</v>
      </c>
      <c r="I53" s="67" t="s">
        <v>570</v>
      </c>
      <c r="J53" s="68">
        <f t="shared" si="9"/>
        <v>0</v>
      </c>
      <c r="K53" s="63" t="s">
        <v>313</v>
      </c>
      <c r="L53" s="1" t="s">
        <v>46</v>
      </c>
      <c r="O53" s="88" t="s">
        <v>790</v>
      </c>
      <c r="P53" s="89">
        <v>92500</v>
      </c>
      <c r="Q53" s="90">
        <f t="shared" si="34"/>
        <v>0</v>
      </c>
      <c r="R53" s="71"/>
      <c r="S53" s="72">
        <f t="shared" si="29"/>
        <v>0</v>
      </c>
      <c r="T53" s="68"/>
      <c r="U53" s="73">
        <f t="shared" si="30"/>
        <v>0</v>
      </c>
      <c r="V53" s="73"/>
      <c r="W53" s="2">
        <f t="shared" si="13"/>
        <v>-92500</v>
      </c>
      <c r="Y53" s="81">
        <f t="shared" si="14"/>
        <v>0</v>
      </c>
      <c r="Z53" s="96">
        <v>0</v>
      </c>
      <c r="AA53" s="97">
        <f>U53-Z53</f>
        <v>0</v>
      </c>
      <c r="AB53" s="98" t="e">
        <f>AA53/Z53</f>
        <v>#DIV/0!</v>
      </c>
      <c r="AE53" s="2">
        <v>113000</v>
      </c>
      <c r="AF53" s="28">
        <f t="shared" si="32"/>
        <v>0</v>
      </c>
      <c r="AJ53" s="2">
        <f t="shared" si="16"/>
        <v>0</v>
      </c>
      <c r="AN53" s="29" t="e">
        <f t="shared" si="17"/>
        <v>#DIV/0!</v>
      </c>
      <c r="AP53" s="3" t="s">
        <v>158</v>
      </c>
      <c r="AR53" s="31">
        <f t="shared" si="18"/>
        <v>0</v>
      </c>
      <c r="AS53" s="31">
        <f t="shared" si="19"/>
        <v>0</v>
      </c>
      <c r="AT53" s="31">
        <f>IF(BX53&lt;&gt;"", AF53-BX53, 0)</f>
        <v>0</v>
      </c>
      <c r="AU53" s="31">
        <f t="shared" si="20"/>
        <v>0</v>
      </c>
      <c r="AV53" s="31">
        <f t="shared" si="21"/>
        <v>0</v>
      </c>
      <c r="AW53" s="31">
        <f t="shared" si="22"/>
        <v>0</v>
      </c>
      <c r="AX53" s="31">
        <f t="shared" si="23"/>
        <v>0</v>
      </c>
      <c r="AY53" s="31">
        <f t="shared" si="24"/>
        <v>0</v>
      </c>
      <c r="AZ53" s="31">
        <f t="shared" si="25"/>
        <v>0</v>
      </c>
      <c r="BA53" s="31">
        <f t="shared" si="26"/>
        <v>0</v>
      </c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41"/>
      <c r="BM53" s="41"/>
      <c r="BN53" s="41"/>
      <c r="BO53" s="37"/>
      <c r="BP53" s="38"/>
      <c r="BQ53" s="37"/>
      <c r="BR53" s="40"/>
      <c r="BS53" s="39"/>
      <c r="BT53" s="39"/>
      <c r="BU53" s="39"/>
      <c r="BV53" s="39"/>
      <c r="BW53" s="39"/>
      <c r="BX53" s="36"/>
      <c r="BY53" s="33"/>
      <c r="BZ53" s="33"/>
      <c r="CA53" s="33"/>
      <c r="CB53" s="34"/>
      <c r="CC53" s="33"/>
      <c r="CD53" s="35"/>
      <c r="CE53" s="48"/>
      <c r="CF53" s="48"/>
      <c r="CG53" s="48"/>
      <c r="CH53" s="48"/>
      <c r="CI53" s="48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35"/>
      <c r="CW53" s="35"/>
      <c r="CX53" s="35"/>
      <c r="CY53" s="35"/>
      <c r="CZ53" s="35"/>
      <c r="DA53" s="35"/>
      <c r="DB53" s="35"/>
      <c r="DC53" s="35"/>
      <c r="DD53" s="40"/>
      <c r="DE53" s="40"/>
      <c r="DF53" s="40"/>
      <c r="DG53" s="40"/>
      <c r="DH53" s="40"/>
      <c r="DI53" s="40"/>
      <c r="DJ53" s="40"/>
      <c r="DK53" s="40"/>
      <c r="DL53" s="35"/>
      <c r="DM53" s="35"/>
      <c r="DN53" s="35"/>
      <c r="DO53" s="35"/>
      <c r="DP53" s="35"/>
      <c r="DQ53" s="35"/>
      <c r="DR53" s="35"/>
      <c r="DS53" s="35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40"/>
      <c r="ES53" s="40"/>
      <c r="ET53" s="40"/>
      <c r="EU53" s="40"/>
      <c r="EV53" s="40"/>
      <c r="EW53" s="40"/>
      <c r="EX53" s="40"/>
      <c r="EY53" s="40"/>
      <c r="EZ53" s="35"/>
      <c r="FA53" s="35"/>
      <c r="FB53" s="35"/>
      <c r="FC53" s="35"/>
      <c r="FD53" s="35"/>
      <c r="FE53" s="35"/>
      <c r="FF53" s="35"/>
      <c r="FG53" s="35"/>
    </row>
    <row r="54" spans="1:163">
      <c r="A54" s="61">
        <v>4</v>
      </c>
      <c r="E54" s="63" t="s">
        <v>211</v>
      </c>
      <c r="F54" s="56" t="s">
        <v>115</v>
      </c>
      <c r="G54" s="69" t="s">
        <v>386</v>
      </c>
      <c r="H54" s="66" t="str">
        <f t="shared" si="8"/>
        <v xml:space="preserve"> 739</v>
      </c>
      <c r="I54" s="67" t="s">
        <v>386</v>
      </c>
      <c r="J54" s="68">
        <f t="shared" si="9"/>
        <v>0</v>
      </c>
      <c r="K54" s="63" t="s">
        <v>242</v>
      </c>
      <c r="L54" s="1" t="s">
        <v>46</v>
      </c>
      <c r="O54" s="64" t="s">
        <v>789</v>
      </c>
      <c r="P54" s="82">
        <v>0</v>
      </c>
      <c r="Q54" s="74">
        <f t="shared" si="34"/>
        <v>91000</v>
      </c>
      <c r="R54" s="76">
        <v>91000</v>
      </c>
      <c r="S54" s="72">
        <f t="shared" si="29"/>
        <v>8150</v>
      </c>
      <c r="T54" s="68" t="s">
        <v>791</v>
      </c>
      <c r="U54" s="73">
        <f t="shared" si="30"/>
        <v>82850</v>
      </c>
      <c r="V54" s="76">
        <f>2000+5100+600+200+250</f>
        <v>8150</v>
      </c>
      <c r="W54" s="2">
        <f t="shared" si="13"/>
        <v>91000</v>
      </c>
      <c r="Y54" s="80">
        <f t="shared" si="14"/>
        <v>91000</v>
      </c>
      <c r="Z54" s="93"/>
      <c r="AA54" s="93"/>
      <c r="AB54" s="94"/>
      <c r="AC54" s="2">
        <v>3000</v>
      </c>
      <c r="AD54" s="2">
        <f>Z54+AC54</f>
        <v>3000</v>
      </c>
      <c r="AF54" s="28">
        <f t="shared" si="32"/>
        <v>0</v>
      </c>
      <c r="AG54" s="55" t="s">
        <v>125</v>
      </c>
      <c r="AI54" s="20" t="s">
        <v>45</v>
      </c>
      <c r="AJ54" s="2">
        <f t="shared" si="16"/>
        <v>-91000</v>
      </c>
      <c r="AN54" s="29" t="e">
        <f t="shared" si="17"/>
        <v>#DIV/0!</v>
      </c>
      <c r="AO54" s="29" t="e">
        <f>AN54-AB54</f>
        <v>#DIV/0!</v>
      </c>
      <c r="AP54" s="3" t="s">
        <v>140</v>
      </c>
      <c r="AQ54" s="1" t="s">
        <v>149</v>
      </c>
      <c r="AR54" s="31">
        <f t="shared" si="18"/>
        <v>0</v>
      </c>
      <c r="AS54" s="31">
        <f t="shared" si="19"/>
        <v>-96525</v>
      </c>
      <c r="AT54" s="31">
        <f t="shared" ref="AT54:AT60" si="35">IF(BZ54&lt;&gt;"", AF54-BZ54, 0)</f>
        <v>0</v>
      </c>
      <c r="AU54" s="31">
        <f t="shared" si="20"/>
        <v>0</v>
      </c>
      <c r="AV54" s="31">
        <f t="shared" si="21"/>
        <v>0</v>
      </c>
      <c r="AW54" s="31">
        <f t="shared" si="22"/>
        <v>-97125</v>
      </c>
      <c r="AX54" s="31">
        <f t="shared" si="23"/>
        <v>0</v>
      </c>
      <c r="AY54" s="31">
        <f t="shared" si="24"/>
        <v>0</v>
      </c>
      <c r="AZ54" s="31">
        <f t="shared" si="25"/>
        <v>0</v>
      </c>
      <c r="BA54" s="31">
        <f t="shared" si="26"/>
        <v>0</v>
      </c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41"/>
      <c r="BM54" s="41"/>
      <c r="BN54" s="41"/>
      <c r="BO54" s="37"/>
      <c r="BP54" s="38"/>
      <c r="BQ54" s="37"/>
      <c r="BR54" s="40"/>
      <c r="BS54" s="39"/>
      <c r="BT54" s="39"/>
      <c r="BU54" s="39"/>
      <c r="BV54" s="39"/>
      <c r="BW54" s="39"/>
      <c r="BX54" s="36"/>
      <c r="BY54" s="33"/>
      <c r="BZ54" s="33"/>
      <c r="CA54" s="33"/>
      <c r="CB54" s="34"/>
      <c r="CC54" s="33"/>
      <c r="CD54" s="35"/>
      <c r="CE54" s="48"/>
      <c r="CF54" s="48"/>
      <c r="CG54" s="48"/>
      <c r="CH54" s="48"/>
      <c r="CI54" s="48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36">
        <v>96525</v>
      </c>
      <c r="CW54" s="36">
        <f>CV54-Y54</f>
        <v>5525</v>
      </c>
      <c r="CX54" s="46">
        <f>CW54/CV54</f>
        <v>5.7239057239057242E-2</v>
      </c>
      <c r="CY54" s="36">
        <f>AF54-CV54</f>
        <v>-96525</v>
      </c>
      <c r="CZ54" s="35" t="s">
        <v>29</v>
      </c>
      <c r="DA54" s="35"/>
      <c r="DB54" s="35"/>
      <c r="DC54" s="35"/>
      <c r="DD54" s="40"/>
      <c r="DE54" s="40"/>
      <c r="DF54" s="40"/>
      <c r="DG54" s="40"/>
      <c r="DH54" s="40"/>
      <c r="DI54" s="40"/>
      <c r="DJ54" s="40"/>
      <c r="DK54" s="40"/>
      <c r="DL54" s="36">
        <v>97125</v>
      </c>
      <c r="DM54" s="33">
        <f>DL54-Y54</f>
        <v>6125</v>
      </c>
      <c r="DN54" s="34">
        <f>DM54/DL54</f>
        <v>6.3063063063063057E-2</v>
      </c>
      <c r="DO54" s="33">
        <f>AF54-DL54</f>
        <v>-97125</v>
      </c>
      <c r="DP54" s="35" t="s">
        <v>135</v>
      </c>
      <c r="DQ54" s="35"/>
      <c r="DR54" s="35"/>
      <c r="DS54" s="35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40"/>
      <c r="ES54" s="40"/>
      <c r="ET54" s="40"/>
      <c r="EU54" s="40"/>
      <c r="EV54" s="40"/>
      <c r="EW54" s="40"/>
      <c r="EX54" s="40"/>
      <c r="EY54" s="40"/>
      <c r="EZ54" s="35"/>
      <c r="FA54" s="35"/>
      <c r="FB54" s="35"/>
      <c r="FC54" s="35"/>
      <c r="FD54" s="35"/>
      <c r="FE54" s="35"/>
      <c r="FF54" s="35"/>
      <c r="FG54" s="35"/>
    </row>
    <row r="55" spans="1:163">
      <c r="A55" s="61">
        <v>6</v>
      </c>
      <c r="E55" s="63" t="s">
        <v>211</v>
      </c>
      <c r="F55" s="56" t="s">
        <v>115</v>
      </c>
      <c r="G55" s="69" t="s">
        <v>388</v>
      </c>
      <c r="H55" s="66" t="str">
        <f t="shared" si="8"/>
        <v xml:space="preserve"> 433</v>
      </c>
      <c r="I55" s="67" t="s">
        <v>388</v>
      </c>
      <c r="J55" s="68">
        <f t="shared" si="9"/>
        <v>0</v>
      </c>
      <c r="K55" s="63" t="s">
        <v>242</v>
      </c>
      <c r="L55" s="1" t="s">
        <v>46</v>
      </c>
      <c r="O55" s="64" t="s">
        <v>789</v>
      </c>
      <c r="P55" s="82">
        <v>0</v>
      </c>
      <c r="Q55" s="74">
        <f t="shared" si="34"/>
        <v>91000</v>
      </c>
      <c r="R55" s="76">
        <v>91000</v>
      </c>
      <c r="S55" s="72">
        <f t="shared" si="29"/>
        <v>8150</v>
      </c>
      <c r="T55" s="68" t="s">
        <v>791</v>
      </c>
      <c r="U55" s="73">
        <f t="shared" si="30"/>
        <v>82850</v>
      </c>
      <c r="V55" s="76">
        <f>2000+5100+600+200+250</f>
        <v>8150</v>
      </c>
      <c r="W55" s="2">
        <f t="shared" si="13"/>
        <v>91000</v>
      </c>
      <c r="Y55" s="80">
        <f t="shared" si="14"/>
        <v>91000</v>
      </c>
      <c r="Z55" s="93"/>
      <c r="AA55" s="93"/>
      <c r="AB55" s="94"/>
      <c r="AC55" s="2">
        <v>3000</v>
      </c>
      <c r="AD55" s="2">
        <f>Z55+AC55</f>
        <v>3000</v>
      </c>
      <c r="AF55" s="28">
        <f t="shared" si="32"/>
        <v>0</v>
      </c>
      <c r="AG55" s="55" t="s">
        <v>125</v>
      </c>
      <c r="AI55" s="20" t="s">
        <v>45</v>
      </c>
      <c r="AJ55" s="2">
        <f t="shared" si="16"/>
        <v>-91000</v>
      </c>
      <c r="AN55" s="29" t="e">
        <f t="shared" si="17"/>
        <v>#DIV/0!</v>
      </c>
      <c r="AO55" s="29" t="e">
        <f>AN55-AB55</f>
        <v>#DIV/0!</v>
      </c>
      <c r="AP55" s="3" t="s">
        <v>29</v>
      </c>
      <c r="AQ55" s="1" t="s">
        <v>153</v>
      </c>
      <c r="AR55" s="31">
        <f t="shared" si="18"/>
        <v>0</v>
      </c>
      <c r="AS55" s="31">
        <f t="shared" si="19"/>
        <v>0</v>
      </c>
      <c r="AT55" s="31">
        <f t="shared" si="35"/>
        <v>0</v>
      </c>
      <c r="AU55" s="31">
        <f t="shared" si="20"/>
        <v>0</v>
      </c>
      <c r="AV55" s="31">
        <f t="shared" si="21"/>
        <v>0</v>
      </c>
      <c r="AW55" s="31">
        <f t="shared" si="22"/>
        <v>0</v>
      </c>
      <c r="AX55" s="31">
        <f t="shared" si="23"/>
        <v>0</v>
      </c>
      <c r="AY55" s="31">
        <f t="shared" si="24"/>
        <v>0</v>
      </c>
      <c r="AZ55" s="31">
        <f t="shared" si="25"/>
        <v>0</v>
      </c>
      <c r="BA55" s="31">
        <f t="shared" si="26"/>
        <v>0</v>
      </c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41"/>
      <c r="BM55" s="41"/>
      <c r="BN55" s="41"/>
      <c r="BO55" s="37"/>
      <c r="BP55" s="38"/>
      <c r="BQ55" s="37"/>
      <c r="BR55" s="40"/>
      <c r="BS55" s="39"/>
      <c r="BT55" s="39"/>
      <c r="BU55" s="39"/>
      <c r="BV55" s="39"/>
      <c r="BW55" s="39"/>
      <c r="BX55" s="36"/>
      <c r="BY55" s="33"/>
      <c r="BZ55" s="33"/>
      <c r="CA55" s="33"/>
      <c r="CB55" s="34"/>
      <c r="CC55" s="33"/>
      <c r="CD55" s="35"/>
      <c r="CE55" s="48"/>
      <c r="CF55" s="48"/>
      <c r="CG55" s="48"/>
      <c r="CH55" s="48"/>
      <c r="CI55" s="48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35"/>
      <c r="CW55" s="35"/>
      <c r="CX55" s="35"/>
      <c r="CY55" s="35"/>
      <c r="CZ55" s="35"/>
      <c r="DA55" s="35"/>
      <c r="DB55" s="35"/>
      <c r="DC55" s="35"/>
      <c r="DD55" s="40"/>
      <c r="DE55" s="40"/>
      <c r="DF55" s="40"/>
      <c r="DG55" s="40"/>
      <c r="DH55" s="40"/>
      <c r="DI55" s="40"/>
      <c r="DJ55" s="40"/>
      <c r="DK55" s="40"/>
      <c r="DL55" s="35"/>
      <c r="DM55" s="35"/>
      <c r="DN55" s="35"/>
      <c r="DO55" s="35"/>
      <c r="DP55" s="35"/>
      <c r="DQ55" s="35"/>
      <c r="DR55" s="35"/>
      <c r="DS55" s="35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40"/>
      <c r="ES55" s="40"/>
      <c r="ET55" s="40"/>
      <c r="EU55" s="40"/>
      <c r="EV55" s="40"/>
      <c r="EW55" s="40"/>
      <c r="EX55" s="40"/>
      <c r="EY55" s="40"/>
      <c r="EZ55" s="35"/>
      <c r="FA55" s="35"/>
      <c r="FB55" s="35"/>
      <c r="FC55" s="35"/>
      <c r="FD55" s="35"/>
      <c r="FE55" s="35"/>
      <c r="FF55" s="35"/>
      <c r="FG55" s="35"/>
    </row>
    <row r="56" spans="1:163">
      <c r="A56" s="61">
        <v>9</v>
      </c>
      <c r="E56" s="63" t="s">
        <v>210</v>
      </c>
      <c r="F56" s="56" t="s">
        <v>115</v>
      </c>
      <c r="G56" s="69" t="s">
        <v>391</v>
      </c>
      <c r="H56" s="66" t="str">
        <f t="shared" si="8"/>
        <v xml:space="preserve"> 704</v>
      </c>
      <c r="I56" s="67" t="s">
        <v>391</v>
      </c>
      <c r="J56" s="68">
        <f t="shared" si="9"/>
        <v>0</v>
      </c>
      <c r="K56" s="63" t="s">
        <v>242</v>
      </c>
      <c r="L56" s="1" t="s">
        <v>46</v>
      </c>
      <c r="O56" s="88" t="s">
        <v>790</v>
      </c>
      <c r="P56" s="89">
        <v>0</v>
      </c>
      <c r="Q56" s="90">
        <f t="shared" si="34"/>
        <v>91000</v>
      </c>
      <c r="R56" s="76">
        <v>91000</v>
      </c>
      <c r="S56" s="72">
        <f t="shared" si="29"/>
        <v>8150</v>
      </c>
      <c r="T56" s="68" t="s">
        <v>791</v>
      </c>
      <c r="U56" s="73">
        <f t="shared" si="30"/>
        <v>82850</v>
      </c>
      <c r="V56" s="76">
        <f>2000+5100+600+200+250</f>
        <v>8150</v>
      </c>
      <c r="W56" s="2">
        <f t="shared" si="13"/>
        <v>91000</v>
      </c>
      <c r="Y56" s="81">
        <f t="shared" si="14"/>
        <v>91000</v>
      </c>
      <c r="Z56" s="96">
        <v>0</v>
      </c>
      <c r="AA56" s="97">
        <f>U56-Z56</f>
        <v>82850</v>
      </c>
      <c r="AB56" s="98" t="e">
        <f>AA56/Z56</f>
        <v>#DIV/0!</v>
      </c>
      <c r="AE56" s="2">
        <v>97000</v>
      </c>
      <c r="AF56" s="28">
        <f t="shared" si="32"/>
        <v>0</v>
      </c>
      <c r="AG56" s="55" t="s">
        <v>125</v>
      </c>
      <c r="AI56" s="20" t="s">
        <v>45</v>
      </c>
      <c r="AJ56" s="2">
        <f t="shared" si="16"/>
        <v>-91000</v>
      </c>
      <c r="AN56" s="29" t="e">
        <f t="shared" si="17"/>
        <v>#DIV/0!</v>
      </c>
      <c r="AP56" s="3" t="s">
        <v>29</v>
      </c>
      <c r="AQ56" s="1" t="s">
        <v>153</v>
      </c>
      <c r="AR56" s="31">
        <f t="shared" si="18"/>
        <v>0</v>
      </c>
      <c r="AS56" s="31">
        <f t="shared" si="19"/>
        <v>0</v>
      </c>
      <c r="AT56" s="31">
        <f t="shared" si="35"/>
        <v>0</v>
      </c>
      <c r="AU56" s="31">
        <f t="shared" si="20"/>
        <v>0</v>
      </c>
      <c r="AV56" s="31">
        <f t="shared" si="21"/>
        <v>0</v>
      </c>
      <c r="AW56" s="31">
        <f t="shared" si="22"/>
        <v>0</v>
      </c>
      <c r="AX56" s="31">
        <f t="shared" si="23"/>
        <v>0</v>
      </c>
      <c r="AY56" s="31">
        <f t="shared" si="24"/>
        <v>0</v>
      </c>
      <c r="AZ56" s="31">
        <f t="shared" si="25"/>
        <v>0</v>
      </c>
      <c r="BA56" s="31">
        <f t="shared" si="26"/>
        <v>0</v>
      </c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41"/>
      <c r="BM56" s="41"/>
      <c r="BN56" s="41"/>
      <c r="BO56" s="37"/>
      <c r="BP56" s="38"/>
      <c r="BQ56" s="37"/>
      <c r="BR56" s="40"/>
      <c r="BS56" s="39"/>
      <c r="BT56" s="39"/>
      <c r="BU56" s="39"/>
      <c r="BV56" s="39"/>
      <c r="BW56" s="39"/>
      <c r="BX56" s="36"/>
      <c r="BY56" s="33"/>
      <c r="BZ56" s="33"/>
      <c r="CA56" s="33"/>
      <c r="CB56" s="34"/>
      <c r="CC56" s="33"/>
      <c r="CD56" s="35"/>
      <c r="CE56" s="48"/>
      <c r="CF56" s="48"/>
      <c r="CG56" s="48"/>
      <c r="CH56" s="48"/>
      <c r="CI56" s="48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35"/>
      <c r="CW56" s="35"/>
      <c r="CX56" s="35"/>
      <c r="CY56" s="35"/>
      <c r="CZ56" s="35"/>
      <c r="DA56" s="35"/>
      <c r="DB56" s="35"/>
      <c r="DC56" s="35"/>
      <c r="DD56" s="40"/>
      <c r="DE56" s="40"/>
      <c r="DF56" s="40"/>
      <c r="DG56" s="40"/>
      <c r="DH56" s="40"/>
      <c r="DI56" s="40"/>
      <c r="DJ56" s="40"/>
      <c r="DK56" s="40"/>
      <c r="DL56" s="35"/>
      <c r="DM56" s="35"/>
      <c r="DN56" s="35"/>
      <c r="DO56" s="35"/>
      <c r="DP56" s="35"/>
      <c r="DQ56" s="35"/>
      <c r="DR56" s="35"/>
      <c r="DS56" s="35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40"/>
      <c r="ES56" s="40"/>
      <c r="ET56" s="40"/>
      <c r="EU56" s="40"/>
      <c r="EV56" s="40"/>
      <c r="EW56" s="40"/>
      <c r="EX56" s="40"/>
      <c r="EY56" s="40"/>
      <c r="EZ56" s="35"/>
      <c r="FA56" s="35"/>
      <c r="FB56" s="35"/>
      <c r="FC56" s="35"/>
      <c r="FD56" s="35"/>
      <c r="FE56" s="35"/>
      <c r="FF56" s="35"/>
      <c r="FG56" s="35"/>
    </row>
    <row r="57" spans="1:163">
      <c r="A57" s="60">
        <v>103</v>
      </c>
      <c r="E57" s="63" t="s">
        <v>56</v>
      </c>
      <c r="F57" s="56" t="s">
        <v>58</v>
      </c>
      <c r="G57" s="70" t="s">
        <v>482</v>
      </c>
      <c r="H57" s="66" t="str">
        <f t="shared" si="8"/>
        <v xml:space="preserve"> 294</v>
      </c>
      <c r="I57" s="67" t="s">
        <v>482</v>
      </c>
      <c r="J57" s="68">
        <f t="shared" si="9"/>
        <v>0</v>
      </c>
      <c r="K57" s="63" t="s">
        <v>278</v>
      </c>
      <c r="L57" s="1" t="s">
        <v>46</v>
      </c>
      <c r="O57" s="88" t="s">
        <v>790</v>
      </c>
      <c r="P57" s="89">
        <v>61000</v>
      </c>
      <c r="Q57" s="90">
        <f t="shared" si="34"/>
        <v>0</v>
      </c>
      <c r="R57" s="71"/>
      <c r="S57" s="72">
        <f t="shared" si="29"/>
        <v>0</v>
      </c>
      <c r="T57" s="68"/>
      <c r="U57" s="73">
        <f t="shared" si="30"/>
        <v>0</v>
      </c>
      <c r="V57" s="73"/>
      <c r="W57" s="2">
        <f t="shared" si="13"/>
        <v>-61000</v>
      </c>
      <c r="Y57" s="81">
        <f t="shared" si="14"/>
        <v>0</v>
      </c>
      <c r="Z57" s="96">
        <v>0</v>
      </c>
      <c r="AA57" s="97">
        <f>U57-Z57</f>
        <v>0</v>
      </c>
      <c r="AB57" s="98" t="e">
        <f>AA57/Z57</f>
        <v>#DIV/0!</v>
      </c>
      <c r="AE57" s="2">
        <v>93000</v>
      </c>
      <c r="AF57" s="28">
        <f t="shared" si="32"/>
        <v>0</v>
      </c>
      <c r="AG57" s="55" t="s">
        <v>125</v>
      </c>
      <c r="AI57" s="20" t="s">
        <v>45</v>
      </c>
      <c r="AJ57" s="2">
        <f t="shared" si="16"/>
        <v>0</v>
      </c>
      <c r="AN57" s="29" t="e">
        <f t="shared" si="17"/>
        <v>#DIV/0!</v>
      </c>
      <c r="AP57" s="3" t="s">
        <v>29</v>
      </c>
      <c r="AQ57" s="1" t="s">
        <v>143</v>
      </c>
      <c r="AR57" s="31">
        <f t="shared" si="18"/>
        <v>0</v>
      </c>
      <c r="AS57" s="31">
        <f t="shared" si="19"/>
        <v>0</v>
      </c>
      <c r="AT57" s="31">
        <f t="shared" si="35"/>
        <v>0</v>
      </c>
      <c r="AU57" s="31">
        <f t="shared" si="20"/>
        <v>0</v>
      </c>
      <c r="AV57" s="31">
        <f t="shared" si="21"/>
        <v>0</v>
      </c>
      <c r="AW57" s="31">
        <f t="shared" si="22"/>
        <v>0</v>
      </c>
      <c r="AX57" s="31">
        <f t="shared" si="23"/>
        <v>0</v>
      </c>
      <c r="AY57" s="31">
        <f t="shared" si="24"/>
        <v>0</v>
      </c>
      <c r="AZ57" s="31">
        <f t="shared" si="25"/>
        <v>0</v>
      </c>
      <c r="BA57" s="31">
        <f t="shared" si="26"/>
        <v>0</v>
      </c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41"/>
      <c r="BM57" s="41"/>
      <c r="BN57" s="41"/>
      <c r="BO57" s="37"/>
      <c r="BP57" s="38"/>
      <c r="BQ57" s="37"/>
      <c r="BR57" s="40"/>
      <c r="BS57" s="39"/>
      <c r="BT57" s="39"/>
      <c r="BU57" s="39"/>
      <c r="BV57" s="39"/>
      <c r="BW57" s="39"/>
      <c r="BX57" s="36"/>
      <c r="BY57" s="33"/>
      <c r="BZ57" s="33"/>
      <c r="CA57" s="33"/>
      <c r="CB57" s="34"/>
      <c r="CC57" s="33"/>
      <c r="CD57" s="35"/>
      <c r="CE57" s="48"/>
      <c r="CF57" s="48"/>
      <c r="CG57" s="48"/>
      <c r="CH57" s="48"/>
      <c r="CI57" s="48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35"/>
      <c r="CW57" s="35"/>
      <c r="CX57" s="35"/>
      <c r="CY57" s="35"/>
      <c r="CZ57" s="35"/>
      <c r="DA57" s="35"/>
      <c r="DB57" s="35"/>
      <c r="DC57" s="35"/>
      <c r="DD57" s="40"/>
      <c r="DE57" s="40"/>
      <c r="DF57" s="40"/>
      <c r="DG57" s="40"/>
      <c r="DH57" s="40"/>
      <c r="DI57" s="40"/>
      <c r="DJ57" s="40"/>
      <c r="DK57" s="40"/>
      <c r="DL57" s="35"/>
      <c r="DM57" s="35"/>
      <c r="DN57" s="35"/>
      <c r="DO57" s="35"/>
      <c r="DP57" s="35"/>
      <c r="DQ57" s="35"/>
      <c r="DR57" s="35"/>
      <c r="DS57" s="35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40"/>
      <c r="ES57" s="40"/>
      <c r="ET57" s="40"/>
      <c r="EU57" s="40"/>
      <c r="EV57" s="40"/>
      <c r="EW57" s="40"/>
      <c r="EX57" s="40"/>
      <c r="EY57" s="40"/>
      <c r="EZ57" s="35"/>
      <c r="FA57" s="35"/>
      <c r="FB57" s="35"/>
      <c r="FC57" s="35"/>
      <c r="FD57" s="35"/>
      <c r="FE57" s="35"/>
      <c r="FF57" s="35"/>
      <c r="FG57" s="35"/>
    </row>
    <row r="58" spans="1:163">
      <c r="A58" s="62">
        <v>96</v>
      </c>
      <c r="E58" s="63" t="s">
        <v>113</v>
      </c>
      <c r="F58" s="56" t="s">
        <v>56</v>
      </c>
      <c r="G58" s="70" t="s">
        <v>477</v>
      </c>
      <c r="H58" s="66" t="str">
        <f t="shared" si="8"/>
        <v xml:space="preserve"> 601</v>
      </c>
      <c r="I58" s="67" t="s">
        <v>477</v>
      </c>
      <c r="J58" s="68">
        <f t="shared" si="9"/>
        <v>0</v>
      </c>
      <c r="K58" s="63" t="s">
        <v>278</v>
      </c>
      <c r="L58" s="1" t="s">
        <v>46</v>
      </c>
      <c r="O58" s="88" t="s">
        <v>790</v>
      </c>
      <c r="P58" s="89">
        <v>61000</v>
      </c>
      <c r="Q58" s="90">
        <f t="shared" si="34"/>
        <v>0</v>
      </c>
      <c r="R58" s="71"/>
      <c r="S58" s="72">
        <f t="shared" si="29"/>
        <v>0</v>
      </c>
      <c r="T58" s="68"/>
      <c r="U58" s="73">
        <f t="shared" si="30"/>
        <v>0</v>
      </c>
      <c r="V58" s="75"/>
      <c r="W58" s="2">
        <f t="shared" si="13"/>
        <v>-61000</v>
      </c>
      <c r="Y58" s="81">
        <f t="shared" si="14"/>
        <v>0</v>
      </c>
      <c r="Z58" s="96">
        <v>0</v>
      </c>
      <c r="AA58" s="97">
        <f>U58-Z58</f>
        <v>0</v>
      </c>
      <c r="AB58" s="98" t="e">
        <f>AA58/Z58</f>
        <v>#DIV/0!</v>
      </c>
      <c r="AC58" s="2">
        <v>3000</v>
      </c>
      <c r="AD58" s="2">
        <f>Z58+AC58</f>
        <v>3000</v>
      </c>
      <c r="AF58" s="28">
        <f t="shared" si="32"/>
        <v>3000</v>
      </c>
      <c r="AG58" s="55" t="s">
        <v>125</v>
      </c>
      <c r="AI58" s="20" t="s">
        <v>204</v>
      </c>
      <c r="AJ58" s="2">
        <f t="shared" si="16"/>
        <v>3000</v>
      </c>
      <c r="AN58" s="29">
        <f t="shared" si="17"/>
        <v>1</v>
      </c>
      <c r="AO58" s="29" t="e">
        <f>AN58-AB58</f>
        <v>#DIV/0!</v>
      </c>
      <c r="AP58" s="3" t="s">
        <v>29</v>
      </c>
      <c r="AQ58" s="1" t="s">
        <v>145</v>
      </c>
      <c r="AR58" s="31">
        <f t="shared" si="18"/>
        <v>0</v>
      </c>
      <c r="AS58" s="31">
        <f t="shared" si="19"/>
        <v>0</v>
      </c>
      <c r="AT58" s="31">
        <f t="shared" si="35"/>
        <v>0</v>
      </c>
      <c r="AU58" s="31">
        <f t="shared" si="20"/>
        <v>0</v>
      </c>
      <c r="AV58" s="31">
        <f t="shared" si="21"/>
        <v>0</v>
      </c>
      <c r="AW58" s="31">
        <f t="shared" si="22"/>
        <v>0</v>
      </c>
      <c r="AX58" s="31">
        <f t="shared" si="23"/>
        <v>0</v>
      </c>
      <c r="AY58" s="31">
        <f t="shared" si="24"/>
        <v>0</v>
      </c>
      <c r="AZ58" s="31">
        <f t="shared" si="25"/>
        <v>0</v>
      </c>
      <c r="BA58" s="31">
        <f t="shared" si="26"/>
        <v>0</v>
      </c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41"/>
      <c r="BM58" s="41"/>
      <c r="BN58" s="41"/>
      <c r="BO58" s="37"/>
      <c r="BP58" s="38"/>
      <c r="BQ58" s="37"/>
      <c r="BR58" s="40"/>
      <c r="BS58" s="39"/>
      <c r="BT58" s="39"/>
      <c r="BU58" s="39"/>
      <c r="BV58" s="39"/>
      <c r="BW58" s="39"/>
      <c r="BX58" s="36"/>
      <c r="BY58" s="33"/>
      <c r="BZ58" s="33"/>
      <c r="CA58" s="33"/>
      <c r="CB58" s="34"/>
      <c r="CC58" s="33"/>
      <c r="CD58" s="35"/>
      <c r="CE58" s="48"/>
      <c r="CF58" s="48"/>
      <c r="CG58" s="48"/>
      <c r="CH58" s="48"/>
      <c r="CI58" s="48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35"/>
      <c r="CW58" s="35"/>
      <c r="CX58" s="35"/>
      <c r="CY58" s="35"/>
      <c r="CZ58" s="35"/>
      <c r="DA58" s="35"/>
      <c r="DB58" s="35"/>
      <c r="DC58" s="35"/>
      <c r="DD58" s="40"/>
      <c r="DE58" s="40"/>
      <c r="DF58" s="40"/>
      <c r="DG58" s="40"/>
      <c r="DH58" s="40"/>
      <c r="DI58" s="40"/>
      <c r="DJ58" s="40"/>
      <c r="DK58" s="40"/>
      <c r="DL58" s="35"/>
      <c r="DM58" s="35"/>
      <c r="DN58" s="35"/>
      <c r="DO58" s="35"/>
      <c r="DP58" s="35"/>
      <c r="DQ58" s="35"/>
      <c r="DR58" s="35"/>
      <c r="DS58" s="35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40"/>
      <c r="ES58" s="40"/>
      <c r="ET58" s="40"/>
      <c r="EU58" s="40"/>
      <c r="EV58" s="40"/>
      <c r="EW58" s="40"/>
      <c r="EX58" s="40"/>
      <c r="EY58" s="40"/>
      <c r="EZ58" s="35"/>
      <c r="FA58" s="35"/>
      <c r="FB58" s="35"/>
      <c r="FC58" s="35"/>
      <c r="FD58" s="35"/>
      <c r="FE58" s="35"/>
      <c r="FF58" s="35"/>
      <c r="FG58" s="35"/>
    </row>
    <row r="59" spans="1:163">
      <c r="A59" s="62">
        <v>374</v>
      </c>
      <c r="E59" s="63" t="s">
        <v>225</v>
      </c>
      <c r="F59" s="56" t="s">
        <v>80</v>
      </c>
      <c r="G59" s="65" t="s">
        <v>743</v>
      </c>
      <c r="H59" s="66" t="str">
        <f t="shared" si="8"/>
        <v xml:space="preserve"> 238</v>
      </c>
      <c r="I59" s="67" t="s">
        <v>743</v>
      </c>
      <c r="J59" s="68">
        <f t="shared" si="9"/>
        <v>0</v>
      </c>
      <c r="K59" s="63" t="s">
        <v>363</v>
      </c>
      <c r="L59" s="1" t="s">
        <v>46</v>
      </c>
      <c r="O59" s="64" t="s">
        <v>789</v>
      </c>
      <c r="P59" s="82">
        <v>0</v>
      </c>
      <c r="Q59" s="74">
        <f t="shared" si="34"/>
        <v>55000</v>
      </c>
      <c r="R59" s="71">
        <v>55000</v>
      </c>
      <c r="S59" s="72">
        <f t="shared" si="29"/>
        <v>9050</v>
      </c>
      <c r="T59" s="68" t="s">
        <v>791</v>
      </c>
      <c r="U59" s="73">
        <f t="shared" si="30"/>
        <v>45950</v>
      </c>
      <c r="V59" s="73">
        <f>2000+5500+600+200+250+500</f>
        <v>9050</v>
      </c>
      <c r="W59" s="2">
        <f t="shared" si="13"/>
        <v>55000</v>
      </c>
      <c r="Y59" s="80">
        <f t="shared" si="14"/>
        <v>55000</v>
      </c>
      <c r="Z59" s="93"/>
      <c r="AA59" s="93"/>
      <c r="AB59" s="94"/>
      <c r="AE59" s="2">
        <v>76000</v>
      </c>
      <c r="AF59" s="28">
        <f t="shared" si="32"/>
        <v>76000</v>
      </c>
      <c r="AG59" s="55" t="s">
        <v>125</v>
      </c>
      <c r="AI59" s="20" t="s">
        <v>204</v>
      </c>
      <c r="AJ59" s="2">
        <f t="shared" si="16"/>
        <v>21000</v>
      </c>
      <c r="AN59" s="29">
        <f t="shared" si="17"/>
        <v>0.27631578947368424</v>
      </c>
      <c r="AP59" s="3" t="s">
        <v>140</v>
      </c>
      <c r="AQ59" s="1" t="s">
        <v>200</v>
      </c>
      <c r="AR59" s="31">
        <f t="shared" si="18"/>
        <v>0</v>
      </c>
      <c r="AS59" s="31">
        <f t="shared" si="19"/>
        <v>940</v>
      </c>
      <c r="AT59" s="31">
        <f t="shared" si="35"/>
        <v>0</v>
      </c>
      <c r="AU59" s="31">
        <f t="shared" si="20"/>
        <v>1480</v>
      </c>
      <c r="AV59" s="31">
        <f t="shared" si="21"/>
        <v>4650</v>
      </c>
      <c r="AW59" s="31">
        <f t="shared" si="22"/>
        <v>10145</v>
      </c>
      <c r="AX59" s="31">
        <f t="shared" si="23"/>
        <v>9205</v>
      </c>
      <c r="AY59" s="31">
        <f t="shared" si="24"/>
        <v>10305</v>
      </c>
      <c r="AZ59" s="31">
        <f t="shared" si="25"/>
        <v>-9000</v>
      </c>
      <c r="BA59" s="31">
        <f t="shared" si="26"/>
        <v>0</v>
      </c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41">
        <v>68850</v>
      </c>
      <c r="CK59" s="41">
        <v>2500</v>
      </c>
      <c r="CL59" s="37">
        <f>CJ59+CK59</f>
        <v>71350</v>
      </c>
      <c r="CM59" s="37">
        <f>CL59-Y59</f>
        <v>16350</v>
      </c>
      <c r="CN59" s="38">
        <f>CM59/CJ59</f>
        <v>0.23747276688453159</v>
      </c>
      <c r="CO59" s="37">
        <f>AF59-CL59</f>
        <v>4650</v>
      </c>
      <c r="CP59" s="40" t="s">
        <v>29</v>
      </c>
      <c r="CQ59" s="39"/>
      <c r="CR59" s="39"/>
      <c r="CS59" s="39"/>
      <c r="CT59" s="39"/>
      <c r="CU59" s="39"/>
      <c r="CV59" s="36">
        <v>75060</v>
      </c>
      <c r="CW59" s="36">
        <f>CV59-Y59</f>
        <v>20060</v>
      </c>
      <c r="CX59" s="46">
        <f>CW59/CV59</f>
        <v>0.26725286437516654</v>
      </c>
      <c r="CY59" s="36">
        <f>AF59-CV59</f>
        <v>940</v>
      </c>
      <c r="CZ59" s="35" t="s">
        <v>29</v>
      </c>
      <c r="DA59" s="36"/>
      <c r="DB59" s="36"/>
      <c r="DC59" s="36"/>
      <c r="DD59" s="37">
        <v>74520</v>
      </c>
      <c r="DE59" s="37">
        <f>DD59-Y59</f>
        <v>19520</v>
      </c>
      <c r="DF59" s="38">
        <f>DE59/DD59</f>
        <v>0.26194310252281267</v>
      </c>
      <c r="DG59" s="37">
        <f>AF59-DD59</f>
        <v>1480</v>
      </c>
      <c r="DH59" s="42" t="s">
        <v>29</v>
      </c>
      <c r="DI59" s="39"/>
      <c r="DJ59" s="39"/>
      <c r="DK59" s="39"/>
      <c r="DL59" s="33">
        <v>65855</v>
      </c>
      <c r="DM59" s="33">
        <f>DL59-Y59</f>
        <v>10855</v>
      </c>
      <c r="DN59" s="34">
        <f>DM59/DL59</f>
        <v>0.16483182749981018</v>
      </c>
      <c r="DO59" s="33">
        <f>AF59-DL59</f>
        <v>10145</v>
      </c>
      <c r="DP59" s="43" t="s">
        <v>29</v>
      </c>
      <c r="DQ59" s="43"/>
      <c r="DR59" s="43"/>
      <c r="DS59" s="43"/>
      <c r="DT59" s="41">
        <v>64295</v>
      </c>
      <c r="DU59" s="37">
        <v>2500</v>
      </c>
      <c r="DV59" s="41">
        <f>DT59+DU59</f>
        <v>66795</v>
      </c>
      <c r="DW59" s="37">
        <f>DV59-Y59</f>
        <v>11795</v>
      </c>
      <c r="DX59" s="38">
        <f>DW59/DV59</f>
        <v>0.17658507373306384</v>
      </c>
      <c r="DY59" s="37">
        <f>AF59-DV59</f>
        <v>9205</v>
      </c>
      <c r="DZ59" s="40" t="s">
        <v>29</v>
      </c>
      <c r="EA59" s="40"/>
      <c r="EB59" s="40"/>
      <c r="EC59" s="40"/>
      <c r="ED59" s="40"/>
      <c r="EE59" s="40"/>
      <c r="EF59" s="33">
        <v>63195</v>
      </c>
      <c r="EG59" s="33">
        <v>2500</v>
      </c>
      <c r="EH59" s="33">
        <f>EF59+EG59</f>
        <v>65695</v>
      </c>
      <c r="EI59" s="33">
        <f>EH59-Y59</f>
        <v>10695</v>
      </c>
      <c r="EJ59" s="44">
        <f>EI59/EH59</f>
        <v>0.16279777760864603</v>
      </c>
      <c r="EK59" s="45">
        <f>AF59-EH59</f>
        <v>10305</v>
      </c>
      <c r="EL59" s="43" t="s">
        <v>29</v>
      </c>
      <c r="EM59" s="43"/>
      <c r="EN59" s="43"/>
      <c r="EO59" s="43"/>
      <c r="EP59" s="43"/>
      <c r="EQ59" s="43"/>
      <c r="ER59" s="41">
        <v>85000</v>
      </c>
      <c r="ES59" s="37">
        <f>ER59-Y59</f>
        <v>30000</v>
      </c>
      <c r="ET59" s="38">
        <f>ES59/ER59</f>
        <v>0.35294117647058826</v>
      </c>
      <c r="EU59" s="37">
        <f>AF59-ER59</f>
        <v>-9000</v>
      </c>
      <c r="EV59" s="40" t="s">
        <v>29</v>
      </c>
      <c r="EW59" s="40"/>
      <c r="EX59" s="40"/>
      <c r="EY59" s="40"/>
      <c r="EZ59" s="35"/>
      <c r="FA59" s="35"/>
      <c r="FB59" s="35"/>
      <c r="FC59" s="35"/>
      <c r="FD59" s="35"/>
      <c r="FE59" s="35"/>
      <c r="FF59" s="35"/>
      <c r="FG59" s="35"/>
    </row>
    <row r="60" spans="1:163">
      <c r="A60" s="62">
        <v>376</v>
      </c>
      <c r="E60" s="63" t="s">
        <v>224</v>
      </c>
      <c r="F60" s="56" t="s">
        <v>80</v>
      </c>
      <c r="G60" s="65" t="s">
        <v>745</v>
      </c>
      <c r="H60" s="66" t="str">
        <f t="shared" si="8"/>
        <v xml:space="preserve"> 862</v>
      </c>
      <c r="I60" s="67" t="s">
        <v>745</v>
      </c>
      <c r="J60" s="68">
        <f t="shared" si="9"/>
        <v>0</v>
      </c>
      <c r="K60" s="63" t="s">
        <v>363</v>
      </c>
      <c r="L60" s="1" t="s">
        <v>46</v>
      </c>
      <c r="O60" s="64" t="s">
        <v>789</v>
      </c>
      <c r="P60" s="82">
        <v>0</v>
      </c>
      <c r="Q60" s="74">
        <f t="shared" si="34"/>
        <v>53500</v>
      </c>
      <c r="R60" s="71">
        <v>53500</v>
      </c>
      <c r="S60" s="72">
        <f t="shared" si="29"/>
        <v>9050</v>
      </c>
      <c r="T60" s="68" t="s">
        <v>791</v>
      </c>
      <c r="U60" s="73">
        <f t="shared" si="30"/>
        <v>44450</v>
      </c>
      <c r="V60" s="73">
        <f>2000+5500+600+200+250+500</f>
        <v>9050</v>
      </c>
      <c r="W60" s="2">
        <f t="shared" si="13"/>
        <v>53500</v>
      </c>
      <c r="Y60" s="80">
        <f t="shared" si="14"/>
        <v>53500</v>
      </c>
      <c r="Z60" s="93"/>
      <c r="AA60" s="93"/>
      <c r="AB60" s="94"/>
      <c r="AC60" s="2">
        <v>3000</v>
      </c>
      <c r="AD60" s="2">
        <f>Z60+AC60</f>
        <v>3000</v>
      </c>
      <c r="AF60" s="28">
        <f t="shared" si="32"/>
        <v>0</v>
      </c>
      <c r="AG60" s="55" t="s">
        <v>125</v>
      </c>
      <c r="AI60" s="20" t="s">
        <v>204</v>
      </c>
      <c r="AJ60" s="2">
        <f t="shared" si="16"/>
        <v>-53500</v>
      </c>
      <c r="AN60" s="29" t="e">
        <f t="shared" si="17"/>
        <v>#DIV/0!</v>
      </c>
      <c r="AO60" s="29" t="e">
        <f>AN60-AB60</f>
        <v>#DIV/0!</v>
      </c>
      <c r="AP60" s="3" t="s">
        <v>140</v>
      </c>
      <c r="AQ60" s="1" t="s">
        <v>200</v>
      </c>
      <c r="AR60" s="31">
        <f t="shared" si="18"/>
        <v>0</v>
      </c>
      <c r="AS60" s="31">
        <f t="shared" si="19"/>
        <v>-75060</v>
      </c>
      <c r="AT60" s="31">
        <f t="shared" si="35"/>
        <v>0</v>
      </c>
      <c r="AU60" s="31">
        <f t="shared" si="20"/>
        <v>-74520</v>
      </c>
      <c r="AV60" s="31">
        <f t="shared" si="21"/>
        <v>-71350</v>
      </c>
      <c r="AW60" s="31">
        <f t="shared" si="22"/>
        <v>-65855</v>
      </c>
      <c r="AX60" s="31">
        <f t="shared" si="23"/>
        <v>-66795</v>
      </c>
      <c r="AY60" s="31">
        <f t="shared" si="24"/>
        <v>-65695</v>
      </c>
      <c r="AZ60" s="31">
        <f t="shared" si="25"/>
        <v>-85000</v>
      </c>
      <c r="BA60" s="31">
        <f t="shared" si="26"/>
        <v>0</v>
      </c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41">
        <v>68850</v>
      </c>
      <c r="CK60" s="41">
        <v>2500</v>
      </c>
      <c r="CL60" s="37">
        <f>CJ60+CK60</f>
        <v>71350</v>
      </c>
      <c r="CM60" s="37">
        <f>CL60-Y60</f>
        <v>17850</v>
      </c>
      <c r="CN60" s="38">
        <f>CM60/CJ60</f>
        <v>0.25925925925925924</v>
      </c>
      <c r="CO60" s="37">
        <f>AF60-CL60</f>
        <v>-71350</v>
      </c>
      <c r="CP60" s="40" t="s">
        <v>29</v>
      </c>
      <c r="CQ60" s="39"/>
      <c r="CR60" s="39"/>
      <c r="CS60" s="39"/>
      <c r="CT60" s="39"/>
      <c r="CU60" s="39"/>
      <c r="CV60" s="36">
        <v>75060</v>
      </c>
      <c r="CW60" s="36">
        <f>CV60-Y60</f>
        <v>21560</v>
      </c>
      <c r="CX60" s="46">
        <f>CW60/CV60</f>
        <v>0.28723687716493473</v>
      </c>
      <c r="CY60" s="36">
        <f>AF60-CV60</f>
        <v>-75060</v>
      </c>
      <c r="CZ60" s="35" t="s">
        <v>29</v>
      </c>
      <c r="DA60" s="36"/>
      <c r="DB60" s="36"/>
      <c r="DC60" s="36"/>
      <c r="DD60" s="37">
        <v>74520</v>
      </c>
      <c r="DE60" s="37">
        <f>DD60-Y60</f>
        <v>21020</v>
      </c>
      <c r="DF60" s="38">
        <f>DE60/DD60</f>
        <v>0.28207192699946321</v>
      </c>
      <c r="DG60" s="37">
        <f>AF60-DD60</f>
        <v>-74520</v>
      </c>
      <c r="DH60" s="42" t="s">
        <v>29</v>
      </c>
      <c r="DI60" s="39"/>
      <c r="DJ60" s="39"/>
      <c r="DK60" s="39"/>
      <c r="DL60" s="33">
        <v>65855</v>
      </c>
      <c r="DM60" s="33">
        <f>DL60-Y60</f>
        <v>12355</v>
      </c>
      <c r="DN60" s="34">
        <f>DM60/DL60</f>
        <v>0.1876091412952699</v>
      </c>
      <c r="DO60" s="33">
        <f>AF60-DL60</f>
        <v>-65855</v>
      </c>
      <c r="DP60" s="43" t="s">
        <v>29</v>
      </c>
      <c r="DQ60" s="43"/>
      <c r="DR60" s="43"/>
      <c r="DS60" s="43"/>
      <c r="DT60" s="41">
        <v>64295</v>
      </c>
      <c r="DU60" s="37">
        <v>2500</v>
      </c>
      <c r="DV60" s="41">
        <f>DT60+DU60</f>
        <v>66795</v>
      </c>
      <c r="DW60" s="37">
        <f>DV60-Y60</f>
        <v>13295</v>
      </c>
      <c r="DX60" s="38">
        <f>DW60/DV60</f>
        <v>0.19904184444943485</v>
      </c>
      <c r="DY60" s="37">
        <f>AF60-DV60</f>
        <v>-66795</v>
      </c>
      <c r="DZ60" s="40" t="s">
        <v>29</v>
      </c>
      <c r="EA60" s="40"/>
      <c r="EB60" s="40"/>
      <c r="EC60" s="40"/>
      <c r="ED60" s="40"/>
      <c r="EE60" s="40"/>
      <c r="EF60" s="33">
        <v>63195</v>
      </c>
      <c r="EG60" s="33">
        <v>2500</v>
      </c>
      <c r="EH60" s="33">
        <f>EF60+EG60</f>
        <v>65695</v>
      </c>
      <c r="EI60" s="33">
        <f>EH60-Y60</f>
        <v>12195</v>
      </c>
      <c r="EJ60" s="44">
        <f>EI60/EH60</f>
        <v>0.18563056549204657</v>
      </c>
      <c r="EK60" s="45">
        <f>AF60-EH60</f>
        <v>-65695</v>
      </c>
      <c r="EL60" s="43" t="s">
        <v>29</v>
      </c>
      <c r="EM60" s="43"/>
      <c r="EN60" s="43"/>
      <c r="EO60" s="43"/>
      <c r="EP60" s="43"/>
      <c r="EQ60" s="43"/>
      <c r="ER60" s="41">
        <v>85000</v>
      </c>
      <c r="ES60" s="37">
        <f>ER60-Y60</f>
        <v>31500</v>
      </c>
      <c r="ET60" s="38">
        <f>ES60/ER60</f>
        <v>0.37058823529411766</v>
      </c>
      <c r="EU60" s="37">
        <f>AF60-ER60</f>
        <v>-85000</v>
      </c>
      <c r="EV60" s="40" t="s">
        <v>29</v>
      </c>
      <c r="EW60" s="40"/>
      <c r="EX60" s="40"/>
      <c r="EY60" s="40"/>
      <c r="EZ60" s="35"/>
      <c r="FA60" s="35"/>
      <c r="FB60" s="35"/>
      <c r="FC60" s="35"/>
      <c r="FD60" s="35"/>
      <c r="FE60" s="35"/>
      <c r="FF60" s="35"/>
      <c r="FG60" s="35"/>
    </row>
    <row r="61" spans="1:163">
      <c r="A61" s="62">
        <v>339</v>
      </c>
      <c r="E61" s="63" t="s">
        <v>225</v>
      </c>
      <c r="F61" s="56" t="s">
        <v>78</v>
      </c>
      <c r="G61" s="65" t="s">
        <v>710</v>
      </c>
      <c r="H61" s="66" t="str">
        <f t="shared" si="8"/>
        <v xml:space="preserve"> 219</v>
      </c>
      <c r="I61" s="67" t="s">
        <v>710</v>
      </c>
      <c r="J61" s="68">
        <f t="shared" si="9"/>
        <v>0</v>
      </c>
      <c r="K61" s="63" t="s">
        <v>363</v>
      </c>
      <c r="L61" s="1" t="s">
        <v>46</v>
      </c>
      <c r="O61" s="88" t="s">
        <v>790</v>
      </c>
      <c r="P61" s="89">
        <v>0</v>
      </c>
      <c r="Q61" s="90">
        <f t="shared" si="34"/>
        <v>55000</v>
      </c>
      <c r="R61" s="71">
        <v>55000</v>
      </c>
      <c r="S61" s="72">
        <f t="shared" si="29"/>
        <v>9050</v>
      </c>
      <c r="T61" s="68" t="s">
        <v>791</v>
      </c>
      <c r="U61" s="73">
        <f t="shared" si="30"/>
        <v>45950</v>
      </c>
      <c r="V61" s="73">
        <f>2000+5500+600+200+250+500</f>
        <v>9050</v>
      </c>
      <c r="W61" s="2">
        <f t="shared" si="13"/>
        <v>55000</v>
      </c>
      <c r="Y61" s="81">
        <f t="shared" si="14"/>
        <v>55000</v>
      </c>
      <c r="Z61" s="96">
        <v>0</v>
      </c>
      <c r="AA61" s="97">
        <f>U61-Z61</f>
        <v>45950</v>
      </c>
      <c r="AB61" s="98" t="e">
        <f>AA61/Z61</f>
        <v>#DIV/0!</v>
      </c>
      <c r="AE61" s="2">
        <v>190000</v>
      </c>
      <c r="AF61" s="28">
        <f t="shared" si="32"/>
        <v>0</v>
      </c>
      <c r="AG61" s="55" t="s">
        <v>125</v>
      </c>
      <c r="AI61" s="20" t="s">
        <v>205</v>
      </c>
      <c r="AJ61" s="2">
        <f t="shared" si="16"/>
        <v>-55000</v>
      </c>
      <c r="AN61" s="29" t="e">
        <f t="shared" si="17"/>
        <v>#DIV/0!</v>
      </c>
      <c r="AP61" s="3" t="s">
        <v>140</v>
      </c>
      <c r="AQ61" s="1" t="s">
        <v>177</v>
      </c>
      <c r="AR61" s="31">
        <f t="shared" si="18"/>
        <v>0</v>
      </c>
      <c r="AS61" s="31">
        <f t="shared" si="19"/>
        <v>0</v>
      </c>
      <c r="AT61" s="31">
        <f>IF(BX61&lt;&gt;"", AF61-BX61, 0)</f>
        <v>0</v>
      </c>
      <c r="AU61" s="31">
        <f t="shared" si="20"/>
        <v>0</v>
      </c>
      <c r="AV61" s="31">
        <f t="shared" si="21"/>
        <v>0</v>
      </c>
      <c r="AW61" s="31">
        <f t="shared" si="22"/>
        <v>0</v>
      </c>
      <c r="AX61" s="31">
        <f t="shared" si="23"/>
        <v>0</v>
      </c>
      <c r="AY61" s="31">
        <f t="shared" si="24"/>
        <v>0</v>
      </c>
      <c r="AZ61" s="31">
        <f t="shared" si="25"/>
        <v>-156000</v>
      </c>
      <c r="BA61" s="31">
        <f t="shared" si="26"/>
        <v>0</v>
      </c>
      <c r="BB61" s="32">
        <f>IF(BS61&lt;&gt;"", AK61-BS61, 0)</f>
        <v>0</v>
      </c>
      <c r="BC61" s="32">
        <f>IF(DA61&lt;&gt;"", AK61-DA61, 0)</f>
        <v>0</v>
      </c>
      <c r="BD61" s="32">
        <f>IF(CE61&lt;&gt;"", AK61-CE61, )</f>
        <v>0</v>
      </c>
      <c r="BE61" s="32">
        <f>IF(DI61&lt;&gt;"", AK61-DI61, 0)</f>
        <v>0</v>
      </c>
      <c r="BF61" s="32">
        <f>IF(CQ61&lt;&gt;"",AK61-CQ61, 0)</f>
        <v>0</v>
      </c>
      <c r="BG61" s="32">
        <f>IF(DQ61&lt;&gt;"", AK61-DQ61, 0)</f>
        <v>0</v>
      </c>
      <c r="BH61" s="32">
        <f>IF(EC61&lt;&gt;"", AK61-EA61, 0)</f>
        <v>0</v>
      </c>
      <c r="BI61" s="32">
        <f>IF(EM61&lt;&gt;"", AK61-EM61, 0)</f>
        <v>0</v>
      </c>
      <c r="BJ61" s="32">
        <f>IF(EW61&lt;&gt;"", AK61-EW61, 0)</f>
        <v>0</v>
      </c>
      <c r="BK61" s="32">
        <f>IF(FE61&lt;&gt;"", AK61-FE61, 0)</f>
        <v>0</v>
      </c>
      <c r="BL61" s="39"/>
      <c r="BM61" s="39"/>
      <c r="BN61" s="39"/>
      <c r="BO61" s="39"/>
      <c r="BP61" s="39"/>
      <c r="BQ61" s="39"/>
      <c r="BR61" s="39"/>
      <c r="BS61" s="50"/>
      <c r="BT61" s="41"/>
      <c r="BU61" s="41"/>
      <c r="BV61" s="41"/>
      <c r="BW61" s="41"/>
      <c r="BX61" s="48"/>
      <c r="BY61" s="48"/>
      <c r="BZ61" s="48"/>
      <c r="CA61" s="48"/>
      <c r="CB61" s="48"/>
      <c r="CC61" s="48"/>
      <c r="CD61" s="48"/>
      <c r="CE61" s="36"/>
      <c r="CF61" s="36"/>
      <c r="CG61" s="36"/>
      <c r="CH61" s="36"/>
      <c r="CI61" s="36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35"/>
      <c r="CW61" s="35"/>
      <c r="CX61" s="35"/>
      <c r="CY61" s="35"/>
      <c r="CZ61" s="35"/>
      <c r="DA61" s="35"/>
      <c r="DB61" s="35"/>
      <c r="DC61" s="35"/>
      <c r="DD61" s="40"/>
      <c r="DE61" s="40"/>
      <c r="DF61" s="40"/>
      <c r="DG61" s="40"/>
      <c r="DH61" s="40"/>
      <c r="DI61" s="41"/>
      <c r="DJ61" s="41"/>
      <c r="DK61" s="41"/>
      <c r="DL61" s="35"/>
      <c r="DM61" s="35"/>
      <c r="DN61" s="35"/>
      <c r="DO61" s="35"/>
      <c r="DP61" s="35"/>
      <c r="DQ61" s="35"/>
      <c r="DR61" s="35"/>
      <c r="DS61" s="35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40">
        <v>156000</v>
      </c>
      <c r="ES61" s="37">
        <f>ER61-Y61</f>
        <v>101000</v>
      </c>
      <c r="ET61" s="38">
        <f>ES61/ER61</f>
        <v>0.64743589743589747</v>
      </c>
      <c r="EU61" s="37">
        <f>AF61-ER61</f>
        <v>-156000</v>
      </c>
      <c r="EV61" s="40" t="s">
        <v>89</v>
      </c>
      <c r="EW61" s="41"/>
      <c r="EX61" s="41"/>
      <c r="EY61" s="41"/>
      <c r="EZ61" s="35"/>
      <c r="FA61" s="35"/>
      <c r="FB61" s="35"/>
      <c r="FC61" s="35"/>
      <c r="FD61" s="35"/>
      <c r="FE61" s="35"/>
      <c r="FF61" s="35"/>
      <c r="FG61" s="35"/>
    </row>
    <row r="62" spans="1:163">
      <c r="A62" s="62">
        <v>344</v>
      </c>
      <c r="E62" s="63" t="s">
        <v>224</v>
      </c>
      <c r="F62" s="56" t="s">
        <v>79</v>
      </c>
      <c r="G62" s="65" t="s">
        <v>715</v>
      </c>
      <c r="H62" s="66" t="str">
        <f t="shared" si="8"/>
        <v xml:space="preserve"> 514</v>
      </c>
      <c r="I62" s="67" t="s">
        <v>715</v>
      </c>
      <c r="J62" s="68">
        <f t="shared" si="9"/>
        <v>0</v>
      </c>
      <c r="K62" s="63" t="s">
        <v>363</v>
      </c>
      <c r="L62" s="1" t="s">
        <v>46</v>
      </c>
      <c r="O62" s="88" t="s">
        <v>790</v>
      </c>
      <c r="P62" s="89">
        <v>0</v>
      </c>
      <c r="Q62" s="90">
        <f t="shared" si="34"/>
        <v>53500</v>
      </c>
      <c r="R62" s="71">
        <v>53500</v>
      </c>
      <c r="S62" s="72">
        <f t="shared" si="29"/>
        <v>9050</v>
      </c>
      <c r="T62" s="68" t="s">
        <v>791</v>
      </c>
      <c r="U62" s="73">
        <f t="shared" si="30"/>
        <v>44450</v>
      </c>
      <c r="V62" s="73">
        <f>2000+5500+600+200+250+500</f>
        <v>9050</v>
      </c>
      <c r="W62" s="2">
        <f t="shared" si="13"/>
        <v>53500</v>
      </c>
      <c r="Y62" s="81">
        <f t="shared" si="14"/>
        <v>53500</v>
      </c>
      <c r="Z62" s="96">
        <v>0</v>
      </c>
      <c r="AA62" s="97">
        <f>U62-Z62</f>
        <v>44450</v>
      </c>
      <c r="AB62" s="98" t="e">
        <f>AA62/Z62</f>
        <v>#DIV/0!</v>
      </c>
      <c r="AC62" s="2">
        <v>4000</v>
      </c>
      <c r="AD62" s="2">
        <f>Z62+AC62</f>
        <v>4000</v>
      </c>
      <c r="AF62" s="28">
        <f t="shared" si="32"/>
        <v>4000</v>
      </c>
      <c r="AG62" s="55" t="s">
        <v>125</v>
      </c>
      <c r="AI62" s="20" t="s">
        <v>45</v>
      </c>
      <c r="AJ62" s="2">
        <f t="shared" si="16"/>
        <v>-49500</v>
      </c>
      <c r="AN62" s="29">
        <f t="shared" si="17"/>
        <v>-12.375</v>
      </c>
      <c r="AO62" s="29" t="e">
        <f>AN62-AB62</f>
        <v>#DIV/0!</v>
      </c>
      <c r="AP62" s="3" t="s">
        <v>29</v>
      </c>
      <c r="AQ62" s="1" t="s">
        <v>176</v>
      </c>
      <c r="AR62" s="31">
        <f t="shared" si="18"/>
        <v>0</v>
      </c>
      <c r="AS62" s="31">
        <f t="shared" si="19"/>
        <v>0</v>
      </c>
      <c r="AT62" s="31">
        <f t="shared" ref="AT62:AT93" si="36">IF(BZ62&lt;&gt;"", AF62-BZ62, 0)</f>
        <v>0</v>
      </c>
      <c r="AU62" s="31">
        <f t="shared" si="20"/>
        <v>0</v>
      </c>
      <c r="AV62" s="31">
        <f t="shared" si="21"/>
        <v>0</v>
      </c>
      <c r="AW62" s="31">
        <f t="shared" si="22"/>
        <v>0</v>
      </c>
      <c r="AX62" s="31">
        <f t="shared" si="23"/>
        <v>0</v>
      </c>
      <c r="AY62" s="31">
        <f t="shared" si="24"/>
        <v>0</v>
      </c>
      <c r="AZ62" s="31">
        <f t="shared" si="25"/>
        <v>0</v>
      </c>
      <c r="BA62" s="31">
        <f t="shared" si="26"/>
        <v>0</v>
      </c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35"/>
      <c r="CW62" s="35"/>
      <c r="CX62" s="35"/>
      <c r="CY62" s="35"/>
      <c r="CZ62" s="35"/>
      <c r="DA62" s="35"/>
      <c r="DB62" s="35"/>
      <c r="DC62" s="35"/>
      <c r="DD62" s="40"/>
      <c r="DE62" s="40"/>
      <c r="DF62" s="40"/>
      <c r="DG62" s="40"/>
      <c r="DH62" s="40"/>
      <c r="DI62" s="40"/>
      <c r="DJ62" s="40"/>
      <c r="DK62" s="40"/>
      <c r="DL62" s="35"/>
      <c r="DM62" s="35"/>
      <c r="DN62" s="35"/>
      <c r="DO62" s="35"/>
      <c r="DP62" s="35"/>
      <c r="DQ62" s="35"/>
      <c r="DR62" s="35"/>
      <c r="DS62" s="35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40"/>
      <c r="ES62" s="40"/>
      <c r="ET62" s="40"/>
      <c r="EU62" s="40"/>
      <c r="EV62" s="40"/>
      <c r="EW62" s="40"/>
      <c r="EX62" s="40"/>
      <c r="EY62" s="40"/>
      <c r="EZ62" s="35"/>
      <c r="FA62" s="35"/>
      <c r="FB62" s="35"/>
      <c r="FC62" s="35"/>
      <c r="FD62" s="35"/>
      <c r="FE62" s="35"/>
      <c r="FF62" s="35"/>
      <c r="FG62" s="35"/>
    </row>
    <row r="63" spans="1:163">
      <c r="A63" s="62">
        <v>342</v>
      </c>
      <c r="E63" s="63" t="s">
        <v>225</v>
      </c>
      <c r="F63" s="56" t="s">
        <v>79</v>
      </c>
      <c r="G63" s="65" t="s">
        <v>713</v>
      </c>
      <c r="H63" s="66" t="str">
        <f t="shared" si="8"/>
        <v xml:space="preserve"> 973</v>
      </c>
      <c r="I63" s="67" t="s">
        <v>713</v>
      </c>
      <c r="J63" s="68">
        <f t="shared" si="9"/>
        <v>0</v>
      </c>
      <c r="K63" s="63" t="s">
        <v>363</v>
      </c>
      <c r="L63" s="1" t="s">
        <v>46</v>
      </c>
      <c r="O63" s="88" t="s">
        <v>790</v>
      </c>
      <c r="P63" s="89">
        <v>0</v>
      </c>
      <c r="Q63" s="90">
        <f t="shared" si="34"/>
        <v>54500</v>
      </c>
      <c r="R63" s="71">
        <v>54500</v>
      </c>
      <c r="S63" s="72">
        <f t="shared" si="29"/>
        <v>9050</v>
      </c>
      <c r="T63" s="68" t="s">
        <v>791</v>
      </c>
      <c r="U63" s="73">
        <f t="shared" si="30"/>
        <v>45450</v>
      </c>
      <c r="V63" s="73">
        <f>2000+5500+600+200+250+500</f>
        <v>9050</v>
      </c>
      <c r="W63" s="2">
        <f t="shared" si="13"/>
        <v>54500</v>
      </c>
      <c r="Y63" s="81">
        <f t="shared" si="14"/>
        <v>54500</v>
      </c>
      <c r="Z63" s="96">
        <v>0</v>
      </c>
      <c r="AA63" s="97">
        <f>U63-Z63</f>
        <v>45450</v>
      </c>
      <c r="AB63" s="98" t="e">
        <f>AA63/Z63</f>
        <v>#DIV/0!</v>
      </c>
      <c r="AE63" s="2">
        <v>92000</v>
      </c>
      <c r="AF63" s="28">
        <v>92000</v>
      </c>
      <c r="AG63" s="55" t="s">
        <v>125</v>
      </c>
      <c r="AI63" s="20" t="s">
        <v>45</v>
      </c>
      <c r="AJ63" s="2">
        <f t="shared" si="16"/>
        <v>37500</v>
      </c>
      <c r="AN63" s="29">
        <f t="shared" si="17"/>
        <v>0.40760869565217389</v>
      </c>
      <c r="AP63" s="3" t="s">
        <v>29</v>
      </c>
      <c r="AQ63" s="1" t="s">
        <v>176</v>
      </c>
      <c r="AR63" s="31">
        <f t="shared" si="18"/>
        <v>0</v>
      </c>
      <c r="AS63" s="31">
        <f t="shared" si="19"/>
        <v>0</v>
      </c>
      <c r="AT63" s="31">
        <f t="shared" si="36"/>
        <v>0</v>
      </c>
      <c r="AU63" s="31">
        <f t="shared" si="20"/>
        <v>0</v>
      </c>
      <c r="AV63" s="31">
        <f t="shared" si="21"/>
        <v>0</v>
      </c>
      <c r="AW63" s="31">
        <f t="shared" si="22"/>
        <v>0</v>
      </c>
      <c r="AX63" s="31">
        <f t="shared" si="23"/>
        <v>0</v>
      </c>
      <c r="AY63" s="31">
        <f t="shared" si="24"/>
        <v>0</v>
      </c>
      <c r="AZ63" s="31">
        <f t="shared" si="25"/>
        <v>0</v>
      </c>
      <c r="BA63" s="31">
        <f t="shared" si="26"/>
        <v>0</v>
      </c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35"/>
      <c r="CW63" s="35"/>
      <c r="CX63" s="35"/>
      <c r="CY63" s="35"/>
      <c r="CZ63" s="35"/>
      <c r="DA63" s="35"/>
      <c r="DB63" s="35"/>
      <c r="DC63" s="35"/>
      <c r="DD63" s="40"/>
      <c r="DE63" s="40"/>
      <c r="DF63" s="40"/>
      <c r="DG63" s="40"/>
      <c r="DH63" s="40"/>
      <c r="DI63" s="40"/>
      <c r="DJ63" s="40"/>
      <c r="DK63" s="40"/>
      <c r="DL63" s="35"/>
      <c r="DM63" s="35"/>
      <c r="DN63" s="35"/>
      <c r="DO63" s="35"/>
      <c r="DP63" s="35"/>
      <c r="DQ63" s="35"/>
      <c r="DR63" s="35"/>
      <c r="DS63" s="35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40"/>
      <c r="ES63" s="40"/>
      <c r="ET63" s="40"/>
      <c r="EU63" s="40"/>
      <c r="EV63" s="40"/>
      <c r="EW63" s="40"/>
      <c r="EX63" s="40"/>
      <c r="EY63" s="40"/>
      <c r="EZ63" s="35"/>
      <c r="FA63" s="35"/>
      <c r="FB63" s="35"/>
      <c r="FC63" s="35"/>
      <c r="FD63" s="35"/>
      <c r="FE63" s="35"/>
      <c r="FF63" s="35"/>
      <c r="FG63" s="35"/>
    </row>
    <row r="64" spans="1:163">
      <c r="A64" s="62">
        <v>48</v>
      </c>
      <c r="E64" s="63" t="s">
        <v>113</v>
      </c>
      <c r="F64" s="56" t="s">
        <v>113</v>
      </c>
      <c r="G64" s="70" t="s">
        <v>428</v>
      </c>
      <c r="H64" s="66" t="str">
        <f t="shared" si="8"/>
        <v xml:space="preserve"> 221</v>
      </c>
      <c r="I64" s="67" t="s">
        <v>428</v>
      </c>
      <c r="J64" s="68">
        <f t="shared" si="9"/>
        <v>0</v>
      </c>
      <c r="K64" s="63" t="s">
        <v>255</v>
      </c>
      <c r="L64" s="1" t="s">
        <v>46</v>
      </c>
      <c r="O64" s="64" t="s">
        <v>789</v>
      </c>
      <c r="P64" s="82">
        <v>0</v>
      </c>
      <c r="Q64" s="74">
        <f t="shared" si="34"/>
        <v>73000</v>
      </c>
      <c r="R64" s="71">
        <v>73000</v>
      </c>
      <c r="S64" s="72">
        <f t="shared" si="29"/>
        <v>7900</v>
      </c>
      <c r="T64" s="68" t="s">
        <v>791</v>
      </c>
      <c r="U64" s="73">
        <f t="shared" si="30"/>
        <v>65100</v>
      </c>
      <c r="V64" s="73">
        <f>2000+4850+600+200+250</f>
        <v>7900</v>
      </c>
      <c r="W64" s="2">
        <f t="shared" si="13"/>
        <v>73000</v>
      </c>
      <c r="Y64" s="80">
        <f t="shared" si="14"/>
        <v>73000</v>
      </c>
      <c r="Z64" s="93"/>
      <c r="AA64" s="93"/>
      <c r="AB64" s="94"/>
      <c r="AE64" s="2">
        <v>101000</v>
      </c>
      <c r="AF64" s="28">
        <f t="shared" ref="AF64:AF127" si="37">IF(O64="Baru",AE64,AD64)</f>
        <v>101000</v>
      </c>
      <c r="AG64" s="55" t="s">
        <v>125</v>
      </c>
      <c r="AI64" s="20" t="s">
        <v>45</v>
      </c>
      <c r="AJ64" s="2">
        <f t="shared" si="16"/>
        <v>28000</v>
      </c>
      <c r="AN64" s="29">
        <f t="shared" si="17"/>
        <v>0.27722772277227725</v>
      </c>
      <c r="AP64" s="3" t="s">
        <v>140</v>
      </c>
      <c r="AQ64" s="1" t="s">
        <v>147</v>
      </c>
      <c r="AR64" s="31">
        <f t="shared" si="18"/>
        <v>2450</v>
      </c>
      <c r="AS64" s="31">
        <f t="shared" si="19"/>
        <v>4340</v>
      </c>
      <c r="AT64" s="31">
        <f t="shared" si="36"/>
        <v>0</v>
      </c>
      <c r="AU64" s="31">
        <f t="shared" si="20"/>
        <v>0</v>
      </c>
      <c r="AV64" s="31">
        <f t="shared" si="21"/>
        <v>0</v>
      </c>
      <c r="AW64" s="31">
        <f t="shared" si="22"/>
        <v>0</v>
      </c>
      <c r="AX64" s="31">
        <f t="shared" si="23"/>
        <v>0</v>
      </c>
      <c r="AY64" s="31">
        <f t="shared" si="24"/>
        <v>0</v>
      </c>
      <c r="AZ64" s="31">
        <f t="shared" si="25"/>
        <v>0</v>
      </c>
      <c r="BA64" s="31">
        <f t="shared" si="26"/>
        <v>0</v>
      </c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41">
        <v>95550</v>
      </c>
      <c r="BM64" s="41">
        <v>3000</v>
      </c>
      <c r="BN64" s="41">
        <f>BL64+BM64</f>
        <v>98550</v>
      </c>
      <c r="BO64" s="37">
        <f>BN64-Y64</f>
        <v>25550</v>
      </c>
      <c r="BP64" s="38">
        <f>BO64/BL64</f>
        <v>0.26739926739926739</v>
      </c>
      <c r="BQ64" s="37">
        <f>AF64-BN64</f>
        <v>2450</v>
      </c>
      <c r="BR64" s="40" t="s">
        <v>29</v>
      </c>
      <c r="BS64" s="39"/>
      <c r="BT64" s="39"/>
      <c r="BU64" s="39"/>
      <c r="BV64" s="39"/>
      <c r="BW64" s="39"/>
      <c r="BX64" s="36"/>
      <c r="BY64" s="33"/>
      <c r="BZ64" s="33"/>
      <c r="CA64" s="33"/>
      <c r="CB64" s="34"/>
      <c r="CC64" s="33"/>
      <c r="CD64" s="35"/>
      <c r="CE64" s="48"/>
      <c r="CF64" s="48"/>
      <c r="CG64" s="48"/>
      <c r="CH64" s="48"/>
      <c r="CI64" s="48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36">
        <v>96660</v>
      </c>
      <c r="CW64" s="36">
        <f>CV64-Y64</f>
        <v>23660</v>
      </c>
      <c r="CX64" s="46">
        <f>CW64/CV64</f>
        <v>0.24477550175874199</v>
      </c>
      <c r="CY64" s="36">
        <f>AF64-CV64</f>
        <v>4340</v>
      </c>
      <c r="CZ64" s="35" t="s">
        <v>29</v>
      </c>
      <c r="DA64" s="35"/>
      <c r="DB64" s="35"/>
      <c r="DC64" s="35"/>
      <c r="DD64" s="40"/>
      <c r="DE64" s="40"/>
      <c r="DF64" s="40"/>
      <c r="DG64" s="40"/>
      <c r="DH64" s="40"/>
      <c r="DI64" s="40"/>
      <c r="DJ64" s="40"/>
      <c r="DK64" s="40"/>
      <c r="DL64" s="35"/>
      <c r="DM64" s="35"/>
      <c r="DN64" s="35"/>
      <c r="DO64" s="35"/>
      <c r="DP64" s="35"/>
      <c r="DQ64" s="35"/>
      <c r="DR64" s="35"/>
      <c r="DS64" s="35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40"/>
      <c r="ES64" s="40"/>
      <c r="ET64" s="40"/>
      <c r="EU64" s="40"/>
      <c r="EV64" s="40"/>
      <c r="EW64" s="40"/>
      <c r="EX64" s="40"/>
      <c r="EY64" s="40"/>
      <c r="EZ64" s="35"/>
      <c r="FA64" s="35"/>
      <c r="FB64" s="35"/>
      <c r="FC64" s="35"/>
      <c r="FD64" s="35"/>
      <c r="FE64" s="35"/>
      <c r="FF64" s="35"/>
      <c r="FG64" s="35"/>
    </row>
    <row r="65" spans="1:163">
      <c r="A65" s="60">
        <v>79</v>
      </c>
      <c r="E65" s="63" t="s">
        <v>212</v>
      </c>
      <c r="F65" s="56" t="s">
        <v>56</v>
      </c>
      <c r="G65" s="70" t="s">
        <v>460</v>
      </c>
      <c r="H65" s="66" t="str">
        <f t="shared" si="8"/>
        <v xml:space="preserve"> 394</v>
      </c>
      <c r="I65" s="67" t="s">
        <v>460</v>
      </c>
      <c r="J65" s="68">
        <f t="shared" si="9"/>
        <v>0</v>
      </c>
      <c r="K65" s="63" t="s">
        <v>255</v>
      </c>
      <c r="L65" s="1" t="s">
        <v>46</v>
      </c>
      <c r="O65" s="64" t="s">
        <v>789</v>
      </c>
      <c r="P65" s="82">
        <v>0</v>
      </c>
      <c r="Q65" s="74">
        <f t="shared" si="34"/>
        <v>77000</v>
      </c>
      <c r="R65" s="71">
        <v>77000</v>
      </c>
      <c r="S65" s="72">
        <f t="shared" si="29"/>
        <v>8150</v>
      </c>
      <c r="T65" s="68" t="s">
        <v>791</v>
      </c>
      <c r="U65" s="73">
        <f t="shared" si="30"/>
        <v>68850</v>
      </c>
      <c r="V65" s="75">
        <f>2000+5100+600+200+250</f>
        <v>8150</v>
      </c>
      <c r="W65" s="2">
        <f t="shared" si="13"/>
        <v>77000</v>
      </c>
      <c r="Y65" s="80">
        <f t="shared" si="14"/>
        <v>77000</v>
      </c>
      <c r="Z65" s="93"/>
      <c r="AA65" s="93"/>
      <c r="AB65" s="94"/>
      <c r="AC65" s="2">
        <v>4000</v>
      </c>
      <c r="AD65" s="2">
        <f>Z65+AC65</f>
        <v>4000</v>
      </c>
      <c r="AF65" s="28">
        <f t="shared" si="37"/>
        <v>0</v>
      </c>
      <c r="AG65" s="55" t="s">
        <v>125</v>
      </c>
      <c r="AI65" s="20" t="s">
        <v>204</v>
      </c>
      <c r="AJ65" s="2">
        <f t="shared" si="16"/>
        <v>-77000</v>
      </c>
      <c r="AN65" s="29" t="e">
        <f t="shared" si="17"/>
        <v>#DIV/0!</v>
      </c>
      <c r="AO65" s="29" t="e">
        <f>AN65-AB65</f>
        <v>#DIV/0!</v>
      </c>
      <c r="AP65" s="3" t="s">
        <v>29</v>
      </c>
      <c r="AQ65" s="1" t="s">
        <v>145</v>
      </c>
      <c r="AR65" s="31">
        <f t="shared" si="18"/>
        <v>0</v>
      </c>
      <c r="AS65" s="31">
        <f t="shared" si="19"/>
        <v>0</v>
      </c>
      <c r="AT65" s="31">
        <f t="shared" si="36"/>
        <v>0</v>
      </c>
      <c r="AU65" s="31">
        <f t="shared" si="20"/>
        <v>0</v>
      </c>
      <c r="AV65" s="31">
        <f t="shared" si="21"/>
        <v>0</v>
      </c>
      <c r="AW65" s="31">
        <f t="shared" si="22"/>
        <v>0</v>
      </c>
      <c r="AX65" s="31">
        <f t="shared" si="23"/>
        <v>0</v>
      </c>
      <c r="AY65" s="31">
        <f t="shared" si="24"/>
        <v>0</v>
      </c>
      <c r="AZ65" s="31">
        <f t="shared" si="25"/>
        <v>0</v>
      </c>
      <c r="BA65" s="31">
        <f t="shared" si="26"/>
        <v>0</v>
      </c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41"/>
      <c r="BM65" s="41"/>
      <c r="BN65" s="41"/>
      <c r="BO65" s="37"/>
      <c r="BP65" s="38"/>
      <c r="BQ65" s="37"/>
      <c r="BR65" s="40"/>
      <c r="BS65" s="39"/>
      <c r="BT65" s="39"/>
      <c r="BU65" s="39"/>
      <c r="BV65" s="39"/>
      <c r="BW65" s="39"/>
      <c r="BX65" s="36"/>
      <c r="BY65" s="33"/>
      <c r="BZ65" s="33"/>
      <c r="CA65" s="33"/>
      <c r="CB65" s="34"/>
      <c r="CC65" s="33"/>
      <c r="CD65" s="35"/>
      <c r="CE65" s="48"/>
      <c r="CF65" s="48"/>
      <c r="CG65" s="48"/>
      <c r="CH65" s="48"/>
      <c r="CI65" s="48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35"/>
      <c r="CW65" s="35"/>
      <c r="CX65" s="35"/>
      <c r="CY65" s="35"/>
      <c r="CZ65" s="35"/>
      <c r="DA65" s="35"/>
      <c r="DB65" s="35"/>
      <c r="DC65" s="35"/>
      <c r="DD65" s="40"/>
      <c r="DE65" s="40"/>
      <c r="DF65" s="40"/>
      <c r="DG65" s="40"/>
      <c r="DH65" s="40"/>
      <c r="DI65" s="40"/>
      <c r="DJ65" s="40"/>
      <c r="DK65" s="40"/>
      <c r="DL65" s="35"/>
      <c r="DM65" s="35"/>
      <c r="DN65" s="35"/>
      <c r="DO65" s="35"/>
      <c r="DP65" s="35"/>
      <c r="DQ65" s="35"/>
      <c r="DR65" s="35"/>
      <c r="DS65" s="35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40"/>
      <c r="ES65" s="40"/>
      <c r="ET65" s="40"/>
      <c r="EU65" s="40"/>
      <c r="EV65" s="40"/>
      <c r="EW65" s="40"/>
      <c r="EX65" s="40"/>
      <c r="EY65" s="40"/>
      <c r="EZ65" s="35"/>
      <c r="FA65" s="35"/>
      <c r="FB65" s="35"/>
      <c r="FC65" s="35"/>
      <c r="FD65" s="35"/>
      <c r="FE65" s="35"/>
      <c r="FF65" s="35"/>
      <c r="FG65" s="35"/>
    </row>
    <row r="66" spans="1:163">
      <c r="A66" s="62">
        <v>95</v>
      </c>
      <c r="E66" s="63" t="s">
        <v>113</v>
      </c>
      <c r="F66" s="56" t="s">
        <v>56</v>
      </c>
      <c r="G66" s="70" t="s">
        <v>476</v>
      </c>
      <c r="H66" s="66" t="str">
        <f t="shared" si="8"/>
        <v xml:space="preserve"> 246</v>
      </c>
      <c r="I66" s="67" t="s">
        <v>476</v>
      </c>
      <c r="J66" s="68">
        <f t="shared" si="9"/>
        <v>0</v>
      </c>
      <c r="K66" s="63" t="s">
        <v>255</v>
      </c>
      <c r="L66" s="1" t="s">
        <v>46</v>
      </c>
      <c r="O66" s="64" t="s">
        <v>789</v>
      </c>
      <c r="P66" s="82">
        <v>0</v>
      </c>
      <c r="Q66" s="74">
        <f t="shared" si="34"/>
        <v>73000</v>
      </c>
      <c r="R66" s="71">
        <v>73000</v>
      </c>
      <c r="S66" s="72">
        <f t="shared" si="29"/>
        <v>7900</v>
      </c>
      <c r="T66" s="68" t="s">
        <v>791</v>
      </c>
      <c r="U66" s="73">
        <f t="shared" si="30"/>
        <v>65100</v>
      </c>
      <c r="V66" s="73">
        <f>2000+4850+600+200+250</f>
        <v>7900</v>
      </c>
      <c r="W66" s="2">
        <f t="shared" si="13"/>
        <v>73000</v>
      </c>
      <c r="Y66" s="80">
        <f t="shared" si="14"/>
        <v>73000</v>
      </c>
      <c r="Z66" s="93"/>
      <c r="AA66" s="93"/>
      <c r="AB66" s="94"/>
      <c r="AC66" s="2">
        <v>4000</v>
      </c>
      <c r="AD66" s="2">
        <f>Z66+AC66</f>
        <v>4000</v>
      </c>
      <c r="AF66" s="28">
        <f t="shared" si="37"/>
        <v>0</v>
      </c>
      <c r="AG66" s="55" t="s">
        <v>125</v>
      </c>
      <c r="AI66" s="20" t="s">
        <v>204</v>
      </c>
      <c r="AJ66" s="2">
        <f t="shared" si="16"/>
        <v>-73000</v>
      </c>
      <c r="AN66" s="29" t="e">
        <f t="shared" si="17"/>
        <v>#DIV/0!</v>
      </c>
      <c r="AO66" s="29" t="e">
        <f>AN66-AB66</f>
        <v>#DIV/0!</v>
      </c>
      <c r="AP66" s="3" t="s">
        <v>29</v>
      </c>
      <c r="AQ66" s="1" t="s">
        <v>145</v>
      </c>
      <c r="AR66" s="31">
        <f t="shared" si="18"/>
        <v>0</v>
      </c>
      <c r="AS66" s="31">
        <f t="shared" si="19"/>
        <v>0</v>
      </c>
      <c r="AT66" s="31">
        <f t="shared" si="36"/>
        <v>0</v>
      </c>
      <c r="AU66" s="31">
        <f t="shared" si="20"/>
        <v>0</v>
      </c>
      <c r="AV66" s="31">
        <f t="shared" si="21"/>
        <v>0</v>
      </c>
      <c r="AW66" s="31">
        <f t="shared" si="22"/>
        <v>0</v>
      </c>
      <c r="AX66" s="31">
        <f t="shared" si="23"/>
        <v>0</v>
      </c>
      <c r="AY66" s="31">
        <f t="shared" si="24"/>
        <v>0</v>
      </c>
      <c r="AZ66" s="31">
        <f t="shared" si="25"/>
        <v>0</v>
      </c>
      <c r="BA66" s="31">
        <f t="shared" si="26"/>
        <v>0</v>
      </c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41"/>
      <c r="BM66" s="41"/>
      <c r="BN66" s="41"/>
      <c r="BO66" s="37"/>
      <c r="BP66" s="38"/>
      <c r="BQ66" s="37"/>
      <c r="BR66" s="40"/>
      <c r="BS66" s="39"/>
      <c r="BT66" s="39"/>
      <c r="BU66" s="39"/>
      <c r="BV66" s="39"/>
      <c r="BW66" s="39"/>
      <c r="BX66" s="36"/>
      <c r="BY66" s="33"/>
      <c r="BZ66" s="33"/>
      <c r="CA66" s="33"/>
      <c r="CB66" s="34"/>
      <c r="CC66" s="33"/>
      <c r="CD66" s="35"/>
      <c r="CE66" s="48"/>
      <c r="CF66" s="48"/>
      <c r="CG66" s="48"/>
      <c r="CH66" s="48"/>
      <c r="CI66" s="48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35"/>
      <c r="CW66" s="35"/>
      <c r="CX66" s="35"/>
      <c r="CY66" s="35"/>
      <c r="CZ66" s="35"/>
      <c r="DA66" s="35"/>
      <c r="DB66" s="35"/>
      <c r="DC66" s="35"/>
      <c r="DD66" s="40"/>
      <c r="DE66" s="40"/>
      <c r="DF66" s="40"/>
      <c r="DG66" s="40"/>
      <c r="DH66" s="40"/>
      <c r="DI66" s="40"/>
      <c r="DJ66" s="40"/>
      <c r="DK66" s="40"/>
      <c r="DL66" s="35"/>
      <c r="DM66" s="35"/>
      <c r="DN66" s="35"/>
      <c r="DO66" s="35"/>
      <c r="DP66" s="35"/>
      <c r="DQ66" s="35"/>
      <c r="DR66" s="35"/>
      <c r="DS66" s="35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40"/>
      <c r="ES66" s="40"/>
      <c r="ET66" s="40"/>
      <c r="EU66" s="40"/>
      <c r="EV66" s="40"/>
      <c r="EW66" s="40"/>
      <c r="EX66" s="40"/>
      <c r="EY66" s="40"/>
      <c r="EZ66" s="35"/>
      <c r="FA66" s="35"/>
      <c r="FB66" s="35"/>
      <c r="FC66" s="35"/>
      <c r="FD66" s="35"/>
      <c r="FE66" s="35"/>
      <c r="FF66" s="35"/>
      <c r="FG66" s="35"/>
    </row>
    <row r="67" spans="1:163">
      <c r="A67" s="60">
        <v>102</v>
      </c>
      <c r="E67" s="63" t="s">
        <v>58</v>
      </c>
      <c r="F67" s="56" t="s">
        <v>58</v>
      </c>
      <c r="G67" s="70" t="s">
        <v>481</v>
      </c>
      <c r="H67" s="66" t="str">
        <f t="shared" si="8"/>
        <v xml:space="preserve"> 632</v>
      </c>
      <c r="I67" s="67" t="s">
        <v>481</v>
      </c>
      <c r="J67" s="68">
        <f t="shared" si="9"/>
        <v>0</v>
      </c>
      <c r="K67" s="63" t="s">
        <v>255</v>
      </c>
      <c r="L67" s="1" t="s">
        <v>46</v>
      </c>
      <c r="O67" s="64" t="s">
        <v>789</v>
      </c>
      <c r="P67" s="82">
        <v>0</v>
      </c>
      <c r="Q67" s="74">
        <f t="shared" si="34"/>
        <v>73000</v>
      </c>
      <c r="R67" s="71">
        <v>73000</v>
      </c>
      <c r="S67" s="72">
        <f t="shared" si="29"/>
        <v>7900</v>
      </c>
      <c r="T67" s="68" t="s">
        <v>791</v>
      </c>
      <c r="U67" s="73">
        <f t="shared" si="30"/>
        <v>65100</v>
      </c>
      <c r="V67" s="73">
        <f>2000+4850+600+200+250</f>
        <v>7900</v>
      </c>
      <c r="W67" s="2">
        <f t="shared" si="13"/>
        <v>73000</v>
      </c>
      <c r="Y67" s="80">
        <f t="shared" si="14"/>
        <v>73000</v>
      </c>
      <c r="Z67" s="93"/>
      <c r="AA67" s="93"/>
      <c r="AB67" s="94"/>
      <c r="AE67" s="2">
        <v>99000</v>
      </c>
      <c r="AF67" s="28">
        <f t="shared" si="37"/>
        <v>99000</v>
      </c>
      <c r="AG67" s="55" t="s">
        <v>125</v>
      </c>
      <c r="AI67" s="20" t="s">
        <v>45</v>
      </c>
      <c r="AJ67" s="2">
        <f t="shared" si="16"/>
        <v>26000</v>
      </c>
      <c r="AN67" s="29">
        <f t="shared" si="17"/>
        <v>0.26262626262626265</v>
      </c>
      <c r="AP67" s="3" t="s">
        <v>29</v>
      </c>
      <c r="AQ67" s="1" t="s">
        <v>143</v>
      </c>
      <c r="AR67" s="31">
        <f t="shared" si="18"/>
        <v>0</v>
      </c>
      <c r="AS67" s="31">
        <f t="shared" si="19"/>
        <v>0</v>
      </c>
      <c r="AT67" s="31">
        <f t="shared" si="36"/>
        <v>0</v>
      </c>
      <c r="AU67" s="31">
        <f t="shared" si="20"/>
        <v>0</v>
      </c>
      <c r="AV67" s="31">
        <f t="shared" si="21"/>
        <v>0</v>
      </c>
      <c r="AW67" s="31">
        <f t="shared" si="22"/>
        <v>0</v>
      </c>
      <c r="AX67" s="31">
        <f t="shared" si="23"/>
        <v>0</v>
      </c>
      <c r="AY67" s="31">
        <f t="shared" si="24"/>
        <v>0</v>
      </c>
      <c r="AZ67" s="31">
        <f t="shared" si="25"/>
        <v>0</v>
      </c>
      <c r="BA67" s="31">
        <f t="shared" si="26"/>
        <v>0</v>
      </c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41"/>
      <c r="BM67" s="41"/>
      <c r="BN67" s="41"/>
      <c r="BO67" s="37"/>
      <c r="BP67" s="38"/>
      <c r="BQ67" s="37"/>
      <c r="BR67" s="40"/>
      <c r="BS67" s="39"/>
      <c r="BT67" s="39"/>
      <c r="BU67" s="39"/>
      <c r="BV67" s="39"/>
      <c r="BW67" s="39"/>
      <c r="BX67" s="36"/>
      <c r="BY67" s="33"/>
      <c r="BZ67" s="33"/>
      <c r="CA67" s="33"/>
      <c r="CB67" s="34"/>
      <c r="CC67" s="33"/>
      <c r="CD67" s="35"/>
      <c r="CE67" s="48"/>
      <c r="CF67" s="48"/>
      <c r="CG67" s="48"/>
      <c r="CH67" s="48"/>
      <c r="CI67" s="48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35"/>
      <c r="CW67" s="35"/>
      <c r="CX67" s="35"/>
      <c r="CY67" s="35"/>
      <c r="CZ67" s="35"/>
      <c r="DA67" s="35"/>
      <c r="DB67" s="35"/>
      <c r="DC67" s="35"/>
      <c r="DD67" s="40"/>
      <c r="DE67" s="40"/>
      <c r="DF67" s="40"/>
      <c r="DG67" s="40"/>
      <c r="DH67" s="40"/>
      <c r="DI67" s="40"/>
      <c r="DJ67" s="40"/>
      <c r="DK67" s="40"/>
      <c r="DL67" s="35"/>
      <c r="DM67" s="35"/>
      <c r="DN67" s="35"/>
      <c r="DO67" s="35"/>
      <c r="DP67" s="35"/>
      <c r="DQ67" s="35"/>
      <c r="DR67" s="35"/>
      <c r="DS67" s="35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40"/>
      <c r="ES67" s="40"/>
      <c r="ET67" s="40"/>
      <c r="EU67" s="40"/>
      <c r="EV67" s="40"/>
      <c r="EW67" s="40"/>
      <c r="EX67" s="40"/>
      <c r="EY67" s="40"/>
      <c r="EZ67" s="35"/>
      <c r="FA67" s="35"/>
      <c r="FB67" s="35"/>
      <c r="FC67" s="35"/>
      <c r="FD67" s="35"/>
      <c r="FE67" s="35"/>
      <c r="FF67" s="35"/>
      <c r="FG67" s="35"/>
    </row>
    <row r="68" spans="1:163">
      <c r="A68" s="60">
        <v>104</v>
      </c>
      <c r="E68" s="63" t="s">
        <v>58</v>
      </c>
      <c r="F68" s="56" t="s">
        <v>58</v>
      </c>
      <c r="G68" s="70" t="s">
        <v>483</v>
      </c>
      <c r="H68" s="66" t="str">
        <f t="shared" si="8"/>
        <v xml:space="preserve"> 805</v>
      </c>
      <c r="I68" s="67" t="s">
        <v>483</v>
      </c>
      <c r="J68" s="68">
        <f t="shared" si="9"/>
        <v>0</v>
      </c>
      <c r="K68" s="63" t="s">
        <v>255</v>
      </c>
      <c r="L68" s="1" t="s">
        <v>46</v>
      </c>
      <c r="O68" s="64" t="s">
        <v>789</v>
      </c>
      <c r="P68" s="82">
        <v>0</v>
      </c>
      <c r="Q68" s="74">
        <f t="shared" si="34"/>
        <v>73000</v>
      </c>
      <c r="R68" s="71">
        <v>73000</v>
      </c>
      <c r="S68" s="72">
        <f t="shared" si="29"/>
        <v>7900</v>
      </c>
      <c r="T68" s="68" t="s">
        <v>791</v>
      </c>
      <c r="U68" s="73">
        <f t="shared" si="30"/>
        <v>65100</v>
      </c>
      <c r="V68" s="73">
        <f>2000+4850+600+200+250</f>
        <v>7900</v>
      </c>
      <c r="W68" s="2">
        <f t="shared" si="13"/>
        <v>73000</v>
      </c>
      <c r="Y68" s="80">
        <f t="shared" si="14"/>
        <v>73000</v>
      </c>
      <c r="Z68" s="93"/>
      <c r="AA68" s="93"/>
      <c r="AB68" s="94"/>
      <c r="AC68" s="2">
        <v>3000</v>
      </c>
      <c r="AD68" s="2">
        <f>Z68+AC68</f>
        <v>3000</v>
      </c>
      <c r="AF68" s="28">
        <f t="shared" si="37"/>
        <v>0</v>
      </c>
      <c r="AG68" s="55" t="s">
        <v>125</v>
      </c>
      <c r="AI68" s="20" t="s">
        <v>45</v>
      </c>
      <c r="AJ68" s="2">
        <f t="shared" si="16"/>
        <v>-73000</v>
      </c>
      <c r="AN68" s="29" t="e">
        <f t="shared" si="17"/>
        <v>#DIV/0!</v>
      </c>
      <c r="AO68" s="29" t="e">
        <f>AN68-AB68</f>
        <v>#DIV/0!</v>
      </c>
      <c r="AP68" s="3" t="s">
        <v>29</v>
      </c>
      <c r="AQ68" s="1" t="s">
        <v>143</v>
      </c>
      <c r="AR68" s="31">
        <f t="shared" si="18"/>
        <v>0</v>
      </c>
      <c r="AS68" s="31">
        <f t="shared" si="19"/>
        <v>0</v>
      </c>
      <c r="AT68" s="31">
        <f t="shared" si="36"/>
        <v>0</v>
      </c>
      <c r="AU68" s="31">
        <f t="shared" si="20"/>
        <v>0</v>
      </c>
      <c r="AV68" s="31">
        <f t="shared" si="21"/>
        <v>0</v>
      </c>
      <c r="AW68" s="31">
        <f t="shared" si="22"/>
        <v>0</v>
      </c>
      <c r="AX68" s="31">
        <f t="shared" si="23"/>
        <v>0</v>
      </c>
      <c r="AY68" s="31">
        <f t="shared" si="24"/>
        <v>0</v>
      </c>
      <c r="AZ68" s="31">
        <f t="shared" si="25"/>
        <v>0</v>
      </c>
      <c r="BA68" s="31">
        <f t="shared" si="26"/>
        <v>0</v>
      </c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41"/>
      <c r="BM68" s="41"/>
      <c r="BN68" s="41"/>
      <c r="BO68" s="37"/>
      <c r="BP68" s="38"/>
      <c r="BQ68" s="37"/>
      <c r="BR68" s="40"/>
      <c r="BS68" s="39"/>
      <c r="BT68" s="39"/>
      <c r="BU68" s="39"/>
      <c r="BV68" s="39"/>
      <c r="BW68" s="39"/>
      <c r="BX68" s="36"/>
      <c r="BY68" s="33"/>
      <c r="BZ68" s="33"/>
      <c r="CA68" s="33"/>
      <c r="CB68" s="34"/>
      <c r="CC68" s="33"/>
      <c r="CD68" s="35"/>
      <c r="CE68" s="48"/>
      <c r="CF68" s="48"/>
      <c r="CG68" s="48"/>
      <c r="CH68" s="48"/>
      <c r="CI68" s="48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35"/>
      <c r="CW68" s="35"/>
      <c r="CX68" s="35"/>
      <c r="CY68" s="35"/>
      <c r="CZ68" s="35"/>
      <c r="DA68" s="35"/>
      <c r="DB68" s="35"/>
      <c r="DC68" s="35"/>
      <c r="DD68" s="40"/>
      <c r="DE68" s="40"/>
      <c r="DF68" s="40"/>
      <c r="DG68" s="40"/>
      <c r="DH68" s="40"/>
      <c r="DI68" s="40"/>
      <c r="DJ68" s="40"/>
      <c r="DK68" s="40"/>
      <c r="DL68" s="35"/>
      <c r="DM68" s="35"/>
      <c r="DN68" s="35"/>
      <c r="DO68" s="35"/>
      <c r="DP68" s="35"/>
      <c r="DQ68" s="35"/>
      <c r="DR68" s="35"/>
      <c r="DS68" s="35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40"/>
      <c r="ES68" s="40"/>
      <c r="ET68" s="40"/>
      <c r="EU68" s="40"/>
      <c r="EV68" s="40"/>
      <c r="EW68" s="40"/>
      <c r="EX68" s="40"/>
      <c r="EY68" s="40"/>
      <c r="EZ68" s="35"/>
      <c r="FA68" s="35"/>
      <c r="FB68" s="35"/>
      <c r="FC68" s="35"/>
      <c r="FD68" s="35"/>
      <c r="FE68" s="35"/>
      <c r="FF68" s="35"/>
      <c r="FG68" s="35"/>
    </row>
    <row r="69" spans="1:163">
      <c r="A69" s="60">
        <v>172</v>
      </c>
      <c r="E69" s="63" t="s">
        <v>63</v>
      </c>
      <c r="F69" s="56" t="s">
        <v>62</v>
      </c>
      <c r="G69" s="70" t="s">
        <v>551</v>
      </c>
      <c r="H69" s="66" t="str">
        <f t="shared" si="8"/>
        <v xml:space="preserve"> 735</v>
      </c>
      <c r="I69" s="67" t="s">
        <v>551</v>
      </c>
      <c r="J69" s="68">
        <f t="shared" si="9"/>
        <v>0</v>
      </c>
      <c r="K69" s="63" t="s">
        <v>255</v>
      </c>
      <c r="L69" s="1" t="s">
        <v>46</v>
      </c>
      <c r="O69" s="88" t="s">
        <v>790</v>
      </c>
      <c r="P69" s="89">
        <v>0</v>
      </c>
      <c r="Q69" s="90">
        <f t="shared" si="34"/>
        <v>83000</v>
      </c>
      <c r="R69" s="71">
        <v>83000</v>
      </c>
      <c r="S69" s="72">
        <f t="shared" si="29"/>
        <v>8550</v>
      </c>
      <c r="T69" s="68" t="s">
        <v>791</v>
      </c>
      <c r="U69" s="73">
        <f t="shared" si="30"/>
        <v>74450</v>
      </c>
      <c r="V69" s="75">
        <f>5500+600+200+250+2000</f>
        <v>8550</v>
      </c>
      <c r="W69" s="2">
        <f t="shared" si="13"/>
        <v>83000</v>
      </c>
      <c r="Y69" s="81">
        <f t="shared" si="14"/>
        <v>83000</v>
      </c>
      <c r="Z69" s="96">
        <v>0</v>
      </c>
      <c r="AA69" s="97">
        <f t="shared" ref="AA69:AA76" si="38">U69-Z69</f>
        <v>74450</v>
      </c>
      <c r="AB69" s="98" t="e">
        <f t="shared" ref="AB69:AB76" si="39">AA69/Z69</f>
        <v>#DIV/0!</v>
      </c>
      <c r="AE69" s="2">
        <v>94000</v>
      </c>
      <c r="AF69" s="28">
        <f t="shared" si="37"/>
        <v>0</v>
      </c>
      <c r="AG69" s="55" t="s">
        <v>125</v>
      </c>
      <c r="AI69" s="20" t="s">
        <v>45</v>
      </c>
      <c r="AJ69" s="2">
        <f t="shared" si="16"/>
        <v>-83000</v>
      </c>
      <c r="AK69" s="2">
        <f>AVERAGE(AF69,AF65,AF64,AF63,AF62,AF60,AF59,AF58,AF57,AF56,AF55,AF54,AF53,AF51,AF50,AF49,AF48,AF47,AF46,AF45)</f>
        <v>13800</v>
      </c>
      <c r="AL69" s="2">
        <f>MIN(AF69,AF65,AF64,AF63,AF62,AF60,AF59,AF58,AF57,AF56,AF55,AF54,AF53,AF51,AF50,AF49,AF48,AF47,AF46,AF45)</f>
        <v>0</v>
      </c>
      <c r="AM69" s="2">
        <f>MAX(AF69,AF65,AF64,AF63,AF62,AF60,AF59,AF58,AF57,AF56,AF55,AF54,AF53,AF51,AF50,AF49,AF48,AF47,AF46,AF45)</f>
        <v>101000</v>
      </c>
      <c r="AN69" s="29" t="e">
        <f t="shared" si="17"/>
        <v>#DIV/0!</v>
      </c>
      <c r="AP69" s="3" t="s">
        <v>29</v>
      </c>
      <c r="AQ69" s="1" t="s">
        <v>155</v>
      </c>
      <c r="AR69" s="31">
        <f t="shared" si="18"/>
        <v>0</v>
      </c>
      <c r="AS69" s="31">
        <f t="shared" si="19"/>
        <v>0</v>
      </c>
      <c r="AT69" s="31">
        <f t="shared" si="36"/>
        <v>0</v>
      </c>
      <c r="AU69" s="31">
        <f t="shared" si="20"/>
        <v>0</v>
      </c>
      <c r="AV69" s="31">
        <f t="shared" si="21"/>
        <v>0</v>
      </c>
      <c r="AW69" s="31">
        <f t="shared" si="22"/>
        <v>0</v>
      </c>
      <c r="AX69" s="31">
        <f t="shared" si="23"/>
        <v>0</v>
      </c>
      <c r="AY69" s="31">
        <f t="shared" si="24"/>
        <v>0</v>
      </c>
      <c r="AZ69" s="31">
        <f t="shared" si="25"/>
        <v>0</v>
      </c>
      <c r="BA69" s="31">
        <f t="shared" si="26"/>
        <v>0</v>
      </c>
      <c r="BB69" s="32">
        <f>IF(BS69&lt;&gt;"", AK69-BS69, 0)</f>
        <v>-86831</v>
      </c>
      <c r="BC69" s="32">
        <f>IF(DA69&lt;&gt;"", AK69-DA69, 0)</f>
        <v>-82377</v>
      </c>
      <c r="BD69" s="32">
        <f>IF(CE69&lt;&gt;"", AK69-CE69, )</f>
        <v>-79559</v>
      </c>
      <c r="BE69" s="32">
        <f>IF(DI69&lt;&gt;"", AK69-DI69, 0)</f>
        <v>-77547</v>
      </c>
      <c r="BF69" s="32">
        <f>IF(CQ69&lt;&gt;"",AK69-CQ69, 0)</f>
        <v>0</v>
      </c>
      <c r="BG69" s="32">
        <f>IF(DQ69&lt;&gt;"", AK69-DQ69, 0)</f>
        <v>-84073</v>
      </c>
      <c r="BH69" s="32">
        <f>IF(EA69&lt;&gt;"", AK69-EA69, 0)</f>
        <v>-74043</v>
      </c>
      <c r="BI69" s="32">
        <f>IF(EM69&lt;&gt;"", AK69-EM69, 0)</f>
        <v>-74299</v>
      </c>
      <c r="BJ69" s="32">
        <f>IF(EW69&lt;&gt;"", AK69-EW69, 0)</f>
        <v>-98887</v>
      </c>
      <c r="BK69" s="32">
        <f>IF(FE69&lt;&gt;"", AK69-FE69, 0)</f>
        <v>0</v>
      </c>
      <c r="BL69" s="39"/>
      <c r="BM69" s="39"/>
      <c r="BN69" s="39"/>
      <c r="BO69" s="39"/>
      <c r="BP69" s="39"/>
      <c r="BQ69" s="39"/>
      <c r="BR69" s="39"/>
      <c r="BS69" s="41">
        <f>BU69+BT69</f>
        <v>100631</v>
      </c>
      <c r="BT69" s="41">
        <v>3000</v>
      </c>
      <c r="BU69" s="41">
        <v>97631</v>
      </c>
      <c r="BV69" s="41">
        <v>112500</v>
      </c>
      <c r="BW69" s="41">
        <v>90900</v>
      </c>
      <c r="BX69" s="48"/>
      <c r="BY69" s="48"/>
      <c r="BZ69" s="48"/>
      <c r="CA69" s="48"/>
      <c r="CB69" s="48"/>
      <c r="CC69" s="48"/>
      <c r="CD69" s="48"/>
      <c r="CE69" s="36">
        <f>CG69+CF69</f>
        <v>93359</v>
      </c>
      <c r="CF69" s="36">
        <v>2500</v>
      </c>
      <c r="CG69" s="36">
        <v>90859</v>
      </c>
      <c r="CH69" s="36">
        <v>99450</v>
      </c>
      <c r="CI69" s="36">
        <v>79200</v>
      </c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35"/>
      <c r="CW69" s="35"/>
      <c r="CX69" s="35"/>
      <c r="CY69" s="35"/>
      <c r="CZ69" s="35"/>
      <c r="DA69" s="36">
        <v>96177</v>
      </c>
      <c r="DB69" s="36">
        <v>113130</v>
      </c>
      <c r="DC69" s="36">
        <v>87480</v>
      </c>
      <c r="DD69" s="40"/>
      <c r="DE69" s="40"/>
      <c r="DF69" s="40"/>
      <c r="DG69" s="40"/>
      <c r="DH69" s="40"/>
      <c r="DI69" s="41">
        <v>91347</v>
      </c>
      <c r="DJ69" s="41">
        <v>110106</v>
      </c>
      <c r="DK69" s="41">
        <v>85860</v>
      </c>
      <c r="DL69" s="35"/>
      <c r="DM69" s="35"/>
      <c r="DN69" s="35"/>
      <c r="DO69" s="35"/>
      <c r="DP69" s="35"/>
      <c r="DQ69" s="36">
        <v>97873</v>
      </c>
      <c r="DR69" s="36">
        <v>125212</v>
      </c>
      <c r="DS69" s="36">
        <v>79537</v>
      </c>
      <c r="DT69" s="40"/>
      <c r="DU69" s="40"/>
      <c r="DV69" s="40"/>
      <c r="DW69" s="40"/>
      <c r="DX69" s="40"/>
      <c r="DY69" s="40"/>
      <c r="DZ69" s="40"/>
      <c r="EA69" s="41">
        <f>EC69+EB69</f>
        <v>87843</v>
      </c>
      <c r="EB69" s="41">
        <v>2500</v>
      </c>
      <c r="EC69" s="41">
        <v>85343</v>
      </c>
      <c r="ED69" s="41">
        <v>86887</v>
      </c>
      <c r="EE69" s="41">
        <v>82687</v>
      </c>
      <c r="EF69" s="35"/>
      <c r="EG69" s="33"/>
      <c r="EH69" s="33"/>
      <c r="EI69" s="33"/>
      <c r="EJ69" s="44"/>
      <c r="EK69" s="45"/>
      <c r="EL69" s="35"/>
      <c r="EM69" s="36">
        <f>EO69+EN69</f>
        <v>88099</v>
      </c>
      <c r="EN69" s="36">
        <v>2500</v>
      </c>
      <c r="EO69" s="36">
        <v>85599</v>
      </c>
      <c r="EP69" s="36">
        <v>90772</v>
      </c>
      <c r="EQ69" s="36">
        <v>80325</v>
      </c>
      <c r="ER69" s="40"/>
      <c r="ES69" s="40"/>
      <c r="ET69" s="40"/>
      <c r="EU69" s="40"/>
      <c r="EV69" s="40"/>
      <c r="EW69" s="41">
        <v>112687</v>
      </c>
      <c r="EX69" s="41">
        <v>130999</v>
      </c>
      <c r="EY69" s="41">
        <v>100000</v>
      </c>
      <c r="EZ69" s="35"/>
      <c r="FA69" s="35"/>
      <c r="FB69" s="35"/>
      <c r="FC69" s="35"/>
      <c r="FD69" s="35"/>
      <c r="FE69" s="35"/>
      <c r="FF69" s="35"/>
      <c r="FG69" s="35"/>
    </row>
    <row r="70" spans="1:163">
      <c r="A70" s="62">
        <v>90</v>
      </c>
      <c r="E70" s="63" t="s">
        <v>113</v>
      </c>
      <c r="F70" s="56" t="s">
        <v>56</v>
      </c>
      <c r="G70" s="70" t="s">
        <v>471</v>
      </c>
      <c r="H70" s="66" t="str">
        <f t="shared" si="8"/>
        <v xml:space="preserve"> 209</v>
      </c>
      <c r="I70" s="67" t="s">
        <v>471</v>
      </c>
      <c r="J70" s="68">
        <f t="shared" si="9"/>
        <v>0</v>
      </c>
      <c r="K70" s="63" t="s">
        <v>255</v>
      </c>
      <c r="L70" s="1" t="s">
        <v>46</v>
      </c>
      <c r="O70" s="88" t="s">
        <v>790</v>
      </c>
      <c r="P70" s="89">
        <v>0</v>
      </c>
      <c r="Q70" s="90">
        <f t="shared" si="34"/>
        <v>77500</v>
      </c>
      <c r="R70" s="71">
        <v>77500</v>
      </c>
      <c r="S70" s="72">
        <f t="shared" si="29"/>
        <v>8150</v>
      </c>
      <c r="T70" s="68" t="s">
        <v>791</v>
      </c>
      <c r="U70" s="73">
        <f t="shared" si="30"/>
        <v>69350</v>
      </c>
      <c r="V70" s="75">
        <f>2000+5100+600+200+250</f>
        <v>8150</v>
      </c>
      <c r="W70" s="2">
        <f t="shared" si="13"/>
        <v>77500</v>
      </c>
      <c r="Y70" s="81">
        <f t="shared" si="14"/>
        <v>77500</v>
      </c>
      <c r="Z70" s="96">
        <v>0</v>
      </c>
      <c r="AA70" s="97">
        <f t="shared" si="38"/>
        <v>69350</v>
      </c>
      <c r="AB70" s="98" t="e">
        <f t="shared" si="39"/>
        <v>#DIV/0!</v>
      </c>
      <c r="AE70" s="2">
        <v>98000</v>
      </c>
      <c r="AF70" s="28">
        <f t="shared" si="37"/>
        <v>0</v>
      </c>
      <c r="AG70" s="55" t="s">
        <v>125</v>
      </c>
      <c r="AI70" s="20" t="s">
        <v>204</v>
      </c>
      <c r="AJ70" s="2">
        <f t="shared" si="16"/>
        <v>-77500</v>
      </c>
      <c r="AN70" s="29" t="e">
        <f t="shared" si="17"/>
        <v>#DIV/0!</v>
      </c>
      <c r="AP70" s="3" t="s">
        <v>29</v>
      </c>
      <c r="AQ70" s="1" t="s">
        <v>145</v>
      </c>
      <c r="AR70" s="31">
        <f t="shared" si="18"/>
        <v>0</v>
      </c>
      <c r="AS70" s="31">
        <f t="shared" si="19"/>
        <v>0</v>
      </c>
      <c r="AT70" s="31">
        <f t="shared" si="36"/>
        <v>0</v>
      </c>
      <c r="AU70" s="31">
        <f t="shared" si="20"/>
        <v>0</v>
      </c>
      <c r="AV70" s="31">
        <f t="shared" si="21"/>
        <v>0</v>
      </c>
      <c r="AW70" s="31">
        <f t="shared" si="22"/>
        <v>0</v>
      </c>
      <c r="AX70" s="31">
        <f t="shared" si="23"/>
        <v>0</v>
      </c>
      <c r="AY70" s="31">
        <f t="shared" si="24"/>
        <v>0</v>
      </c>
      <c r="AZ70" s="31">
        <f t="shared" si="25"/>
        <v>0</v>
      </c>
      <c r="BA70" s="31">
        <f t="shared" si="26"/>
        <v>0</v>
      </c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41"/>
      <c r="BM70" s="41"/>
      <c r="BN70" s="41"/>
      <c r="BO70" s="37"/>
      <c r="BP70" s="38"/>
      <c r="BQ70" s="37"/>
      <c r="BR70" s="40"/>
      <c r="BS70" s="39"/>
      <c r="BT70" s="39"/>
      <c r="BU70" s="39"/>
      <c r="BV70" s="39"/>
      <c r="BW70" s="39"/>
      <c r="BX70" s="36"/>
      <c r="BY70" s="33"/>
      <c r="BZ70" s="33"/>
      <c r="CA70" s="33"/>
      <c r="CB70" s="34"/>
      <c r="CC70" s="33"/>
      <c r="CD70" s="35"/>
      <c r="CE70" s="48"/>
      <c r="CF70" s="48"/>
      <c r="CG70" s="48"/>
      <c r="CH70" s="48"/>
      <c r="CI70" s="48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35"/>
      <c r="CW70" s="35"/>
      <c r="CX70" s="35"/>
      <c r="CY70" s="35"/>
      <c r="CZ70" s="35"/>
      <c r="DA70" s="35"/>
      <c r="DB70" s="35"/>
      <c r="DC70" s="35"/>
      <c r="DD70" s="40"/>
      <c r="DE70" s="40"/>
      <c r="DF70" s="40"/>
      <c r="DG70" s="40"/>
      <c r="DH70" s="40"/>
      <c r="DI70" s="40"/>
      <c r="DJ70" s="40"/>
      <c r="DK70" s="40"/>
      <c r="DL70" s="35"/>
      <c r="DM70" s="35"/>
      <c r="DN70" s="35"/>
      <c r="DO70" s="35"/>
      <c r="DP70" s="35"/>
      <c r="DQ70" s="35"/>
      <c r="DR70" s="35"/>
      <c r="DS70" s="35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40"/>
      <c r="ES70" s="40"/>
      <c r="ET70" s="40"/>
      <c r="EU70" s="40"/>
      <c r="EV70" s="40"/>
      <c r="EW70" s="40"/>
      <c r="EX70" s="40"/>
      <c r="EY70" s="40"/>
      <c r="EZ70" s="35"/>
      <c r="FA70" s="35"/>
      <c r="FB70" s="35"/>
      <c r="FC70" s="35"/>
      <c r="FD70" s="35"/>
      <c r="FE70" s="35"/>
      <c r="FF70" s="35"/>
      <c r="FG70" s="35"/>
    </row>
    <row r="71" spans="1:163">
      <c r="A71" s="62">
        <v>82</v>
      </c>
      <c r="E71" s="63" t="s">
        <v>113</v>
      </c>
      <c r="F71" s="56" t="s">
        <v>56</v>
      </c>
      <c r="G71" s="70" t="s">
        <v>463</v>
      </c>
      <c r="H71" s="66" t="str">
        <f t="shared" ref="H71:H134" si="40">REPLACE(G71,1,3, )</f>
        <v xml:space="preserve"> 265</v>
      </c>
      <c r="I71" s="67" t="s">
        <v>463</v>
      </c>
      <c r="J71" s="68">
        <f t="shared" ref="J71:J134" si="41">IF(G71=I71,0,1)</f>
        <v>0</v>
      </c>
      <c r="K71" s="63" t="s">
        <v>255</v>
      </c>
      <c r="L71" s="1" t="s">
        <v>46</v>
      </c>
      <c r="O71" s="88" t="s">
        <v>790</v>
      </c>
      <c r="P71" s="89">
        <v>0</v>
      </c>
      <c r="Q71" s="90">
        <f t="shared" si="34"/>
        <v>68000</v>
      </c>
      <c r="R71" s="71">
        <v>68000</v>
      </c>
      <c r="S71" s="72">
        <f t="shared" si="29"/>
        <v>8150</v>
      </c>
      <c r="T71" s="68" t="s">
        <v>791</v>
      </c>
      <c r="U71" s="73">
        <f t="shared" si="30"/>
        <v>59850</v>
      </c>
      <c r="V71" s="75">
        <f>2000+5100+600+200+250</f>
        <v>8150</v>
      </c>
      <c r="W71" s="2">
        <f t="shared" ref="W71:W134" si="42">Q71-P71</f>
        <v>68000</v>
      </c>
      <c r="Y71" s="81">
        <f t="shared" ref="Y71:Y134" si="43">Q71</f>
        <v>68000</v>
      </c>
      <c r="Z71" s="96">
        <v>0</v>
      </c>
      <c r="AA71" s="97">
        <f t="shared" si="38"/>
        <v>59850</v>
      </c>
      <c r="AB71" s="98" t="e">
        <f t="shared" si="39"/>
        <v>#DIV/0!</v>
      </c>
      <c r="AE71" s="2">
        <v>105000</v>
      </c>
      <c r="AF71" s="28">
        <f t="shared" si="37"/>
        <v>0</v>
      </c>
      <c r="AG71" s="55" t="s">
        <v>125</v>
      </c>
      <c r="AI71" s="20" t="s">
        <v>204</v>
      </c>
      <c r="AJ71" s="2">
        <f t="shared" ref="AJ71:AJ134" si="44">AF71-Y71</f>
        <v>-68000</v>
      </c>
      <c r="AN71" s="29" t="e">
        <f t="shared" ref="AN71:AN134" si="45">AJ71/AF71</f>
        <v>#DIV/0!</v>
      </c>
      <c r="AP71" s="3" t="s">
        <v>29</v>
      </c>
      <c r="AQ71" s="1" t="s">
        <v>145</v>
      </c>
      <c r="AR71" s="31">
        <f t="shared" ref="AR71:AR134" si="46">IF(BN71&lt;&gt;"", AF71-BN71, 0)</f>
        <v>0</v>
      </c>
      <c r="AS71" s="31">
        <f t="shared" ref="AS71:AS134" si="47">IF(CV71&lt;&gt;"", AF71-CV71, 0)</f>
        <v>0</v>
      </c>
      <c r="AT71" s="31">
        <f t="shared" si="36"/>
        <v>0</v>
      </c>
      <c r="AU71" s="31">
        <f t="shared" ref="AU71:AU134" si="48">IF(DD71&lt;&gt;"", AF71-DD71, 0)</f>
        <v>0</v>
      </c>
      <c r="AV71" s="31">
        <f t="shared" ref="AV71:AV134" si="49">IF(CL71&lt;&gt;"", AF71-CL71, 0)</f>
        <v>0</v>
      </c>
      <c r="AW71" s="31">
        <f t="shared" ref="AW71:AW134" si="50">IF(DL71&lt;&gt;"", AF71-DL71, 0)</f>
        <v>0</v>
      </c>
      <c r="AX71" s="31">
        <f t="shared" ref="AX71:AX134" si="51">IF(DV71&lt;&gt;"",AF71-DV71, 0)</f>
        <v>0</v>
      </c>
      <c r="AY71" s="31">
        <f t="shared" ref="AY71:AY134" si="52">IF(EH71&lt;&gt;"",AF71-EH71, 0)</f>
        <v>0</v>
      </c>
      <c r="AZ71" s="31">
        <f t="shared" ref="AZ71:AZ134" si="53">IF(ER71&lt;&gt;"", AF71-ER71, 0)</f>
        <v>0</v>
      </c>
      <c r="BA71" s="31">
        <f t="shared" ref="BA71:BA134" si="54">IF(EZ71&lt;&gt;"", AF71-EZ71, 0)</f>
        <v>0</v>
      </c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41"/>
      <c r="BM71" s="41"/>
      <c r="BN71" s="41"/>
      <c r="BO71" s="37"/>
      <c r="BP71" s="38"/>
      <c r="BQ71" s="37"/>
      <c r="BR71" s="40"/>
      <c r="BS71" s="39"/>
      <c r="BT71" s="39"/>
      <c r="BU71" s="39"/>
      <c r="BV71" s="39"/>
      <c r="BW71" s="39"/>
      <c r="BX71" s="36"/>
      <c r="BY71" s="33"/>
      <c r="BZ71" s="33"/>
      <c r="CA71" s="33"/>
      <c r="CB71" s="34"/>
      <c r="CC71" s="33"/>
      <c r="CD71" s="35"/>
      <c r="CE71" s="48"/>
      <c r="CF71" s="48"/>
      <c r="CG71" s="48"/>
      <c r="CH71" s="48"/>
      <c r="CI71" s="48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35"/>
      <c r="CW71" s="35"/>
      <c r="CX71" s="35"/>
      <c r="CY71" s="35"/>
      <c r="CZ71" s="35"/>
      <c r="DA71" s="35"/>
      <c r="DB71" s="35"/>
      <c r="DC71" s="35"/>
      <c r="DD71" s="40"/>
      <c r="DE71" s="40"/>
      <c r="DF71" s="40"/>
      <c r="DG71" s="40"/>
      <c r="DH71" s="40"/>
      <c r="DI71" s="40"/>
      <c r="DJ71" s="40"/>
      <c r="DK71" s="40"/>
      <c r="DL71" s="35"/>
      <c r="DM71" s="35"/>
      <c r="DN71" s="35"/>
      <c r="DO71" s="35"/>
      <c r="DP71" s="35"/>
      <c r="DQ71" s="35"/>
      <c r="DR71" s="35"/>
      <c r="DS71" s="35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40"/>
      <c r="ES71" s="40"/>
      <c r="ET71" s="40"/>
      <c r="EU71" s="40"/>
      <c r="EV71" s="40"/>
      <c r="EW71" s="40"/>
      <c r="EX71" s="40"/>
      <c r="EY71" s="40"/>
      <c r="EZ71" s="35"/>
      <c r="FA71" s="35"/>
      <c r="FB71" s="35"/>
      <c r="FC71" s="35"/>
      <c r="FD71" s="35"/>
      <c r="FE71" s="35"/>
      <c r="FF71" s="35"/>
      <c r="FG71" s="35"/>
    </row>
    <row r="72" spans="1:163">
      <c r="A72" s="62">
        <v>236</v>
      </c>
      <c r="E72" s="63" t="s">
        <v>221</v>
      </c>
      <c r="F72" s="56" t="s">
        <v>92</v>
      </c>
      <c r="G72" s="70" t="s">
        <v>612</v>
      </c>
      <c r="H72" s="66" t="str">
        <f t="shared" si="40"/>
        <v xml:space="preserve"> 356</v>
      </c>
      <c r="I72" s="67" t="s">
        <v>612</v>
      </c>
      <c r="J72" s="68">
        <f t="shared" si="41"/>
        <v>0</v>
      </c>
      <c r="K72" s="63" t="s">
        <v>255</v>
      </c>
      <c r="L72" s="1" t="s">
        <v>46</v>
      </c>
      <c r="O72" s="88" t="s">
        <v>790</v>
      </c>
      <c r="P72" s="89">
        <v>0</v>
      </c>
      <c r="Q72" s="90">
        <f t="shared" ref="Q72:Q103" si="55">U72+V72</f>
        <v>79500</v>
      </c>
      <c r="R72" s="71">
        <v>79500</v>
      </c>
      <c r="S72" s="72">
        <f t="shared" si="29"/>
        <v>8550</v>
      </c>
      <c r="T72" s="68" t="s">
        <v>791</v>
      </c>
      <c r="U72" s="73">
        <f t="shared" si="30"/>
        <v>70950</v>
      </c>
      <c r="V72" s="75">
        <f>5500+600+200+250+2000</f>
        <v>8550</v>
      </c>
      <c r="W72" s="2">
        <f t="shared" si="42"/>
        <v>79500</v>
      </c>
      <c r="Y72" s="81">
        <f t="shared" si="43"/>
        <v>79500</v>
      </c>
      <c r="Z72" s="96">
        <v>0</v>
      </c>
      <c r="AA72" s="97">
        <f t="shared" si="38"/>
        <v>70950</v>
      </c>
      <c r="AB72" s="98" t="e">
        <f t="shared" si="39"/>
        <v>#DIV/0!</v>
      </c>
      <c r="AE72" s="2">
        <v>144000</v>
      </c>
      <c r="AF72" s="28">
        <f t="shared" si="37"/>
        <v>0</v>
      </c>
      <c r="AG72" s="55" t="s">
        <v>125</v>
      </c>
      <c r="AI72" s="20" t="s">
        <v>45</v>
      </c>
      <c r="AJ72" s="2">
        <f t="shared" si="44"/>
        <v>-79500</v>
      </c>
      <c r="AN72" s="29" t="e">
        <f t="shared" si="45"/>
        <v>#DIV/0!</v>
      </c>
      <c r="AP72" s="3" t="s">
        <v>29</v>
      </c>
      <c r="AQ72" s="1" t="s">
        <v>190</v>
      </c>
      <c r="AR72" s="31">
        <f t="shared" si="46"/>
        <v>0</v>
      </c>
      <c r="AS72" s="31">
        <f t="shared" si="47"/>
        <v>0</v>
      </c>
      <c r="AT72" s="31">
        <f t="shared" si="36"/>
        <v>0</v>
      </c>
      <c r="AU72" s="31">
        <f t="shared" si="48"/>
        <v>0</v>
      </c>
      <c r="AV72" s="31">
        <f t="shared" si="49"/>
        <v>0</v>
      </c>
      <c r="AW72" s="31">
        <f t="shared" si="50"/>
        <v>0</v>
      </c>
      <c r="AX72" s="31">
        <f t="shared" si="51"/>
        <v>0</v>
      </c>
      <c r="AY72" s="31">
        <f t="shared" si="52"/>
        <v>0</v>
      </c>
      <c r="AZ72" s="31">
        <f t="shared" si="53"/>
        <v>0</v>
      </c>
      <c r="BA72" s="31">
        <f t="shared" si="54"/>
        <v>0</v>
      </c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35"/>
      <c r="CW72" s="35"/>
      <c r="CX72" s="35"/>
      <c r="CY72" s="35"/>
      <c r="CZ72" s="35"/>
      <c r="DA72" s="35"/>
      <c r="DB72" s="35"/>
      <c r="DC72" s="35"/>
      <c r="DD72" s="40"/>
      <c r="DE72" s="40"/>
      <c r="DF72" s="40"/>
      <c r="DG72" s="40"/>
      <c r="DH72" s="40"/>
      <c r="DI72" s="40"/>
      <c r="DJ72" s="40"/>
      <c r="DK72" s="40"/>
      <c r="DL72" s="35"/>
      <c r="DM72" s="35"/>
      <c r="DN72" s="35"/>
      <c r="DO72" s="35"/>
      <c r="DP72" s="35"/>
      <c r="DQ72" s="35"/>
      <c r="DR72" s="35"/>
      <c r="DS72" s="35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40"/>
      <c r="ES72" s="40"/>
      <c r="ET72" s="40"/>
      <c r="EU72" s="40"/>
      <c r="EV72" s="40"/>
      <c r="EW72" s="40"/>
      <c r="EX72" s="40"/>
      <c r="EY72" s="40"/>
      <c r="EZ72" s="35"/>
      <c r="FA72" s="35"/>
      <c r="FB72" s="35"/>
      <c r="FC72" s="35"/>
      <c r="FD72" s="35"/>
      <c r="FE72" s="35"/>
      <c r="FF72" s="35"/>
      <c r="FG72" s="35"/>
    </row>
    <row r="73" spans="1:163">
      <c r="A73" s="60">
        <v>146</v>
      </c>
      <c r="E73" s="63" t="s">
        <v>65</v>
      </c>
      <c r="F73" s="56" t="s">
        <v>61</v>
      </c>
      <c r="G73" s="70" t="s">
        <v>525</v>
      </c>
      <c r="H73" s="66" t="str">
        <f t="shared" si="40"/>
        <v xml:space="preserve"> 545</v>
      </c>
      <c r="I73" s="67" t="s">
        <v>525</v>
      </c>
      <c r="J73" s="68">
        <f t="shared" si="41"/>
        <v>0</v>
      </c>
      <c r="K73" s="63" t="s">
        <v>255</v>
      </c>
      <c r="L73" s="1" t="s">
        <v>46</v>
      </c>
      <c r="O73" s="88" t="s">
        <v>790</v>
      </c>
      <c r="P73" s="89">
        <v>0</v>
      </c>
      <c r="Q73" s="90">
        <f t="shared" si="55"/>
        <v>105000</v>
      </c>
      <c r="R73" s="71">
        <v>105000</v>
      </c>
      <c r="S73" s="72">
        <f t="shared" si="29"/>
        <v>8250</v>
      </c>
      <c r="T73" s="68" t="s">
        <v>791</v>
      </c>
      <c r="U73" s="73">
        <f t="shared" si="30"/>
        <v>96750</v>
      </c>
      <c r="V73" s="75">
        <f>5200+600+200+250+2000</f>
        <v>8250</v>
      </c>
      <c r="W73" s="2">
        <f t="shared" si="42"/>
        <v>105000</v>
      </c>
      <c r="Y73" s="81">
        <f t="shared" si="43"/>
        <v>105000</v>
      </c>
      <c r="Z73" s="96">
        <v>0</v>
      </c>
      <c r="AA73" s="97">
        <f t="shared" si="38"/>
        <v>96750</v>
      </c>
      <c r="AB73" s="98" t="e">
        <f t="shared" si="39"/>
        <v>#DIV/0!</v>
      </c>
      <c r="AC73" s="2">
        <v>4000</v>
      </c>
      <c r="AD73" s="2">
        <f>Z73+AC73</f>
        <v>4000</v>
      </c>
      <c r="AF73" s="28">
        <f t="shared" si="37"/>
        <v>4000</v>
      </c>
      <c r="AG73" s="55" t="s">
        <v>125</v>
      </c>
      <c r="AI73" s="20" t="s">
        <v>206</v>
      </c>
      <c r="AJ73" s="2">
        <f t="shared" si="44"/>
        <v>-101000</v>
      </c>
      <c r="AK73" s="2">
        <f>AVERAGE(AF73,AF72)</f>
        <v>2000</v>
      </c>
      <c r="AL73" s="2">
        <f>MIN(AF73,AF72)</f>
        <v>0</v>
      </c>
      <c r="AM73" s="2">
        <f>MAX(AF73,AF72)</f>
        <v>4000</v>
      </c>
      <c r="AN73" s="29">
        <f t="shared" si="45"/>
        <v>-25.25</v>
      </c>
      <c r="AO73" s="29" t="e">
        <f>AN73-AB73</f>
        <v>#DIV/0!</v>
      </c>
      <c r="AP73" s="3" t="s">
        <v>29</v>
      </c>
      <c r="AQ73" s="1" t="s">
        <v>172</v>
      </c>
      <c r="AR73" s="31">
        <f t="shared" si="46"/>
        <v>0</v>
      </c>
      <c r="AS73" s="31">
        <f t="shared" si="47"/>
        <v>0</v>
      </c>
      <c r="AT73" s="31">
        <f t="shared" si="36"/>
        <v>0</v>
      </c>
      <c r="AU73" s="31">
        <f t="shared" si="48"/>
        <v>0</v>
      </c>
      <c r="AV73" s="31">
        <f t="shared" si="49"/>
        <v>0</v>
      </c>
      <c r="AW73" s="31">
        <f t="shared" si="50"/>
        <v>0</v>
      </c>
      <c r="AX73" s="31">
        <f t="shared" si="51"/>
        <v>0</v>
      </c>
      <c r="AY73" s="31">
        <f t="shared" si="52"/>
        <v>0</v>
      </c>
      <c r="AZ73" s="31">
        <f t="shared" si="53"/>
        <v>0</v>
      </c>
      <c r="BA73" s="31">
        <f t="shared" si="54"/>
        <v>0</v>
      </c>
      <c r="BB73" s="32">
        <f>IF(BS73&lt;&gt;"", AK73-BS73, 0)</f>
        <v>-140500</v>
      </c>
      <c r="BC73" s="32">
        <f>IF(DA73&lt;&gt;"", AK73-DA73, 0)</f>
        <v>-181060</v>
      </c>
      <c r="BD73" s="32">
        <f>IF(CE73&lt;&gt;"", AK73-CE73, )</f>
        <v>-120100</v>
      </c>
      <c r="BE73" s="32">
        <f>IF(DI73&lt;&gt;"", AK73-DI73, 0)</f>
        <v>-137590</v>
      </c>
      <c r="BF73" s="32">
        <f>IF(CQ73&lt;&gt;"",AK73-CQ73, 0)</f>
        <v>0</v>
      </c>
      <c r="BG73" s="32">
        <f>IF(DQ73&lt;&gt;"", AK73-DQ73, 0)</f>
        <v>-159175</v>
      </c>
      <c r="BH73" s="32">
        <f>IF(EA73&lt;&gt;"", AK73-EA73, 0)</f>
        <v>-121172</v>
      </c>
      <c r="BI73" s="32">
        <f>IF(EM73&lt;&gt;"", AK73-EM73, 0)</f>
        <v>-120805</v>
      </c>
      <c r="BJ73" s="32">
        <f>IF(EW73&lt;&gt;"", AK73-EW73, 0)</f>
        <v>-168667</v>
      </c>
      <c r="BK73" s="32">
        <f>IF(FE73&lt;&gt;"", AK73-FE73, 0)</f>
        <v>0</v>
      </c>
      <c r="BL73" s="41"/>
      <c r="BM73" s="41"/>
      <c r="BN73" s="41"/>
      <c r="BO73" s="37"/>
      <c r="BP73" s="38"/>
      <c r="BQ73" s="37"/>
      <c r="BR73" s="40"/>
      <c r="BS73" s="41">
        <f>BU73+BT73</f>
        <v>142500</v>
      </c>
      <c r="BT73" s="41">
        <v>3000</v>
      </c>
      <c r="BU73" s="41">
        <v>139500</v>
      </c>
      <c r="BV73" s="41">
        <v>146250</v>
      </c>
      <c r="BW73" s="41">
        <v>126000</v>
      </c>
      <c r="BX73" s="36"/>
      <c r="BY73" s="33"/>
      <c r="BZ73" s="33"/>
      <c r="CA73" s="33"/>
      <c r="CB73" s="34"/>
      <c r="CC73" s="33"/>
      <c r="CD73" s="35"/>
      <c r="CE73" s="36">
        <f>CG73+CF73</f>
        <v>122100</v>
      </c>
      <c r="CF73" s="36">
        <v>3000</v>
      </c>
      <c r="CG73" s="36">
        <v>119100</v>
      </c>
      <c r="CH73" s="36">
        <v>121950</v>
      </c>
      <c r="CI73" s="36">
        <v>115650</v>
      </c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35"/>
      <c r="CW73" s="35"/>
      <c r="CX73" s="35"/>
      <c r="CY73" s="35"/>
      <c r="CZ73" s="35"/>
      <c r="DA73" s="36">
        <v>183060</v>
      </c>
      <c r="DB73" s="36">
        <v>209790</v>
      </c>
      <c r="DC73" s="36">
        <v>158760</v>
      </c>
      <c r="DD73" s="40"/>
      <c r="DE73" s="40"/>
      <c r="DF73" s="40"/>
      <c r="DG73" s="40"/>
      <c r="DH73" s="40"/>
      <c r="DI73" s="41">
        <v>139590</v>
      </c>
      <c r="DJ73" s="41">
        <v>139860</v>
      </c>
      <c r="DK73" s="41">
        <v>139320</v>
      </c>
      <c r="DL73" s="35"/>
      <c r="DM73" s="35"/>
      <c r="DN73" s="35"/>
      <c r="DO73" s="35"/>
      <c r="DP73" s="35"/>
      <c r="DQ73" s="36">
        <v>161175</v>
      </c>
      <c r="DR73" s="36">
        <v>161175</v>
      </c>
      <c r="DS73" s="36">
        <v>161175</v>
      </c>
      <c r="DT73" s="40"/>
      <c r="DU73" s="40"/>
      <c r="DV73" s="40"/>
      <c r="DW73" s="40"/>
      <c r="DX73" s="40"/>
      <c r="DY73" s="40"/>
      <c r="DZ73" s="40"/>
      <c r="EA73" s="41">
        <f>EC73+EB73</f>
        <v>123172</v>
      </c>
      <c r="EB73" s="41">
        <v>3000</v>
      </c>
      <c r="EC73" s="41">
        <v>120172</v>
      </c>
      <c r="ED73" s="41">
        <v>120172</v>
      </c>
      <c r="EE73" s="41">
        <v>120172</v>
      </c>
      <c r="EF73" s="35"/>
      <c r="EG73" s="35"/>
      <c r="EH73" s="35"/>
      <c r="EI73" s="35"/>
      <c r="EJ73" s="35"/>
      <c r="EK73" s="35"/>
      <c r="EL73" s="35"/>
      <c r="EM73" s="36">
        <f>EO73+EN73</f>
        <v>122805</v>
      </c>
      <c r="EN73" s="36">
        <v>3000</v>
      </c>
      <c r="EO73" s="36">
        <v>119805</v>
      </c>
      <c r="EP73" s="36">
        <v>120172</v>
      </c>
      <c r="EQ73" s="36">
        <v>118702</v>
      </c>
      <c r="ER73" s="40"/>
      <c r="ES73" s="40"/>
      <c r="ET73" s="40"/>
      <c r="EU73" s="40"/>
      <c r="EV73" s="40"/>
      <c r="EW73" s="41">
        <v>170667</v>
      </c>
      <c r="EX73" s="41">
        <v>175000</v>
      </c>
      <c r="EY73" s="41">
        <v>162000</v>
      </c>
      <c r="EZ73" s="35"/>
      <c r="FA73" s="35"/>
      <c r="FB73" s="35"/>
      <c r="FC73" s="35"/>
      <c r="FD73" s="35"/>
      <c r="FE73" s="35"/>
      <c r="FF73" s="35"/>
      <c r="FG73" s="35"/>
    </row>
    <row r="74" spans="1:163">
      <c r="A74" s="62">
        <v>23</v>
      </c>
      <c r="E74" s="63" t="s">
        <v>211</v>
      </c>
      <c r="F74" s="56" t="s">
        <v>114</v>
      </c>
      <c r="G74" s="70" t="s">
        <v>405</v>
      </c>
      <c r="H74" s="66" t="str">
        <f t="shared" si="40"/>
        <v xml:space="preserve"> 609</v>
      </c>
      <c r="I74" s="67" t="s">
        <v>405</v>
      </c>
      <c r="J74" s="68">
        <f t="shared" si="41"/>
        <v>0</v>
      </c>
      <c r="K74" s="63" t="s">
        <v>255</v>
      </c>
      <c r="L74" s="1" t="s">
        <v>46</v>
      </c>
      <c r="O74" s="88" t="s">
        <v>790</v>
      </c>
      <c r="P74" s="89">
        <v>0</v>
      </c>
      <c r="Q74" s="90">
        <f t="shared" si="55"/>
        <v>70500</v>
      </c>
      <c r="R74" s="77">
        <v>70500</v>
      </c>
      <c r="S74" s="72">
        <f t="shared" si="29"/>
        <v>7900</v>
      </c>
      <c r="T74" s="68" t="s">
        <v>791</v>
      </c>
      <c r="U74" s="73">
        <f t="shared" si="30"/>
        <v>62600</v>
      </c>
      <c r="V74" s="73">
        <f>2000+4850+600+200+250</f>
        <v>7900</v>
      </c>
      <c r="W74" s="2">
        <f t="shared" si="42"/>
        <v>70500</v>
      </c>
      <c r="Y74" s="81">
        <f t="shared" si="43"/>
        <v>70500</v>
      </c>
      <c r="Z74" s="96">
        <v>0</v>
      </c>
      <c r="AA74" s="97">
        <f t="shared" si="38"/>
        <v>62600</v>
      </c>
      <c r="AB74" s="98" t="e">
        <f t="shared" si="39"/>
        <v>#DIV/0!</v>
      </c>
      <c r="AE74" s="2">
        <v>109000</v>
      </c>
      <c r="AF74" s="28">
        <f t="shared" si="37"/>
        <v>0</v>
      </c>
      <c r="AG74" s="55" t="s">
        <v>125</v>
      </c>
      <c r="AI74" s="20" t="s">
        <v>206</v>
      </c>
      <c r="AJ74" s="2">
        <f t="shared" si="44"/>
        <v>-70500</v>
      </c>
      <c r="AN74" s="29" t="e">
        <f t="shared" si="45"/>
        <v>#DIV/0!</v>
      </c>
      <c r="AP74" s="3" t="s">
        <v>29</v>
      </c>
      <c r="AQ74" s="1" t="s">
        <v>154</v>
      </c>
      <c r="AR74" s="31">
        <f t="shared" si="46"/>
        <v>0</v>
      </c>
      <c r="AS74" s="31">
        <f t="shared" si="47"/>
        <v>0</v>
      </c>
      <c r="AT74" s="31">
        <f t="shared" si="36"/>
        <v>0</v>
      </c>
      <c r="AU74" s="31">
        <f t="shared" si="48"/>
        <v>0</v>
      </c>
      <c r="AV74" s="31">
        <f t="shared" si="49"/>
        <v>0</v>
      </c>
      <c r="AW74" s="31">
        <f t="shared" si="50"/>
        <v>0</v>
      </c>
      <c r="AX74" s="31">
        <f t="shared" si="51"/>
        <v>0</v>
      </c>
      <c r="AY74" s="31">
        <f t="shared" si="52"/>
        <v>0</v>
      </c>
      <c r="AZ74" s="31">
        <f t="shared" si="53"/>
        <v>0</v>
      </c>
      <c r="BA74" s="31">
        <f t="shared" si="54"/>
        <v>0</v>
      </c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41"/>
      <c r="BM74" s="41"/>
      <c r="BN74" s="41"/>
      <c r="BO74" s="37"/>
      <c r="BP74" s="38"/>
      <c r="BQ74" s="37"/>
      <c r="BR74" s="40"/>
      <c r="BS74" s="39"/>
      <c r="BT74" s="39"/>
      <c r="BU74" s="39"/>
      <c r="BV74" s="39"/>
      <c r="BW74" s="39"/>
      <c r="BX74" s="36"/>
      <c r="BY74" s="33"/>
      <c r="BZ74" s="33"/>
      <c r="CA74" s="33"/>
      <c r="CB74" s="34"/>
      <c r="CC74" s="33"/>
      <c r="CD74" s="35"/>
      <c r="CE74" s="48"/>
      <c r="CF74" s="48"/>
      <c r="CG74" s="48"/>
      <c r="CH74" s="48"/>
      <c r="CI74" s="48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35"/>
      <c r="CW74" s="35"/>
      <c r="CX74" s="35"/>
      <c r="CY74" s="35"/>
      <c r="CZ74" s="35"/>
      <c r="DA74" s="35"/>
      <c r="DB74" s="35"/>
      <c r="DC74" s="35"/>
      <c r="DD74" s="40"/>
      <c r="DE74" s="40"/>
      <c r="DF74" s="40"/>
      <c r="DG74" s="40"/>
      <c r="DH74" s="40"/>
      <c r="DI74" s="40"/>
      <c r="DJ74" s="40"/>
      <c r="DK74" s="40"/>
      <c r="DL74" s="35"/>
      <c r="DM74" s="35"/>
      <c r="DN74" s="35"/>
      <c r="DO74" s="35"/>
      <c r="DP74" s="35"/>
      <c r="DQ74" s="35"/>
      <c r="DR74" s="35"/>
      <c r="DS74" s="35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40"/>
      <c r="ES74" s="40"/>
      <c r="ET74" s="40"/>
      <c r="EU74" s="40"/>
      <c r="EV74" s="40"/>
      <c r="EW74" s="40"/>
      <c r="EX74" s="40"/>
      <c r="EY74" s="40"/>
      <c r="EZ74" s="35"/>
      <c r="FA74" s="35"/>
      <c r="FB74" s="35"/>
      <c r="FC74" s="35"/>
      <c r="FD74" s="35"/>
      <c r="FE74" s="35"/>
      <c r="FF74" s="35"/>
      <c r="FG74" s="35"/>
    </row>
    <row r="75" spans="1:163">
      <c r="A75" s="62">
        <v>88</v>
      </c>
      <c r="E75" s="63" t="s">
        <v>113</v>
      </c>
      <c r="F75" s="56" t="s">
        <v>115</v>
      </c>
      <c r="G75" s="70" t="s">
        <v>469</v>
      </c>
      <c r="H75" s="66" t="str">
        <f t="shared" si="40"/>
        <v xml:space="preserve"> 645</v>
      </c>
      <c r="I75" s="67" t="s">
        <v>469</v>
      </c>
      <c r="J75" s="68">
        <f t="shared" si="41"/>
        <v>0</v>
      </c>
      <c r="K75" s="63" t="s">
        <v>255</v>
      </c>
      <c r="L75" s="1" t="s">
        <v>46</v>
      </c>
      <c r="O75" s="88" t="s">
        <v>790</v>
      </c>
      <c r="P75" s="89">
        <v>0</v>
      </c>
      <c r="Q75" s="90">
        <f t="shared" si="55"/>
        <v>68000</v>
      </c>
      <c r="R75" s="71">
        <v>68000</v>
      </c>
      <c r="S75" s="72">
        <f t="shared" si="29"/>
        <v>8250</v>
      </c>
      <c r="T75" s="68" t="s">
        <v>791</v>
      </c>
      <c r="U75" s="73">
        <f t="shared" si="30"/>
        <v>59750</v>
      </c>
      <c r="V75" s="73">
        <f>5200+600+200+250+2000</f>
        <v>8250</v>
      </c>
      <c r="W75" s="2">
        <f t="shared" si="42"/>
        <v>68000</v>
      </c>
      <c r="Y75" s="81">
        <f t="shared" si="43"/>
        <v>68000</v>
      </c>
      <c r="Z75" s="96">
        <v>0</v>
      </c>
      <c r="AA75" s="97">
        <f t="shared" si="38"/>
        <v>59750</v>
      </c>
      <c r="AB75" s="98" t="e">
        <f t="shared" si="39"/>
        <v>#DIV/0!</v>
      </c>
      <c r="AE75" s="2">
        <v>108000</v>
      </c>
      <c r="AF75" s="28">
        <f t="shared" si="37"/>
        <v>0</v>
      </c>
      <c r="AG75" s="55" t="s">
        <v>125</v>
      </c>
      <c r="AI75" s="20" t="s">
        <v>45</v>
      </c>
      <c r="AJ75" s="2">
        <f t="shared" si="44"/>
        <v>-68000</v>
      </c>
      <c r="AN75" s="29" t="e">
        <f t="shared" si="45"/>
        <v>#DIV/0!</v>
      </c>
      <c r="AP75" s="3" t="s">
        <v>29</v>
      </c>
      <c r="AQ75" s="1" t="s">
        <v>153</v>
      </c>
      <c r="AR75" s="31">
        <f t="shared" si="46"/>
        <v>0</v>
      </c>
      <c r="AS75" s="31">
        <f t="shared" si="47"/>
        <v>0</v>
      </c>
      <c r="AT75" s="31">
        <f t="shared" si="36"/>
        <v>0</v>
      </c>
      <c r="AU75" s="31">
        <f t="shared" si="48"/>
        <v>0</v>
      </c>
      <c r="AV75" s="31">
        <f t="shared" si="49"/>
        <v>0</v>
      </c>
      <c r="AW75" s="31">
        <f t="shared" si="50"/>
        <v>0</v>
      </c>
      <c r="AX75" s="31">
        <f t="shared" si="51"/>
        <v>0</v>
      </c>
      <c r="AY75" s="31">
        <f t="shared" si="52"/>
        <v>0</v>
      </c>
      <c r="AZ75" s="31">
        <f t="shared" si="53"/>
        <v>0</v>
      </c>
      <c r="BA75" s="31">
        <f t="shared" si="54"/>
        <v>0</v>
      </c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41"/>
      <c r="BM75" s="41"/>
      <c r="BN75" s="41"/>
      <c r="BO75" s="37"/>
      <c r="BP75" s="38"/>
      <c r="BQ75" s="37"/>
      <c r="BR75" s="40"/>
      <c r="BS75" s="39"/>
      <c r="BT75" s="39"/>
      <c r="BU75" s="39"/>
      <c r="BV75" s="39"/>
      <c r="BW75" s="39"/>
      <c r="BX75" s="36"/>
      <c r="BY75" s="33"/>
      <c r="BZ75" s="33"/>
      <c r="CA75" s="33"/>
      <c r="CB75" s="34"/>
      <c r="CC75" s="33"/>
      <c r="CD75" s="35"/>
      <c r="CE75" s="48"/>
      <c r="CF75" s="48"/>
      <c r="CG75" s="48"/>
      <c r="CH75" s="48"/>
      <c r="CI75" s="48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35"/>
      <c r="CW75" s="35"/>
      <c r="CX75" s="35"/>
      <c r="CY75" s="35"/>
      <c r="CZ75" s="35"/>
      <c r="DA75" s="35"/>
      <c r="DB75" s="35"/>
      <c r="DC75" s="35"/>
      <c r="DD75" s="40"/>
      <c r="DE75" s="40"/>
      <c r="DF75" s="40"/>
      <c r="DG75" s="40"/>
      <c r="DH75" s="40"/>
      <c r="DI75" s="40"/>
      <c r="DJ75" s="40"/>
      <c r="DK75" s="40"/>
      <c r="DL75" s="35"/>
      <c r="DM75" s="35"/>
      <c r="DN75" s="35"/>
      <c r="DO75" s="35"/>
      <c r="DP75" s="35"/>
      <c r="DQ75" s="35"/>
      <c r="DR75" s="35"/>
      <c r="DS75" s="35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40"/>
      <c r="ES75" s="40"/>
      <c r="ET75" s="40"/>
      <c r="EU75" s="40"/>
      <c r="EV75" s="40"/>
      <c r="EW75" s="40"/>
      <c r="EX75" s="40"/>
      <c r="EY75" s="40"/>
      <c r="EZ75" s="35"/>
      <c r="FA75" s="35"/>
      <c r="FB75" s="35"/>
      <c r="FC75" s="35"/>
      <c r="FD75" s="35"/>
      <c r="FE75" s="35"/>
      <c r="FF75" s="35"/>
      <c r="FG75" s="35"/>
    </row>
    <row r="76" spans="1:163">
      <c r="A76" s="62">
        <v>80</v>
      </c>
      <c r="E76" s="63" t="s">
        <v>113</v>
      </c>
      <c r="F76" s="56" t="s">
        <v>56</v>
      </c>
      <c r="G76" s="70" t="s">
        <v>461</v>
      </c>
      <c r="H76" s="66" t="str">
        <f t="shared" si="40"/>
        <v xml:space="preserve"> 813</v>
      </c>
      <c r="I76" s="67" t="s">
        <v>461</v>
      </c>
      <c r="J76" s="68">
        <f t="shared" si="41"/>
        <v>0</v>
      </c>
      <c r="K76" s="63" t="s">
        <v>255</v>
      </c>
      <c r="L76" s="1" t="s">
        <v>46</v>
      </c>
      <c r="O76" s="88" t="s">
        <v>790</v>
      </c>
      <c r="P76" s="89">
        <v>0</v>
      </c>
      <c r="Q76" s="90">
        <f t="shared" si="55"/>
        <v>68000</v>
      </c>
      <c r="R76" s="71">
        <v>68000</v>
      </c>
      <c r="S76" s="72">
        <f t="shared" si="29"/>
        <v>0</v>
      </c>
      <c r="T76" s="68"/>
      <c r="U76" s="73">
        <f t="shared" si="30"/>
        <v>68000</v>
      </c>
      <c r="V76" s="75"/>
      <c r="W76" s="2">
        <f t="shared" si="42"/>
        <v>68000</v>
      </c>
      <c r="Y76" s="81">
        <f t="shared" si="43"/>
        <v>68000</v>
      </c>
      <c r="Z76" s="96">
        <v>0</v>
      </c>
      <c r="AA76" s="97">
        <f t="shared" si="38"/>
        <v>68000</v>
      </c>
      <c r="AB76" s="98" t="e">
        <f t="shared" si="39"/>
        <v>#DIV/0!</v>
      </c>
      <c r="AE76" s="2">
        <v>103000</v>
      </c>
      <c r="AF76" s="28">
        <f t="shared" si="37"/>
        <v>0</v>
      </c>
      <c r="AG76" s="55" t="s">
        <v>125</v>
      </c>
      <c r="AI76" s="20" t="s">
        <v>204</v>
      </c>
      <c r="AJ76" s="2">
        <f t="shared" si="44"/>
        <v>-68000</v>
      </c>
      <c r="AN76" s="29" t="e">
        <f t="shared" si="45"/>
        <v>#DIV/0!</v>
      </c>
      <c r="AP76" s="3" t="s">
        <v>29</v>
      </c>
      <c r="AQ76" s="1" t="s">
        <v>145</v>
      </c>
      <c r="AR76" s="31">
        <f t="shared" si="46"/>
        <v>0</v>
      </c>
      <c r="AS76" s="31">
        <f t="shared" si="47"/>
        <v>0</v>
      </c>
      <c r="AT76" s="31">
        <f t="shared" si="36"/>
        <v>0</v>
      </c>
      <c r="AU76" s="31">
        <f t="shared" si="48"/>
        <v>0</v>
      </c>
      <c r="AV76" s="31">
        <f t="shared" si="49"/>
        <v>0</v>
      </c>
      <c r="AW76" s="31">
        <f t="shared" si="50"/>
        <v>0</v>
      </c>
      <c r="AX76" s="31">
        <f t="shared" si="51"/>
        <v>0</v>
      </c>
      <c r="AY76" s="31">
        <f t="shared" si="52"/>
        <v>0</v>
      </c>
      <c r="AZ76" s="31">
        <f t="shared" si="53"/>
        <v>0</v>
      </c>
      <c r="BA76" s="31">
        <f t="shared" si="54"/>
        <v>0</v>
      </c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41"/>
      <c r="BM76" s="41"/>
      <c r="BN76" s="41"/>
      <c r="BO76" s="37"/>
      <c r="BP76" s="38"/>
      <c r="BQ76" s="37"/>
      <c r="BR76" s="40"/>
      <c r="BS76" s="39"/>
      <c r="BT76" s="39"/>
      <c r="BU76" s="39"/>
      <c r="BV76" s="39"/>
      <c r="BW76" s="39"/>
      <c r="BX76" s="36"/>
      <c r="BY76" s="33"/>
      <c r="BZ76" s="33"/>
      <c r="CA76" s="33"/>
      <c r="CB76" s="34"/>
      <c r="CC76" s="33"/>
      <c r="CD76" s="35"/>
      <c r="CE76" s="48"/>
      <c r="CF76" s="48"/>
      <c r="CG76" s="48"/>
      <c r="CH76" s="48"/>
      <c r="CI76" s="48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35"/>
      <c r="CW76" s="35"/>
      <c r="CX76" s="35"/>
      <c r="CY76" s="35"/>
      <c r="CZ76" s="35"/>
      <c r="DA76" s="35"/>
      <c r="DB76" s="35"/>
      <c r="DC76" s="35"/>
      <c r="DD76" s="40"/>
      <c r="DE76" s="40"/>
      <c r="DF76" s="40"/>
      <c r="DG76" s="40"/>
      <c r="DH76" s="40"/>
      <c r="DI76" s="40"/>
      <c r="DJ76" s="40"/>
      <c r="DK76" s="40"/>
      <c r="DL76" s="35"/>
      <c r="DM76" s="35"/>
      <c r="DN76" s="35"/>
      <c r="DO76" s="35"/>
      <c r="DP76" s="35"/>
      <c r="DQ76" s="35"/>
      <c r="DR76" s="35"/>
      <c r="DS76" s="35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40"/>
      <c r="ES76" s="40"/>
      <c r="ET76" s="40"/>
      <c r="EU76" s="40"/>
      <c r="EV76" s="40"/>
      <c r="EW76" s="40"/>
      <c r="EX76" s="40"/>
      <c r="EY76" s="40"/>
      <c r="EZ76" s="35"/>
      <c r="FA76" s="35"/>
      <c r="FB76" s="35"/>
      <c r="FC76" s="35"/>
      <c r="FD76" s="35"/>
      <c r="FE76" s="35"/>
      <c r="FF76" s="35"/>
      <c r="FG76" s="35"/>
    </row>
    <row r="77" spans="1:163">
      <c r="A77" s="60">
        <v>173</v>
      </c>
      <c r="E77" s="63" t="s">
        <v>63</v>
      </c>
      <c r="F77" s="56" t="s">
        <v>63</v>
      </c>
      <c r="G77" s="70" t="s">
        <v>552</v>
      </c>
      <c r="H77" s="66" t="str">
        <f t="shared" si="40"/>
        <v xml:space="preserve"> 330</v>
      </c>
      <c r="I77" s="67" t="s">
        <v>552</v>
      </c>
      <c r="J77" s="68">
        <f t="shared" si="41"/>
        <v>0</v>
      </c>
      <c r="K77" s="63" t="s">
        <v>309</v>
      </c>
      <c r="L77" s="1" t="s">
        <v>46</v>
      </c>
      <c r="O77" s="64" t="s">
        <v>789</v>
      </c>
      <c r="P77" s="82">
        <v>0</v>
      </c>
      <c r="Q77" s="74">
        <f t="shared" si="55"/>
        <v>80000</v>
      </c>
      <c r="R77" s="71">
        <v>80000</v>
      </c>
      <c r="S77" s="72">
        <f t="shared" si="29"/>
        <v>8150</v>
      </c>
      <c r="T77" s="68" t="s">
        <v>791</v>
      </c>
      <c r="U77" s="73">
        <f t="shared" si="30"/>
        <v>71850</v>
      </c>
      <c r="V77" s="75">
        <f>2000+5100+600+200+250</f>
        <v>8150</v>
      </c>
      <c r="W77" s="2">
        <f t="shared" si="42"/>
        <v>80000</v>
      </c>
      <c r="Y77" s="80">
        <f t="shared" si="43"/>
        <v>80000</v>
      </c>
      <c r="Z77" s="93"/>
      <c r="AA77" s="93"/>
      <c r="AB77" s="94"/>
      <c r="AC77" s="2">
        <v>3000</v>
      </c>
      <c r="AD77" s="2">
        <f>Z77+AC77</f>
        <v>3000</v>
      </c>
      <c r="AF77" s="28">
        <f t="shared" si="37"/>
        <v>0</v>
      </c>
      <c r="AG77" s="55" t="s">
        <v>125</v>
      </c>
      <c r="AI77" s="20" t="s">
        <v>206</v>
      </c>
      <c r="AJ77" s="2">
        <f t="shared" si="44"/>
        <v>-80000</v>
      </c>
      <c r="AN77" s="29" t="e">
        <f t="shared" si="45"/>
        <v>#DIV/0!</v>
      </c>
      <c r="AO77" s="29" t="e">
        <f>AN77-AB77</f>
        <v>#DIV/0!</v>
      </c>
      <c r="AP77" s="3" t="s">
        <v>29</v>
      </c>
      <c r="AQ77" s="1" t="s">
        <v>165</v>
      </c>
      <c r="AR77" s="31">
        <f t="shared" si="46"/>
        <v>0</v>
      </c>
      <c r="AS77" s="31">
        <f t="shared" si="47"/>
        <v>0</v>
      </c>
      <c r="AT77" s="31">
        <f t="shared" si="36"/>
        <v>0</v>
      </c>
      <c r="AU77" s="31">
        <f t="shared" si="48"/>
        <v>0</v>
      </c>
      <c r="AV77" s="31">
        <f t="shared" si="49"/>
        <v>0</v>
      </c>
      <c r="AW77" s="31">
        <f t="shared" si="50"/>
        <v>0</v>
      </c>
      <c r="AX77" s="31">
        <f t="shared" si="51"/>
        <v>0</v>
      </c>
      <c r="AY77" s="31">
        <f t="shared" si="52"/>
        <v>0</v>
      </c>
      <c r="AZ77" s="31">
        <f t="shared" si="53"/>
        <v>0</v>
      </c>
      <c r="BA77" s="31">
        <f t="shared" si="54"/>
        <v>0</v>
      </c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41"/>
      <c r="BM77" s="41"/>
      <c r="BN77" s="41"/>
      <c r="BO77" s="37"/>
      <c r="BP77" s="38"/>
      <c r="BQ77" s="37"/>
      <c r="BR77" s="40"/>
      <c r="BS77" s="39"/>
      <c r="BT77" s="39"/>
      <c r="BU77" s="39"/>
      <c r="BV77" s="39"/>
      <c r="BW77" s="39"/>
      <c r="BX77" s="36"/>
      <c r="BY77" s="33"/>
      <c r="BZ77" s="33"/>
      <c r="CA77" s="33"/>
      <c r="CB77" s="34"/>
      <c r="CC77" s="33"/>
      <c r="CD77" s="35"/>
      <c r="CE77" s="48"/>
      <c r="CF77" s="48"/>
      <c r="CG77" s="48"/>
      <c r="CH77" s="48"/>
      <c r="CI77" s="48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35"/>
      <c r="CW77" s="35"/>
      <c r="CX77" s="35"/>
      <c r="CY77" s="35"/>
      <c r="CZ77" s="35"/>
      <c r="DA77" s="35"/>
      <c r="DB77" s="35"/>
      <c r="DC77" s="35"/>
      <c r="DD77" s="40"/>
      <c r="DE77" s="40"/>
      <c r="DF77" s="40"/>
      <c r="DG77" s="40"/>
      <c r="DH77" s="40"/>
      <c r="DI77" s="40"/>
      <c r="DJ77" s="40"/>
      <c r="DK77" s="40"/>
      <c r="DL77" s="35"/>
      <c r="DM77" s="35"/>
      <c r="DN77" s="35"/>
      <c r="DO77" s="35"/>
      <c r="DP77" s="35"/>
      <c r="DQ77" s="35"/>
      <c r="DR77" s="35"/>
      <c r="DS77" s="35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40"/>
      <c r="ES77" s="40"/>
      <c r="ET77" s="40"/>
      <c r="EU77" s="40"/>
      <c r="EV77" s="40"/>
      <c r="EW77" s="40"/>
      <c r="EX77" s="40"/>
      <c r="EY77" s="40"/>
      <c r="EZ77" s="35"/>
      <c r="FA77" s="35"/>
      <c r="FB77" s="35"/>
      <c r="FC77" s="35"/>
      <c r="FD77" s="35"/>
      <c r="FE77" s="35"/>
      <c r="FF77" s="35"/>
      <c r="FG77" s="35"/>
    </row>
    <row r="78" spans="1:163">
      <c r="A78" s="60">
        <v>83</v>
      </c>
      <c r="E78" s="63" t="s">
        <v>113</v>
      </c>
      <c r="F78" s="56" t="s">
        <v>56</v>
      </c>
      <c r="G78" s="70" t="s">
        <v>464</v>
      </c>
      <c r="H78" s="66" t="str">
        <f t="shared" si="40"/>
        <v xml:space="preserve"> 770</v>
      </c>
      <c r="I78" s="67" t="s">
        <v>464</v>
      </c>
      <c r="J78" s="68">
        <f t="shared" si="41"/>
        <v>0</v>
      </c>
      <c r="K78" s="63" t="s">
        <v>273</v>
      </c>
      <c r="L78" s="1" t="s">
        <v>46</v>
      </c>
      <c r="O78" s="64" t="s">
        <v>789</v>
      </c>
      <c r="P78" s="82">
        <v>0</v>
      </c>
      <c r="Q78" s="74">
        <f t="shared" si="55"/>
        <v>70000</v>
      </c>
      <c r="R78" s="71">
        <v>70000</v>
      </c>
      <c r="S78" s="72">
        <f t="shared" si="29"/>
        <v>8150</v>
      </c>
      <c r="T78" s="68" t="s">
        <v>791</v>
      </c>
      <c r="U78" s="73">
        <f t="shared" si="30"/>
        <v>61850</v>
      </c>
      <c r="V78" s="75">
        <f>2000+5100+600+200+250</f>
        <v>8150</v>
      </c>
      <c r="W78" s="2">
        <f t="shared" si="42"/>
        <v>70000</v>
      </c>
      <c r="Y78" s="80">
        <f t="shared" si="43"/>
        <v>70000</v>
      </c>
      <c r="Z78" s="93"/>
      <c r="AA78" s="93"/>
      <c r="AB78" s="94"/>
      <c r="AE78" s="2">
        <v>110000</v>
      </c>
      <c r="AF78" s="28">
        <f t="shared" si="37"/>
        <v>110000</v>
      </c>
      <c r="AG78" s="55" t="s">
        <v>125</v>
      </c>
      <c r="AI78" s="20" t="s">
        <v>204</v>
      </c>
      <c r="AJ78" s="2">
        <f t="shared" si="44"/>
        <v>40000</v>
      </c>
      <c r="AN78" s="29">
        <f t="shared" si="45"/>
        <v>0.36363636363636365</v>
      </c>
      <c r="AP78" s="3" t="s">
        <v>29</v>
      </c>
      <c r="AQ78" s="1" t="s">
        <v>145</v>
      </c>
      <c r="AR78" s="31">
        <f t="shared" si="46"/>
        <v>0</v>
      </c>
      <c r="AS78" s="31">
        <f t="shared" si="47"/>
        <v>0</v>
      </c>
      <c r="AT78" s="31">
        <f t="shared" si="36"/>
        <v>0</v>
      </c>
      <c r="AU78" s="31">
        <f t="shared" si="48"/>
        <v>0</v>
      </c>
      <c r="AV78" s="31">
        <f t="shared" si="49"/>
        <v>0</v>
      </c>
      <c r="AW78" s="31">
        <f t="shared" si="50"/>
        <v>0</v>
      </c>
      <c r="AX78" s="31">
        <f t="shared" si="51"/>
        <v>0</v>
      </c>
      <c r="AY78" s="31">
        <f t="shared" si="52"/>
        <v>0</v>
      </c>
      <c r="AZ78" s="31">
        <f t="shared" si="53"/>
        <v>0</v>
      </c>
      <c r="BA78" s="31">
        <f t="shared" si="54"/>
        <v>0</v>
      </c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41"/>
      <c r="BM78" s="41"/>
      <c r="BN78" s="41"/>
      <c r="BO78" s="37"/>
      <c r="BP78" s="38"/>
      <c r="BQ78" s="37"/>
      <c r="BR78" s="40"/>
      <c r="BS78" s="39"/>
      <c r="BT78" s="39"/>
      <c r="BU78" s="39"/>
      <c r="BV78" s="39"/>
      <c r="BW78" s="39"/>
      <c r="BX78" s="36"/>
      <c r="BY78" s="33"/>
      <c r="BZ78" s="33"/>
      <c r="CA78" s="33"/>
      <c r="CB78" s="34"/>
      <c r="CC78" s="33"/>
      <c r="CD78" s="35"/>
      <c r="CE78" s="48"/>
      <c r="CF78" s="48"/>
      <c r="CG78" s="48"/>
      <c r="CH78" s="48"/>
      <c r="CI78" s="48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35"/>
      <c r="CW78" s="35"/>
      <c r="CX78" s="35"/>
      <c r="CY78" s="35"/>
      <c r="CZ78" s="35"/>
      <c r="DA78" s="35"/>
      <c r="DB78" s="35"/>
      <c r="DC78" s="35"/>
      <c r="DD78" s="40"/>
      <c r="DE78" s="40"/>
      <c r="DF78" s="40"/>
      <c r="DG78" s="40"/>
      <c r="DH78" s="40"/>
      <c r="DI78" s="40"/>
      <c r="DJ78" s="40"/>
      <c r="DK78" s="40"/>
      <c r="DL78" s="35"/>
      <c r="DM78" s="35"/>
      <c r="DN78" s="35"/>
      <c r="DO78" s="35"/>
      <c r="DP78" s="35"/>
      <c r="DQ78" s="35"/>
      <c r="DR78" s="35"/>
      <c r="DS78" s="35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40"/>
      <c r="ES78" s="40"/>
      <c r="ET78" s="40"/>
      <c r="EU78" s="40"/>
      <c r="EV78" s="40"/>
      <c r="EW78" s="40"/>
      <c r="EX78" s="40"/>
      <c r="EY78" s="40"/>
      <c r="EZ78" s="35"/>
      <c r="FA78" s="35"/>
      <c r="FB78" s="35"/>
      <c r="FC78" s="35"/>
      <c r="FD78" s="35"/>
      <c r="FE78" s="35"/>
      <c r="FF78" s="35"/>
      <c r="FG78" s="35"/>
    </row>
    <row r="79" spans="1:163">
      <c r="A79" s="62">
        <v>86</v>
      </c>
      <c r="E79" s="63" t="s">
        <v>113</v>
      </c>
      <c r="F79" s="56" t="s">
        <v>115</v>
      </c>
      <c r="G79" s="70" t="s">
        <v>467</v>
      </c>
      <c r="H79" s="66" t="str">
        <f t="shared" si="40"/>
        <v xml:space="preserve"> 194</v>
      </c>
      <c r="I79" s="67" t="s">
        <v>467</v>
      </c>
      <c r="J79" s="68">
        <f t="shared" si="41"/>
        <v>0</v>
      </c>
      <c r="K79" s="63" t="s">
        <v>273</v>
      </c>
      <c r="L79" s="1" t="s">
        <v>46</v>
      </c>
      <c r="O79" s="88" t="s">
        <v>790</v>
      </c>
      <c r="P79" s="89">
        <v>0</v>
      </c>
      <c r="Q79" s="90">
        <f t="shared" si="55"/>
        <v>70000</v>
      </c>
      <c r="R79" s="71">
        <v>70000</v>
      </c>
      <c r="S79" s="72">
        <f t="shared" si="29"/>
        <v>8150</v>
      </c>
      <c r="T79" s="68" t="s">
        <v>791</v>
      </c>
      <c r="U79" s="73">
        <f t="shared" si="30"/>
        <v>61850</v>
      </c>
      <c r="V79" s="73">
        <f>2000+5100+600+200+250</f>
        <v>8150</v>
      </c>
      <c r="W79" s="2">
        <f t="shared" si="42"/>
        <v>70000</v>
      </c>
      <c r="Y79" s="81">
        <f t="shared" si="43"/>
        <v>70000</v>
      </c>
      <c r="Z79" s="96">
        <v>0</v>
      </c>
      <c r="AA79" s="97">
        <f>U79-Z79</f>
        <v>61850</v>
      </c>
      <c r="AB79" s="98" t="e">
        <f>AA79/Z79</f>
        <v>#DIV/0!</v>
      </c>
      <c r="AE79" s="2">
        <v>104000</v>
      </c>
      <c r="AF79" s="28">
        <f t="shared" si="37"/>
        <v>0</v>
      </c>
      <c r="AG79" s="55" t="s">
        <v>125</v>
      </c>
      <c r="AI79" s="20" t="s">
        <v>45</v>
      </c>
      <c r="AJ79" s="2">
        <f t="shared" si="44"/>
        <v>-70000</v>
      </c>
      <c r="AN79" s="29" t="e">
        <f t="shared" si="45"/>
        <v>#DIV/0!</v>
      </c>
      <c r="AP79" s="3" t="s">
        <v>29</v>
      </c>
      <c r="AQ79" s="1" t="s">
        <v>153</v>
      </c>
      <c r="AR79" s="31">
        <f t="shared" si="46"/>
        <v>0</v>
      </c>
      <c r="AS79" s="31">
        <f t="shared" si="47"/>
        <v>0</v>
      </c>
      <c r="AT79" s="31">
        <f t="shared" si="36"/>
        <v>0</v>
      </c>
      <c r="AU79" s="31">
        <f t="shared" si="48"/>
        <v>0</v>
      </c>
      <c r="AV79" s="31">
        <f t="shared" si="49"/>
        <v>0</v>
      </c>
      <c r="AW79" s="31">
        <f t="shared" si="50"/>
        <v>0</v>
      </c>
      <c r="AX79" s="31">
        <f t="shared" si="51"/>
        <v>0</v>
      </c>
      <c r="AY79" s="31">
        <f t="shared" si="52"/>
        <v>0</v>
      </c>
      <c r="AZ79" s="31">
        <f t="shared" si="53"/>
        <v>0</v>
      </c>
      <c r="BA79" s="31">
        <f t="shared" si="54"/>
        <v>0</v>
      </c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41"/>
      <c r="BM79" s="41"/>
      <c r="BN79" s="41"/>
      <c r="BO79" s="37"/>
      <c r="BP79" s="38"/>
      <c r="BQ79" s="37"/>
      <c r="BR79" s="40"/>
      <c r="BS79" s="39"/>
      <c r="BT79" s="39"/>
      <c r="BU79" s="39"/>
      <c r="BV79" s="39"/>
      <c r="BW79" s="39"/>
      <c r="BX79" s="36"/>
      <c r="BY79" s="33"/>
      <c r="BZ79" s="33"/>
      <c r="CA79" s="33"/>
      <c r="CB79" s="34"/>
      <c r="CC79" s="33"/>
      <c r="CD79" s="35"/>
      <c r="CE79" s="48"/>
      <c r="CF79" s="48"/>
      <c r="CG79" s="48"/>
      <c r="CH79" s="48"/>
      <c r="CI79" s="48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35"/>
      <c r="CW79" s="35"/>
      <c r="CX79" s="35"/>
      <c r="CY79" s="35"/>
      <c r="CZ79" s="35"/>
      <c r="DA79" s="35"/>
      <c r="DB79" s="35"/>
      <c r="DC79" s="35"/>
      <c r="DD79" s="40"/>
      <c r="DE79" s="40"/>
      <c r="DF79" s="40"/>
      <c r="DG79" s="40"/>
      <c r="DH79" s="40"/>
      <c r="DI79" s="40"/>
      <c r="DJ79" s="40"/>
      <c r="DK79" s="40"/>
      <c r="DL79" s="35"/>
      <c r="DM79" s="35"/>
      <c r="DN79" s="35"/>
      <c r="DO79" s="35"/>
      <c r="DP79" s="35"/>
      <c r="DQ79" s="35"/>
      <c r="DR79" s="35"/>
      <c r="DS79" s="35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40"/>
      <c r="ES79" s="40"/>
      <c r="ET79" s="40"/>
      <c r="EU79" s="40"/>
      <c r="EV79" s="40"/>
      <c r="EW79" s="40"/>
      <c r="EX79" s="40"/>
      <c r="EY79" s="40"/>
      <c r="EZ79" s="35"/>
      <c r="FA79" s="35"/>
      <c r="FB79" s="35"/>
      <c r="FC79" s="35"/>
      <c r="FD79" s="35"/>
      <c r="FE79" s="35"/>
      <c r="FF79" s="35"/>
      <c r="FG79" s="35"/>
    </row>
    <row r="80" spans="1:163">
      <c r="A80" s="60">
        <v>141</v>
      </c>
      <c r="E80" s="63" t="s">
        <v>213</v>
      </c>
      <c r="F80" s="56" t="s">
        <v>123</v>
      </c>
      <c r="G80" s="65" t="s">
        <v>520</v>
      </c>
      <c r="H80" s="66" t="str">
        <f t="shared" si="40"/>
        <v xml:space="preserve"> 352</v>
      </c>
      <c r="I80" s="67" t="s">
        <v>520</v>
      </c>
      <c r="J80" s="68">
        <f t="shared" si="41"/>
        <v>0</v>
      </c>
      <c r="K80" s="63" t="s">
        <v>290</v>
      </c>
      <c r="L80" s="1" t="s">
        <v>46</v>
      </c>
      <c r="O80" s="64" t="s">
        <v>789</v>
      </c>
      <c r="P80" s="82">
        <v>0</v>
      </c>
      <c r="Q80" s="74">
        <f t="shared" si="55"/>
        <v>98000</v>
      </c>
      <c r="R80" s="71">
        <v>98000</v>
      </c>
      <c r="S80" s="72">
        <f t="shared" si="29"/>
        <v>8550</v>
      </c>
      <c r="T80" s="68" t="s">
        <v>791</v>
      </c>
      <c r="U80" s="73">
        <f t="shared" si="30"/>
        <v>89450</v>
      </c>
      <c r="V80" s="75">
        <f>2000+5500+600+200+250</f>
        <v>8550</v>
      </c>
      <c r="W80" s="2">
        <f t="shared" si="42"/>
        <v>98000</v>
      </c>
      <c r="Y80" s="80">
        <f t="shared" si="43"/>
        <v>98000</v>
      </c>
      <c r="Z80" s="93"/>
      <c r="AA80" s="93"/>
      <c r="AB80" s="94"/>
      <c r="AE80" s="2">
        <v>120000</v>
      </c>
      <c r="AF80" s="28">
        <f t="shared" si="37"/>
        <v>120000</v>
      </c>
      <c r="AG80" s="55" t="s">
        <v>125</v>
      </c>
      <c r="AI80" s="20" t="s">
        <v>206</v>
      </c>
      <c r="AJ80" s="2">
        <f t="shared" si="44"/>
        <v>22000</v>
      </c>
      <c r="AN80" s="29">
        <f t="shared" si="45"/>
        <v>0.18333333333333332</v>
      </c>
      <c r="AP80" s="3" t="s">
        <v>140</v>
      </c>
      <c r="AQ80" s="1" t="s">
        <v>166</v>
      </c>
      <c r="AR80" s="31">
        <f t="shared" si="46"/>
        <v>-26200</v>
      </c>
      <c r="AS80" s="31">
        <f t="shared" si="47"/>
        <v>-40491</v>
      </c>
      <c r="AT80" s="31">
        <f t="shared" si="36"/>
        <v>-23400</v>
      </c>
      <c r="AU80" s="31">
        <f t="shared" si="48"/>
        <v>-26250</v>
      </c>
      <c r="AV80" s="31">
        <f t="shared" si="49"/>
        <v>0</v>
      </c>
      <c r="AW80" s="31">
        <f t="shared" si="50"/>
        <v>-48000</v>
      </c>
      <c r="AX80" s="31">
        <f t="shared" si="51"/>
        <v>-4848</v>
      </c>
      <c r="AY80" s="31">
        <f t="shared" si="52"/>
        <v>-4536</v>
      </c>
      <c r="AZ80" s="31">
        <f t="shared" si="53"/>
        <v>-37000</v>
      </c>
      <c r="BA80" s="31">
        <f t="shared" si="54"/>
        <v>0</v>
      </c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41">
        <v>142200</v>
      </c>
      <c r="BM80" s="41">
        <v>4000</v>
      </c>
      <c r="BN80" s="41">
        <f>BL80+BM80</f>
        <v>146200</v>
      </c>
      <c r="BO80" s="37">
        <f>BN80-Y80</f>
        <v>48200</v>
      </c>
      <c r="BP80" s="38">
        <f>BO80/BL80</f>
        <v>0.33895921237693388</v>
      </c>
      <c r="BQ80" s="37">
        <f>AF80-BN80</f>
        <v>-26200</v>
      </c>
      <c r="BR80" s="40" t="s">
        <v>29</v>
      </c>
      <c r="BS80" s="39"/>
      <c r="BT80" s="39"/>
      <c r="BU80" s="39"/>
      <c r="BV80" s="39"/>
      <c r="BW80" s="39"/>
      <c r="BX80" s="36">
        <v>140400</v>
      </c>
      <c r="BY80" s="33">
        <v>3000</v>
      </c>
      <c r="BZ80" s="33">
        <f>BX80+BY80</f>
        <v>143400</v>
      </c>
      <c r="CA80" s="33">
        <f>BZ80-Y80</f>
        <v>45400</v>
      </c>
      <c r="CB80" s="34">
        <f>CA80/BX80</f>
        <v>0.32336182336182334</v>
      </c>
      <c r="CC80" s="33">
        <f>AF80-BZ80</f>
        <v>-23400</v>
      </c>
      <c r="CD80" s="35" t="s">
        <v>29</v>
      </c>
      <c r="CE80" s="48"/>
      <c r="CF80" s="48"/>
      <c r="CG80" s="48"/>
      <c r="CH80" s="48"/>
      <c r="CI80" s="48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36">
        <v>160491</v>
      </c>
      <c r="CW80" s="36">
        <f>CV80-Y80</f>
        <v>62491</v>
      </c>
      <c r="CX80" s="46">
        <f>CW80/CV80</f>
        <v>0.38937385897028493</v>
      </c>
      <c r="CY80" s="36">
        <f>AF80-CV80</f>
        <v>-40491</v>
      </c>
      <c r="CZ80" s="35" t="s">
        <v>29</v>
      </c>
      <c r="DA80" s="35"/>
      <c r="DB80" s="35"/>
      <c r="DC80" s="35"/>
      <c r="DD80" s="41">
        <v>146250</v>
      </c>
      <c r="DE80" s="37">
        <f>DD80-Y80</f>
        <v>48250</v>
      </c>
      <c r="DF80" s="38">
        <f>DE80/DD80</f>
        <v>0.32991452991452991</v>
      </c>
      <c r="DG80" s="37">
        <f>AF80-DD80</f>
        <v>-26250</v>
      </c>
      <c r="DH80" s="42" t="s">
        <v>29</v>
      </c>
      <c r="DI80" s="40"/>
      <c r="DJ80" s="40"/>
      <c r="DK80" s="40"/>
      <c r="DL80" s="36">
        <v>168000</v>
      </c>
      <c r="DM80" s="33">
        <f>DL80-Y80</f>
        <v>70000</v>
      </c>
      <c r="DN80" s="34">
        <f>DM80/DL80</f>
        <v>0.41666666666666669</v>
      </c>
      <c r="DO80" s="33">
        <f>AF80-DL80</f>
        <v>-48000</v>
      </c>
      <c r="DP80" s="43" t="s">
        <v>29</v>
      </c>
      <c r="DQ80" s="35"/>
      <c r="DR80" s="35"/>
      <c r="DS80" s="35"/>
      <c r="DT80" s="41">
        <v>121348</v>
      </c>
      <c r="DU80" s="37">
        <v>3500</v>
      </c>
      <c r="DV80" s="41">
        <f>DT80+DU80</f>
        <v>124848</v>
      </c>
      <c r="DW80" s="37">
        <f>DV80-Y80</f>
        <v>26848</v>
      </c>
      <c r="DX80" s="38">
        <f>DW80/DV80</f>
        <v>0.21504549532231193</v>
      </c>
      <c r="DY80" s="37">
        <f>AF80-DV80</f>
        <v>-4848</v>
      </c>
      <c r="DZ80" s="40" t="s">
        <v>29</v>
      </c>
      <c r="EA80" s="40"/>
      <c r="EB80" s="40"/>
      <c r="EC80" s="40"/>
      <c r="ED80" s="40"/>
      <c r="EE80" s="40"/>
      <c r="EF80" s="36">
        <v>122036</v>
      </c>
      <c r="EG80" s="33">
        <v>2500</v>
      </c>
      <c r="EH80" s="33">
        <f>EF80+EG80</f>
        <v>124536</v>
      </c>
      <c r="EI80" s="33">
        <f>EH80-Y80</f>
        <v>26536</v>
      </c>
      <c r="EJ80" s="44">
        <f>EI80/EH80</f>
        <v>0.21307894905890667</v>
      </c>
      <c r="EK80" s="45">
        <f>AF80-EH80</f>
        <v>-4536</v>
      </c>
      <c r="EL80" s="35" t="s">
        <v>29</v>
      </c>
      <c r="EM80" s="35"/>
      <c r="EN80" s="35"/>
      <c r="EO80" s="35"/>
      <c r="EP80" s="35"/>
      <c r="EQ80" s="35"/>
      <c r="ER80" s="41">
        <v>157000</v>
      </c>
      <c r="ES80" s="37">
        <f>ER80-Y80</f>
        <v>59000</v>
      </c>
      <c r="ET80" s="38">
        <f>ES80/ER80</f>
        <v>0.37579617834394907</v>
      </c>
      <c r="EU80" s="37">
        <f>AF80-ER80</f>
        <v>-37000</v>
      </c>
      <c r="EV80" s="40" t="s">
        <v>29</v>
      </c>
      <c r="EW80" s="40"/>
      <c r="EX80" s="40"/>
      <c r="EY80" s="40"/>
      <c r="EZ80" s="35"/>
      <c r="FA80" s="35"/>
      <c r="FB80" s="35"/>
      <c r="FC80" s="35"/>
      <c r="FD80" s="35"/>
      <c r="FE80" s="35"/>
      <c r="FF80" s="35"/>
      <c r="FG80" s="35"/>
    </row>
    <row r="81" spans="1:163">
      <c r="A81" s="60">
        <v>145</v>
      </c>
      <c r="E81" s="63" t="s">
        <v>213</v>
      </c>
      <c r="F81" s="56" t="s">
        <v>61</v>
      </c>
      <c r="G81" s="65" t="s">
        <v>524</v>
      </c>
      <c r="H81" s="66" t="str">
        <f t="shared" si="40"/>
        <v xml:space="preserve"> 583</v>
      </c>
      <c r="I81" s="67" t="s">
        <v>524</v>
      </c>
      <c r="J81" s="68">
        <f t="shared" si="41"/>
        <v>0</v>
      </c>
      <c r="K81" s="63" t="s">
        <v>290</v>
      </c>
      <c r="L81" s="1" t="s">
        <v>46</v>
      </c>
      <c r="O81" s="64" t="s">
        <v>789</v>
      </c>
      <c r="P81" s="82">
        <v>0</v>
      </c>
      <c r="Q81" s="74">
        <f t="shared" si="55"/>
        <v>86000</v>
      </c>
      <c r="R81" s="71">
        <v>86000</v>
      </c>
      <c r="S81" s="72">
        <f t="shared" si="29"/>
        <v>8550</v>
      </c>
      <c r="T81" s="68" t="s">
        <v>791</v>
      </c>
      <c r="U81" s="73">
        <f t="shared" si="30"/>
        <v>77450</v>
      </c>
      <c r="V81" s="75">
        <f>2000+5500+600+200+250</f>
        <v>8550</v>
      </c>
      <c r="W81" s="2">
        <f t="shared" si="42"/>
        <v>86000</v>
      </c>
      <c r="Y81" s="80">
        <f t="shared" si="43"/>
        <v>86000</v>
      </c>
      <c r="Z81" s="93"/>
      <c r="AA81" s="93"/>
      <c r="AB81" s="94"/>
      <c r="AE81" s="2">
        <v>139000</v>
      </c>
      <c r="AF81" s="28">
        <f t="shared" si="37"/>
        <v>139000</v>
      </c>
      <c r="AG81" s="55" t="s">
        <v>125</v>
      </c>
      <c r="AI81" s="20" t="s">
        <v>206</v>
      </c>
      <c r="AJ81" s="2">
        <f t="shared" si="44"/>
        <v>53000</v>
      </c>
      <c r="AN81" s="29">
        <f t="shared" si="45"/>
        <v>0.38129496402877699</v>
      </c>
      <c r="AP81" s="3" t="s">
        <v>29</v>
      </c>
      <c r="AQ81" s="1" t="s">
        <v>172</v>
      </c>
      <c r="AR81" s="31">
        <f t="shared" si="46"/>
        <v>0</v>
      </c>
      <c r="AS81" s="31">
        <f t="shared" si="47"/>
        <v>0</v>
      </c>
      <c r="AT81" s="31">
        <f t="shared" si="36"/>
        <v>0</v>
      </c>
      <c r="AU81" s="31">
        <f t="shared" si="48"/>
        <v>0</v>
      </c>
      <c r="AV81" s="31">
        <f t="shared" si="49"/>
        <v>0</v>
      </c>
      <c r="AW81" s="31">
        <f t="shared" si="50"/>
        <v>0</v>
      </c>
      <c r="AX81" s="31">
        <f t="shared" si="51"/>
        <v>0</v>
      </c>
      <c r="AY81" s="31">
        <f t="shared" si="52"/>
        <v>0</v>
      </c>
      <c r="AZ81" s="31">
        <f t="shared" si="53"/>
        <v>0</v>
      </c>
      <c r="BA81" s="31">
        <f t="shared" si="54"/>
        <v>0</v>
      </c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41"/>
      <c r="BM81" s="41"/>
      <c r="BN81" s="41"/>
      <c r="BO81" s="37"/>
      <c r="BP81" s="38"/>
      <c r="BQ81" s="37"/>
      <c r="BR81" s="40"/>
      <c r="BS81" s="39"/>
      <c r="BT81" s="39"/>
      <c r="BU81" s="39"/>
      <c r="BV81" s="39"/>
      <c r="BW81" s="39"/>
      <c r="BX81" s="36"/>
      <c r="BY81" s="33"/>
      <c r="BZ81" s="33"/>
      <c r="CA81" s="33"/>
      <c r="CB81" s="34"/>
      <c r="CC81" s="33"/>
      <c r="CD81" s="35"/>
      <c r="CE81" s="48"/>
      <c r="CF81" s="48"/>
      <c r="CG81" s="48"/>
      <c r="CH81" s="48"/>
      <c r="CI81" s="48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35"/>
      <c r="CW81" s="35"/>
      <c r="CX81" s="35"/>
      <c r="CY81" s="35"/>
      <c r="CZ81" s="35"/>
      <c r="DA81" s="35"/>
      <c r="DB81" s="35"/>
      <c r="DC81" s="35"/>
      <c r="DD81" s="40"/>
      <c r="DE81" s="40"/>
      <c r="DF81" s="40"/>
      <c r="DG81" s="40"/>
      <c r="DH81" s="40"/>
      <c r="DI81" s="40"/>
      <c r="DJ81" s="40"/>
      <c r="DK81" s="40"/>
      <c r="DL81" s="35"/>
      <c r="DM81" s="35"/>
      <c r="DN81" s="35"/>
      <c r="DO81" s="35"/>
      <c r="DP81" s="35"/>
      <c r="DQ81" s="35"/>
      <c r="DR81" s="35"/>
      <c r="DS81" s="35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40"/>
      <c r="ES81" s="40"/>
      <c r="ET81" s="40"/>
      <c r="EU81" s="40"/>
      <c r="EV81" s="40"/>
      <c r="EW81" s="40"/>
      <c r="EX81" s="40"/>
      <c r="EY81" s="40"/>
      <c r="EZ81" s="35"/>
      <c r="FA81" s="35"/>
      <c r="FB81" s="35"/>
      <c r="FC81" s="35"/>
      <c r="FD81" s="35"/>
      <c r="FE81" s="35"/>
      <c r="FF81" s="35"/>
      <c r="FG81" s="35"/>
    </row>
    <row r="82" spans="1:163">
      <c r="A82" s="60">
        <v>147</v>
      </c>
      <c r="E82" s="63" t="s">
        <v>213</v>
      </c>
      <c r="F82" s="56" t="s">
        <v>63</v>
      </c>
      <c r="G82" s="65" t="s">
        <v>526</v>
      </c>
      <c r="H82" s="66" t="str">
        <f t="shared" si="40"/>
        <v xml:space="preserve"> 523</v>
      </c>
      <c r="I82" s="67" t="s">
        <v>526</v>
      </c>
      <c r="J82" s="68">
        <f t="shared" si="41"/>
        <v>0</v>
      </c>
      <c r="K82" s="63" t="s">
        <v>290</v>
      </c>
      <c r="L82" s="1" t="s">
        <v>46</v>
      </c>
      <c r="O82" s="64" t="s">
        <v>789</v>
      </c>
      <c r="P82" s="82">
        <v>0</v>
      </c>
      <c r="Q82" s="74">
        <f t="shared" si="55"/>
        <v>98000</v>
      </c>
      <c r="R82" s="71">
        <v>98000</v>
      </c>
      <c r="S82" s="72">
        <f t="shared" si="29"/>
        <v>8550</v>
      </c>
      <c r="T82" s="68" t="s">
        <v>791</v>
      </c>
      <c r="U82" s="73">
        <f t="shared" si="30"/>
        <v>89450</v>
      </c>
      <c r="V82" s="75">
        <f>2000+5500+600+200+250</f>
        <v>8550</v>
      </c>
      <c r="W82" s="2">
        <f t="shared" si="42"/>
        <v>98000</v>
      </c>
      <c r="Y82" s="80">
        <f t="shared" si="43"/>
        <v>98000</v>
      </c>
      <c r="Z82" s="93"/>
      <c r="AA82" s="93"/>
      <c r="AB82" s="94"/>
      <c r="AE82" s="2">
        <v>115000</v>
      </c>
      <c r="AF82" s="28">
        <f t="shared" si="37"/>
        <v>115000</v>
      </c>
      <c r="AG82" s="55" t="s">
        <v>125</v>
      </c>
      <c r="AI82" s="20" t="s">
        <v>206</v>
      </c>
      <c r="AJ82" s="2">
        <f t="shared" si="44"/>
        <v>17000</v>
      </c>
      <c r="AN82" s="29">
        <f t="shared" si="45"/>
        <v>0.14782608695652175</v>
      </c>
      <c r="AP82" s="3" t="s">
        <v>29</v>
      </c>
      <c r="AQ82" s="1" t="s">
        <v>165</v>
      </c>
      <c r="AR82" s="31">
        <f t="shared" si="46"/>
        <v>0</v>
      </c>
      <c r="AS82" s="31">
        <f t="shared" si="47"/>
        <v>0</v>
      </c>
      <c r="AT82" s="31">
        <f t="shared" si="36"/>
        <v>0</v>
      </c>
      <c r="AU82" s="31">
        <f t="shared" si="48"/>
        <v>0</v>
      </c>
      <c r="AV82" s="31">
        <f t="shared" si="49"/>
        <v>0</v>
      </c>
      <c r="AW82" s="31">
        <f t="shared" si="50"/>
        <v>0</v>
      </c>
      <c r="AX82" s="31">
        <f t="shared" si="51"/>
        <v>0</v>
      </c>
      <c r="AY82" s="31">
        <f t="shared" si="52"/>
        <v>0</v>
      </c>
      <c r="AZ82" s="31">
        <f t="shared" si="53"/>
        <v>0</v>
      </c>
      <c r="BA82" s="31">
        <f t="shared" si="54"/>
        <v>0</v>
      </c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41"/>
      <c r="BM82" s="41"/>
      <c r="BN82" s="41"/>
      <c r="BO82" s="37"/>
      <c r="BP82" s="38"/>
      <c r="BQ82" s="37"/>
      <c r="BR82" s="40"/>
      <c r="BS82" s="39"/>
      <c r="BT82" s="39"/>
      <c r="BU82" s="39"/>
      <c r="BV82" s="39"/>
      <c r="BW82" s="39"/>
      <c r="BX82" s="36"/>
      <c r="BY82" s="33"/>
      <c r="BZ82" s="33"/>
      <c r="CA82" s="33"/>
      <c r="CB82" s="34"/>
      <c r="CC82" s="33"/>
      <c r="CD82" s="35"/>
      <c r="CE82" s="48"/>
      <c r="CF82" s="48"/>
      <c r="CG82" s="48"/>
      <c r="CH82" s="48"/>
      <c r="CI82" s="48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35"/>
      <c r="CW82" s="35"/>
      <c r="CX82" s="35"/>
      <c r="CY82" s="35"/>
      <c r="CZ82" s="35"/>
      <c r="DA82" s="35"/>
      <c r="DB82" s="35"/>
      <c r="DC82" s="35"/>
      <c r="DD82" s="40"/>
      <c r="DE82" s="40"/>
      <c r="DF82" s="40"/>
      <c r="DG82" s="40"/>
      <c r="DH82" s="40"/>
      <c r="DI82" s="40"/>
      <c r="DJ82" s="40"/>
      <c r="DK82" s="40"/>
      <c r="DL82" s="35"/>
      <c r="DM82" s="35"/>
      <c r="DN82" s="35"/>
      <c r="DO82" s="35"/>
      <c r="DP82" s="35"/>
      <c r="DQ82" s="35"/>
      <c r="DR82" s="35"/>
      <c r="DS82" s="35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40"/>
      <c r="ES82" s="40"/>
      <c r="ET82" s="40"/>
      <c r="EU82" s="40"/>
      <c r="EV82" s="40"/>
      <c r="EW82" s="40"/>
      <c r="EX82" s="40"/>
      <c r="EY82" s="40"/>
      <c r="EZ82" s="35"/>
      <c r="FA82" s="35"/>
      <c r="FB82" s="35"/>
      <c r="FC82" s="35"/>
      <c r="FD82" s="35"/>
      <c r="FE82" s="35"/>
      <c r="FF82" s="35"/>
      <c r="FG82" s="35"/>
    </row>
    <row r="83" spans="1:163">
      <c r="A83" s="62">
        <v>248</v>
      </c>
      <c r="E83" s="63" t="s">
        <v>219</v>
      </c>
      <c r="F83" s="56" t="s">
        <v>70</v>
      </c>
      <c r="G83" s="70" t="s">
        <v>624</v>
      </c>
      <c r="H83" s="66" t="str">
        <f t="shared" si="40"/>
        <v xml:space="preserve"> 991</v>
      </c>
      <c r="I83" s="67" t="s">
        <v>624</v>
      </c>
      <c r="J83" s="68">
        <f t="shared" si="41"/>
        <v>0</v>
      </c>
      <c r="K83" s="63" t="s">
        <v>339</v>
      </c>
      <c r="L83" s="1" t="s">
        <v>46</v>
      </c>
      <c r="O83" s="88" t="s">
        <v>790</v>
      </c>
      <c r="P83" s="89">
        <v>122000</v>
      </c>
      <c r="Q83" s="90">
        <f t="shared" si="55"/>
        <v>0</v>
      </c>
      <c r="R83" s="71"/>
      <c r="S83" s="72">
        <f t="shared" si="29"/>
        <v>0</v>
      </c>
      <c r="T83" s="68"/>
      <c r="U83" s="73">
        <f t="shared" si="30"/>
        <v>0</v>
      </c>
      <c r="V83" s="75"/>
      <c r="W83" s="2">
        <f t="shared" si="42"/>
        <v>-122000</v>
      </c>
      <c r="Y83" s="81">
        <f t="shared" si="43"/>
        <v>0</v>
      </c>
      <c r="Z83" s="96">
        <v>0</v>
      </c>
      <c r="AA83" s="97">
        <f>U83-Z83</f>
        <v>0</v>
      </c>
      <c r="AB83" s="98" t="e">
        <f>AA83/Z83</f>
        <v>#DIV/0!</v>
      </c>
      <c r="AE83" s="2">
        <v>205000</v>
      </c>
      <c r="AF83" s="28">
        <f t="shared" si="37"/>
        <v>0</v>
      </c>
      <c r="AG83" s="55" t="s">
        <v>125</v>
      </c>
      <c r="AI83" s="20" t="s">
        <v>206</v>
      </c>
      <c r="AJ83" s="2">
        <f t="shared" si="44"/>
        <v>0</v>
      </c>
      <c r="AN83" s="29" t="e">
        <f t="shared" si="45"/>
        <v>#DIV/0!</v>
      </c>
      <c r="AP83" s="3" t="s">
        <v>140</v>
      </c>
      <c r="AQ83" s="1" t="s">
        <v>186</v>
      </c>
      <c r="AR83" s="31">
        <f t="shared" si="46"/>
        <v>-208250</v>
      </c>
      <c r="AS83" s="31">
        <f t="shared" si="47"/>
        <v>-262845</v>
      </c>
      <c r="AT83" s="31">
        <f t="shared" si="36"/>
        <v>-203100</v>
      </c>
      <c r="AU83" s="31">
        <f t="shared" si="48"/>
        <v>-234225</v>
      </c>
      <c r="AV83" s="31">
        <f t="shared" si="49"/>
        <v>0</v>
      </c>
      <c r="AW83" s="31">
        <f t="shared" si="50"/>
        <v>0</v>
      </c>
      <c r="AX83" s="31">
        <f t="shared" si="51"/>
        <v>-202510</v>
      </c>
      <c r="AY83" s="31">
        <f t="shared" si="52"/>
        <v>0</v>
      </c>
      <c r="AZ83" s="31">
        <f t="shared" si="53"/>
        <v>0</v>
      </c>
      <c r="BA83" s="31">
        <f t="shared" si="54"/>
        <v>0</v>
      </c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41">
        <v>200250</v>
      </c>
      <c r="BM83" s="41">
        <v>8000</v>
      </c>
      <c r="BN83" s="41">
        <f>BL83+BM83</f>
        <v>208250</v>
      </c>
      <c r="BO83" s="41">
        <f>BN83-Y83</f>
        <v>208250</v>
      </c>
      <c r="BP83" s="41">
        <f>BO83/BL83</f>
        <v>1.0399500624219726</v>
      </c>
      <c r="BQ83" s="41">
        <f>AF83-BN83</f>
        <v>-208250</v>
      </c>
      <c r="BR83" s="41" t="s">
        <v>29</v>
      </c>
      <c r="BS83" s="39"/>
      <c r="BT83" s="39"/>
      <c r="BU83" s="39"/>
      <c r="BV83" s="39"/>
      <c r="BW83" s="39"/>
      <c r="BX83" s="36">
        <v>197100</v>
      </c>
      <c r="BY83" s="33">
        <v>6000</v>
      </c>
      <c r="BZ83" s="33">
        <f>BX83+BY83</f>
        <v>203100</v>
      </c>
      <c r="CA83" s="33">
        <f>BZ83-Y83</f>
        <v>203100</v>
      </c>
      <c r="CB83" s="34">
        <f>CA83/BX83</f>
        <v>1.030441400304414</v>
      </c>
      <c r="CC83" s="33">
        <f>AF83-BZ83</f>
        <v>-203100</v>
      </c>
      <c r="CD83" s="48"/>
      <c r="CE83" s="48"/>
      <c r="CF83" s="48"/>
      <c r="CG83" s="48"/>
      <c r="CH83" s="48"/>
      <c r="CI83" s="48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35">
        <v>262845</v>
      </c>
      <c r="CW83" s="36">
        <f>CV83-Y83</f>
        <v>262845</v>
      </c>
      <c r="CX83" s="52">
        <f>CW83/CV83</f>
        <v>1</v>
      </c>
      <c r="CY83" s="36">
        <f>AF83-CV83</f>
        <v>-262845</v>
      </c>
      <c r="CZ83" s="35" t="s">
        <v>29</v>
      </c>
      <c r="DA83" s="35"/>
      <c r="DB83" s="35"/>
      <c r="DC83" s="35"/>
      <c r="DD83" s="41">
        <v>234225</v>
      </c>
      <c r="DE83" s="37">
        <f>DD83-Y83</f>
        <v>234225</v>
      </c>
      <c r="DF83" s="38">
        <f>DE83/DD83</f>
        <v>1</v>
      </c>
      <c r="DG83" s="37">
        <f>AF83-DD83</f>
        <v>-234225</v>
      </c>
      <c r="DH83" s="42" t="s">
        <v>29</v>
      </c>
      <c r="DI83" s="40"/>
      <c r="DJ83" s="40"/>
      <c r="DK83" s="40"/>
      <c r="DL83" s="35"/>
      <c r="DM83" s="35"/>
      <c r="DN83" s="35"/>
      <c r="DO83" s="35"/>
      <c r="DP83" s="35"/>
      <c r="DQ83" s="35"/>
      <c r="DR83" s="35"/>
      <c r="DS83" s="35"/>
      <c r="DT83" s="41">
        <v>195510</v>
      </c>
      <c r="DU83" s="37">
        <v>7000</v>
      </c>
      <c r="DV83" s="41">
        <f>DT83+DU83</f>
        <v>202510</v>
      </c>
      <c r="DW83" s="37">
        <f>DV83-Y83</f>
        <v>202510</v>
      </c>
      <c r="DX83" s="38">
        <f>DW83/DV83</f>
        <v>1</v>
      </c>
      <c r="DY83" s="37">
        <f>AF83-DV83</f>
        <v>-202510</v>
      </c>
      <c r="DZ83" s="40" t="s">
        <v>103</v>
      </c>
      <c r="EA83" s="40"/>
      <c r="EB83" s="40"/>
      <c r="EC83" s="40"/>
      <c r="ED83" s="40"/>
      <c r="EE83" s="40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40"/>
      <c r="ES83" s="40"/>
      <c r="ET83" s="40"/>
      <c r="EU83" s="40"/>
      <c r="EV83" s="40"/>
      <c r="EW83" s="40"/>
      <c r="EX83" s="40"/>
      <c r="EY83" s="40"/>
      <c r="EZ83" s="35"/>
      <c r="FA83" s="35"/>
      <c r="FB83" s="35"/>
      <c r="FC83" s="35"/>
      <c r="FD83" s="35"/>
      <c r="FE83" s="35"/>
      <c r="FF83" s="35"/>
      <c r="FG83" s="35"/>
    </row>
    <row r="84" spans="1:163">
      <c r="A84" s="62">
        <v>391</v>
      </c>
      <c r="E84" s="63" t="s">
        <v>234</v>
      </c>
      <c r="F84" s="56" t="s">
        <v>87</v>
      </c>
      <c r="G84" s="70" t="s">
        <v>759</v>
      </c>
      <c r="H84" s="66" t="str">
        <f t="shared" si="40"/>
        <v xml:space="preserve"> 988</v>
      </c>
      <c r="I84" s="67" t="s">
        <v>759</v>
      </c>
      <c r="J84" s="68">
        <f t="shared" si="41"/>
        <v>0</v>
      </c>
      <c r="K84" s="63" t="s">
        <v>380</v>
      </c>
      <c r="L84" s="1" t="s">
        <v>46</v>
      </c>
      <c r="O84" s="64" t="s">
        <v>789</v>
      </c>
      <c r="P84" s="82">
        <v>0</v>
      </c>
      <c r="Q84" s="74">
        <f t="shared" si="55"/>
        <v>65000</v>
      </c>
      <c r="R84" s="71">
        <v>65000</v>
      </c>
      <c r="S84" s="72">
        <f t="shared" si="29"/>
        <v>7900</v>
      </c>
      <c r="T84" s="68"/>
      <c r="U84" s="73">
        <f t="shared" si="30"/>
        <v>57100</v>
      </c>
      <c r="V84" s="73">
        <f>2000+4850+600+200+250</f>
        <v>7900</v>
      </c>
      <c r="W84" s="2">
        <f t="shared" si="42"/>
        <v>65000</v>
      </c>
      <c r="Y84" s="80">
        <f t="shared" si="43"/>
        <v>65000</v>
      </c>
      <c r="Z84" s="93"/>
      <c r="AA84" s="93"/>
      <c r="AB84" s="94"/>
      <c r="AC84" s="2">
        <v>3500</v>
      </c>
      <c r="AD84" s="2">
        <f>Z84+AC84</f>
        <v>3500</v>
      </c>
      <c r="AF84" s="28">
        <f t="shared" si="37"/>
        <v>0</v>
      </c>
      <c r="AG84" s="55" t="s">
        <v>125</v>
      </c>
      <c r="AI84" s="20" t="s">
        <v>206</v>
      </c>
      <c r="AJ84" s="2">
        <f t="shared" si="44"/>
        <v>-65000</v>
      </c>
      <c r="AN84" s="29" t="e">
        <f t="shared" si="45"/>
        <v>#DIV/0!</v>
      </c>
      <c r="AO84" s="29" t="e">
        <f>AN84-AB84</f>
        <v>#DIV/0!</v>
      </c>
      <c r="AP84" s="3" t="s">
        <v>140</v>
      </c>
      <c r="AQ84" s="1" t="s">
        <v>199</v>
      </c>
      <c r="AR84" s="31">
        <f t="shared" si="46"/>
        <v>0</v>
      </c>
      <c r="AS84" s="31">
        <f t="shared" si="47"/>
        <v>0</v>
      </c>
      <c r="AT84" s="31">
        <f t="shared" si="36"/>
        <v>0</v>
      </c>
      <c r="AU84" s="31">
        <f t="shared" si="48"/>
        <v>0</v>
      </c>
      <c r="AV84" s="31">
        <f t="shared" si="49"/>
        <v>0</v>
      </c>
      <c r="AW84" s="31">
        <f t="shared" si="50"/>
        <v>0</v>
      </c>
      <c r="AX84" s="31">
        <f t="shared" si="51"/>
        <v>0</v>
      </c>
      <c r="AY84" s="31">
        <f t="shared" si="52"/>
        <v>0</v>
      </c>
      <c r="AZ84" s="31">
        <f t="shared" si="53"/>
        <v>0</v>
      </c>
      <c r="BA84" s="31">
        <f t="shared" si="54"/>
        <v>0</v>
      </c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35"/>
      <c r="CW84" s="35"/>
      <c r="CX84" s="35"/>
      <c r="CY84" s="35"/>
      <c r="CZ84" s="35"/>
      <c r="DA84" s="35"/>
      <c r="DB84" s="35"/>
      <c r="DC84" s="35"/>
      <c r="DD84" s="40"/>
      <c r="DE84" s="40"/>
      <c r="DF84" s="40"/>
      <c r="DG84" s="40"/>
      <c r="DH84" s="40"/>
      <c r="DI84" s="40"/>
      <c r="DJ84" s="40"/>
      <c r="DK84" s="40"/>
      <c r="DL84" s="35"/>
      <c r="DM84" s="35"/>
      <c r="DN84" s="35"/>
      <c r="DO84" s="35"/>
      <c r="DP84" s="35"/>
      <c r="DQ84" s="35"/>
      <c r="DR84" s="35"/>
      <c r="DS84" s="35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40"/>
      <c r="ES84" s="40"/>
      <c r="ET84" s="40"/>
      <c r="EU84" s="40"/>
      <c r="EV84" s="40"/>
      <c r="EW84" s="40"/>
      <c r="EX84" s="40"/>
      <c r="EY84" s="40"/>
      <c r="EZ84" s="35"/>
      <c r="FA84" s="35"/>
      <c r="FB84" s="35"/>
      <c r="FC84" s="35"/>
      <c r="FD84" s="35"/>
      <c r="FE84" s="35"/>
      <c r="FF84" s="35"/>
      <c r="FG84" s="35"/>
    </row>
    <row r="85" spans="1:163">
      <c r="A85" s="62">
        <v>392</v>
      </c>
      <c r="E85" s="63" t="s">
        <v>234</v>
      </c>
      <c r="F85" s="56" t="s">
        <v>87</v>
      </c>
      <c r="G85" s="70" t="s">
        <v>760</v>
      </c>
      <c r="H85" s="66" t="str">
        <f t="shared" si="40"/>
        <v xml:space="preserve"> 883</v>
      </c>
      <c r="I85" s="67" t="s">
        <v>760</v>
      </c>
      <c r="J85" s="68">
        <f t="shared" si="41"/>
        <v>0</v>
      </c>
      <c r="K85" s="63" t="s">
        <v>380</v>
      </c>
      <c r="L85" s="1" t="s">
        <v>46</v>
      </c>
      <c r="O85" s="64" t="s">
        <v>789</v>
      </c>
      <c r="P85" s="82">
        <v>0</v>
      </c>
      <c r="Q85" s="74">
        <f t="shared" si="55"/>
        <v>65000</v>
      </c>
      <c r="R85" s="71">
        <v>65000</v>
      </c>
      <c r="S85" s="72">
        <f t="shared" si="29"/>
        <v>7900</v>
      </c>
      <c r="T85" s="68"/>
      <c r="U85" s="73">
        <f t="shared" si="30"/>
        <v>57100</v>
      </c>
      <c r="V85" s="73">
        <f>2000+4850+600+200+250</f>
        <v>7900</v>
      </c>
      <c r="W85" s="2">
        <f t="shared" si="42"/>
        <v>65000</v>
      </c>
      <c r="Y85" s="80">
        <f t="shared" si="43"/>
        <v>65000</v>
      </c>
      <c r="Z85" s="93"/>
      <c r="AA85" s="93"/>
      <c r="AB85" s="94"/>
      <c r="AE85" s="2">
        <v>87000</v>
      </c>
      <c r="AF85" s="28">
        <f t="shared" si="37"/>
        <v>87000</v>
      </c>
      <c r="AG85" s="55" t="s">
        <v>125</v>
      </c>
      <c r="AI85" s="20" t="s">
        <v>206</v>
      </c>
      <c r="AJ85" s="2">
        <f t="shared" si="44"/>
        <v>22000</v>
      </c>
      <c r="AN85" s="29">
        <f t="shared" si="45"/>
        <v>0.25287356321839083</v>
      </c>
      <c r="AP85" s="3" t="s">
        <v>140</v>
      </c>
      <c r="AQ85" s="1" t="s">
        <v>199</v>
      </c>
      <c r="AR85" s="31">
        <f t="shared" si="46"/>
        <v>0</v>
      </c>
      <c r="AS85" s="31">
        <f t="shared" si="47"/>
        <v>0</v>
      </c>
      <c r="AT85" s="31">
        <f t="shared" si="36"/>
        <v>0</v>
      </c>
      <c r="AU85" s="31">
        <f t="shared" si="48"/>
        <v>0</v>
      </c>
      <c r="AV85" s="31">
        <f t="shared" si="49"/>
        <v>0</v>
      </c>
      <c r="AW85" s="31">
        <f t="shared" si="50"/>
        <v>0</v>
      </c>
      <c r="AX85" s="31">
        <f t="shared" si="51"/>
        <v>0</v>
      </c>
      <c r="AY85" s="31">
        <f t="shared" si="52"/>
        <v>0</v>
      </c>
      <c r="AZ85" s="31">
        <f t="shared" si="53"/>
        <v>0</v>
      </c>
      <c r="BA85" s="31">
        <f t="shared" si="54"/>
        <v>0</v>
      </c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35"/>
      <c r="CW85" s="35"/>
      <c r="CX85" s="35"/>
      <c r="CY85" s="35"/>
      <c r="CZ85" s="35"/>
      <c r="DA85" s="35"/>
      <c r="DB85" s="35"/>
      <c r="DC85" s="35"/>
      <c r="DD85" s="40"/>
      <c r="DE85" s="40"/>
      <c r="DF85" s="40"/>
      <c r="DG85" s="40"/>
      <c r="DH85" s="40"/>
      <c r="DI85" s="40"/>
      <c r="DJ85" s="40"/>
      <c r="DK85" s="40"/>
      <c r="DL85" s="35"/>
      <c r="DM85" s="35"/>
      <c r="DN85" s="35"/>
      <c r="DO85" s="35"/>
      <c r="DP85" s="35"/>
      <c r="DQ85" s="35"/>
      <c r="DR85" s="35"/>
      <c r="DS85" s="35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40"/>
      <c r="ES85" s="40"/>
      <c r="ET85" s="40"/>
      <c r="EU85" s="40"/>
      <c r="EV85" s="40"/>
      <c r="EW85" s="40"/>
      <c r="EX85" s="40"/>
      <c r="EY85" s="40"/>
      <c r="EZ85" s="35"/>
      <c r="FA85" s="35"/>
      <c r="FB85" s="35"/>
      <c r="FC85" s="35"/>
      <c r="FD85" s="35"/>
      <c r="FE85" s="35"/>
      <c r="FF85" s="35"/>
      <c r="FG85" s="35"/>
    </row>
    <row r="86" spans="1:163">
      <c r="A86" s="62">
        <v>401</v>
      </c>
      <c r="E86" s="63" t="s">
        <v>234</v>
      </c>
      <c r="F86" s="56" t="s">
        <v>88</v>
      </c>
      <c r="G86" s="70" t="s">
        <v>769</v>
      </c>
      <c r="H86" s="66" t="str">
        <f t="shared" si="40"/>
        <v xml:space="preserve"> 371</v>
      </c>
      <c r="I86" s="67" t="s">
        <v>769</v>
      </c>
      <c r="J86" s="68">
        <f t="shared" si="41"/>
        <v>0</v>
      </c>
      <c r="K86" s="63" t="s">
        <v>380</v>
      </c>
      <c r="L86" s="1" t="s">
        <v>46</v>
      </c>
      <c r="O86" s="64" t="s">
        <v>789</v>
      </c>
      <c r="P86" s="82">
        <v>0</v>
      </c>
      <c r="Q86" s="74">
        <f t="shared" si="55"/>
        <v>65000</v>
      </c>
      <c r="R86" s="71">
        <v>65000</v>
      </c>
      <c r="S86" s="72">
        <f t="shared" si="29"/>
        <v>7900</v>
      </c>
      <c r="T86" s="68"/>
      <c r="U86" s="73">
        <f t="shared" si="30"/>
        <v>57100</v>
      </c>
      <c r="V86" s="73">
        <f>2000+4850+600+200+250</f>
        <v>7900</v>
      </c>
      <c r="W86" s="2">
        <f t="shared" si="42"/>
        <v>65000</v>
      </c>
      <c r="Y86" s="80">
        <f t="shared" si="43"/>
        <v>65000</v>
      </c>
      <c r="Z86" s="93"/>
      <c r="AA86" s="93"/>
      <c r="AB86" s="94"/>
      <c r="AE86" s="2">
        <v>80000</v>
      </c>
      <c r="AF86" s="28">
        <f t="shared" si="37"/>
        <v>80000</v>
      </c>
      <c r="AG86" s="55" t="s">
        <v>125</v>
      </c>
      <c r="AI86" s="20" t="s">
        <v>206</v>
      </c>
      <c r="AJ86" s="2">
        <f t="shared" si="44"/>
        <v>15000</v>
      </c>
      <c r="AN86" s="29">
        <f t="shared" si="45"/>
        <v>0.1875</v>
      </c>
      <c r="AP86" s="3" t="s">
        <v>140</v>
      </c>
      <c r="AQ86" s="1" t="s">
        <v>199</v>
      </c>
      <c r="AR86" s="31">
        <f t="shared" si="46"/>
        <v>0</v>
      </c>
      <c r="AS86" s="31">
        <f t="shared" si="47"/>
        <v>0</v>
      </c>
      <c r="AT86" s="31">
        <f t="shared" si="36"/>
        <v>0</v>
      </c>
      <c r="AU86" s="31">
        <f t="shared" si="48"/>
        <v>0</v>
      </c>
      <c r="AV86" s="31">
        <f t="shared" si="49"/>
        <v>0</v>
      </c>
      <c r="AW86" s="31">
        <f t="shared" si="50"/>
        <v>0</v>
      </c>
      <c r="AX86" s="31">
        <f t="shared" si="51"/>
        <v>0</v>
      </c>
      <c r="AY86" s="31">
        <f t="shared" si="52"/>
        <v>0</v>
      </c>
      <c r="AZ86" s="31">
        <f t="shared" si="53"/>
        <v>0</v>
      </c>
      <c r="BA86" s="31">
        <f t="shared" si="54"/>
        <v>0</v>
      </c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35"/>
      <c r="CW86" s="35"/>
      <c r="CX86" s="35"/>
      <c r="CY86" s="35"/>
      <c r="CZ86" s="35"/>
      <c r="DA86" s="35"/>
      <c r="DB86" s="35"/>
      <c r="DC86" s="35"/>
      <c r="DD86" s="40"/>
      <c r="DE86" s="40"/>
      <c r="DF86" s="40"/>
      <c r="DG86" s="40"/>
      <c r="DH86" s="40"/>
      <c r="DI86" s="40"/>
      <c r="DJ86" s="40"/>
      <c r="DK86" s="40"/>
      <c r="DL86" s="35"/>
      <c r="DM86" s="35"/>
      <c r="DN86" s="35"/>
      <c r="DO86" s="35"/>
      <c r="DP86" s="35"/>
      <c r="DQ86" s="35"/>
      <c r="DR86" s="35"/>
      <c r="DS86" s="35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40"/>
      <c r="ES86" s="40"/>
      <c r="ET86" s="40"/>
      <c r="EU86" s="40"/>
      <c r="EV86" s="40"/>
      <c r="EW86" s="40"/>
      <c r="EX86" s="40"/>
      <c r="EY86" s="40"/>
      <c r="EZ86" s="35"/>
      <c r="FA86" s="35"/>
      <c r="FB86" s="35"/>
      <c r="FC86" s="35"/>
      <c r="FD86" s="35"/>
      <c r="FE86" s="35"/>
      <c r="FF86" s="35"/>
      <c r="FG86" s="35"/>
    </row>
    <row r="87" spans="1:163">
      <c r="A87" s="62">
        <v>25</v>
      </c>
      <c r="E87" s="63" t="s">
        <v>114</v>
      </c>
      <c r="F87" s="56" t="s">
        <v>114</v>
      </c>
      <c r="G87" s="70" t="s">
        <v>407</v>
      </c>
      <c r="H87" s="66" t="str">
        <f t="shared" si="40"/>
        <v xml:space="preserve"> 271</v>
      </c>
      <c r="I87" s="67" t="s">
        <v>407</v>
      </c>
      <c r="J87" s="68">
        <f t="shared" si="41"/>
        <v>0</v>
      </c>
      <c r="K87" s="63" t="s">
        <v>256</v>
      </c>
      <c r="L87" s="1" t="s">
        <v>46</v>
      </c>
      <c r="O87" s="64" t="s">
        <v>789</v>
      </c>
      <c r="P87" s="82">
        <v>0</v>
      </c>
      <c r="Q87" s="74">
        <f t="shared" si="55"/>
        <v>71000</v>
      </c>
      <c r="R87" s="71">
        <v>71000</v>
      </c>
      <c r="S87" s="72">
        <f t="shared" ref="S87:S150" si="56">R87-U87</f>
        <v>8250</v>
      </c>
      <c r="T87" s="68"/>
      <c r="U87" s="73">
        <f t="shared" ref="U87:U150" si="57">R87-V87</f>
        <v>62750</v>
      </c>
      <c r="V87" s="73">
        <f>2000+5200+600+200+250</f>
        <v>8250</v>
      </c>
      <c r="W87" s="2">
        <f t="shared" si="42"/>
        <v>71000</v>
      </c>
      <c r="Y87" s="80">
        <f t="shared" si="43"/>
        <v>71000</v>
      </c>
      <c r="Z87" s="93"/>
      <c r="AA87" s="93"/>
      <c r="AB87" s="94"/>
      <c r="AE87" s="2">
        <v>107000</v>
      </c>
      <c r="AF87" s="28">
        <f t="shared" si="37"/>
        <v>107000</v>
      </c>
      <c r="AG87" s="55" t="s">
        <v>125</v>
      </c>
      <c r="AI87" s="20" t="s">
        <v>206</v>
      </c>
      <c r="AJ87" s="2">
        <f t="shared" si="44"/>
        <v>36000</v>
      </c>
      <c r="AK87" s="2">
        <f>AVERAGE(AF87,AF86,AF85,AF84,AF82,AF81,AF80,AF79,AF78)</f>
        <v>84222.222222222219</v>
      </c>
      <c r="AL87" s="2">
        <f>MIN(AF87,AF86,AF85,AF84,AF82,AF81,AF80,AF79,AF78)</f>
        <v>0</v>
      </c>
      <c r="AM87" s="2">
        <f>MAX(AF87,AF86,AF85,AF84,AF82,AF81,AF80,AF79,AF78)</f>
        <v>139000</v>
      </c>
      <c r="AN87" s="29">
        <f t="shared" si="45"/>
        <v>0.3364485981308411</v>
      </c>
      <c r="AP87" s="3" t="s">
        <v>29</v>
      </c>
      <c r="AQ87" s="1" t="s">
        <v>154</v>
      </c>
      <c r="AR87" s="31">
        <f t="shared" si="46"/>
        <v>0</v>
      </c>
      <c r="AS87" s="31">
        <f t="shared" si="47"/>
        <v>0</v>
      </c>
      <c r="AT87" s="31">
        <f t="shared" si="36"/>
        <v>0</v>
      </c>
      <c r="AU87" s="31">
        <f t="shared" si="48"/>
        <v>0</v>
      </c>
      <c r="AV87" s="31">
        <f t="shared" si="49"/>
        <v>0</v>
      </c>
      <c r="AW87" s="31">
        <f t="shared" si="50"/>
        <v>0</v>
      </c>
      <c r="AX87" s="31">
        <f t="shared" si="51"/>
        <v>0</v>
      </c>
      <c r="AY87" s="31">
        <f t="shared" si="52"/>
        <v>0</v>
      </c>
      <c r="AZ87" s="31">
        <f t="shared" si="53"/>
        <v>0</v>
      </c>
      <c r="BA87" s="31">
        <f t="shared" si="54"/>
        <v>0</v>
      </c>
      <c r="BB87" s="32">
        <f>IF(BS87&lt;&gt;"", AK87-BS87, 0)</f>
        <v>-32127.777777777781</v>
      </c>
      <c r="BC87" s="32">
        <f>IF(DA87&lt;&gt;"", AK87-DA87, 0)</f>
        <v>-18386.777777777781</v>
      </c>
      <c r="BD87" s="32">
        <f>IF(CE87&lt;&gt;"", AK87-CE87, )</f>
        <v>-31327.777777777781</v>
      </c>
      <c r="BE87" s="32">
        <f>IF(DI87&lt;&gt;"", AK87-DI87, 0)</f>
        <v>0</v>
      </c>
      <c r="BF87" s="32">
        <f>IF(CQ87&lt;&gt;"",AK87-CQ87, 0)</f>
        <v>0</v>
      </c>
      <c r="BG87" s="32">
        <f>IF(DQ87&lt;&gt;"", AK87-DQ87, 0)</f>
        <v>-22614.777777777781</v>
      </c>
      <c r="BH87" s="32">
        <f>IF(EA87&lt;&gt;"", AK87-EA87, 0)</f>
        <v>-24099.777777777781</v>
      </c>
      <c r="BI87" s="32">
        <f>IF(EM87&lt;&gt;"", AK87-EM87, 0)</f>
        <v>0</v>
      </c>
      <c r="BJ87" s="32">
        <f>IF(EW87&lt;&gt;"", AK87-EW87, 0)</f>
        <v>-43777.777777777781</v>
      </c>
      <c r="BK87" s="32">
        <f>IF(FE87&lt;&gt;"", AK87-FE87, 0)</f>
        <v>0</v>
      </c>
      <c r="BL87" s="41"/>
      <c r="BM87" s="41"/>
      <c r="BN87" s="41"/>
      <c r="BO87" s="37"/>
      <c r="BP87" s="38"/>
      <c r="BQ87" s="37"/>
      <c r="BR87" s="40"/>
      <c r="BS87" s="41">
        <f>BU87+BT87</f>
        <v>116350</v>
      </c>
      <c r="BT87" s="41">
        <v>2500</v>
      </c>
      <c r="BU87" s="41">
        <v>113850</v>
      </c>
      <c r="BV87" s="41">
        <v>132750</v>
      </c>
      <c r="BW87" s="41">
        <v>105750</v>
      </c>
      <c r="BX87" s="36"/>
      <c r="BY87" s="33"/>
      <c r="BZ87" s="33"/>
      <c r="CA87" s="33"/>
      <c r="CB87" s="34"/>
      <c r="CC87" s="33"/>
      <c r="CD87" s="35"/>
      <c r="CE87" s="36">
        <f>CG87+CF87</f>
        <v>115550</v>
      </c>
      <c r="CF87" s="36">
        <v>3500</v>
      </c>
      <c r="CG87" s="36">
        <v>112050</v>
      </c>
      <c r="CH87" s="36">
        <v>124200</v>
      </c>
      <c r="CI87" s="36">
        <v>101250</v>
      </c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35"/>
      <c r="CW87" s="35"/>
      <c r="CX87" s="35"/>
      <c r="CY87" s="35"/>
      <c r="CZ87" s="35"/>
      <c r="DA87" s="36">
        <v>102609</v>
      </c>
      <c r="DB87" s="36">
        <v>116100</v>
      </c>
      <c r="DC87" s="36">
        <v>87480</v>
      </c>
      <c r="DD87" s="40"/>
      <c r="DE87" s="40"/>
      <c r="DF87" s="40"/>
      <c r="DG87" s="40"/>
      <c r="DH87" s="40"/>
      <c r="DI87" s="40"/>
      <c r="DJ87" s="40"/>
      <c r="DK87" s="40"/>
      <c r="DL87" s="35"/>
      <c r="DM87" s="35"/>
      <c r="DN87" s="35"/>
      <c r="DO87" s="35"/>
      <c r="DP87" s="35"/>
      <c r="DQ87" s="36">
        <v>106837</v>
      </c>
      <c r="DR87" s="36">
        <v>111300</v>
      </c>
      <c r="DS87" s="36">
        <v>97912</v>
      </c>
      <c r="DT87" s="40"/>
      <c r="DU87" s="40"/>
      <c r="DV87" s="40"/>
      <c r="DW87" s="40"/>
      <c r="DX87" s="40"/>
      <c r="DY87" s="40"/>
      <c r="DZ87" s="40"/>
      <c r="EA87" s="41">
        <f>EC87+EB87</f>
        <v>108322</v>
      </c>
      <c r="EB87" s="41">
        <v>2500</v>
      </c>
      <c r="EC87" s="41">
        <v>105822</v>
      </c>
      <c r="ED87" s="41">
        <v>120277</v>
      </c>
      <c r="EE87" s="41">
        <v>92347</v>
      </c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40"/>
      <c r="ES87" s="40"/>
      <c r="ET87" s="40"/>
      <c r="EU87" s="40"/>
      <c r="EV87" s="40"/>
      <c r="EW87" s="41">
        <v>128000</v>
      </c>
      <c r="EX87" s="41">
        <v>142000</v>
      </c>
      <c r="EY87" s="41">
        <v>115999</v>
      </c>
      <c r="EZ87" s="35"/>
      <c r="FA87" s="35"/>
      <c r="FB87" s="35"/>
      <c r="FC87" s="35"/>
      <c r="FD87" s="35"/>
      <c r="FE87" s="35"/>
      <c r="FF87" s="35"/>
      <c r="FG87" s="35"/>
    </row>
    <row r="88" spans="1:163">
      <c r="A88" s="62">
        <v>27</v>
      </c>
      <c r="E88" s="63" t="s">
        <v>114</v>
      </c>
      <c r="F88" s="56" t="s">
        <v>113</v>
      </c>
      <c r="G88" s="70" t="s">
        <v>409</v>
      </c>
      <c r="H88" s="66" t="str">
        <f t="shared" si="40"/>
        <v xml:space="preserve"> 476</v>
      </c>
      <c r="I88" s="67" t="s">
        <v>409</v>
      </c>
      <c r="J88" s="68">
        <f t="shared" si="41"/>
        <v>0</v>
      </c>
      <c r="K88" s="63" t="s">
        <v>256</v>
      </c>
      <c r="L88" s="1" t="s">
        <v>46</v>
      </c>
      <c r="O88" s="64" t="s">
        <v>789</v>
      </c>
      <c r="P88" s="82">
        <v>0</v>
      </c>
      <c r="Q88" s="74">
        <f t="shared" si="55"/>
        <v>69000</v>
      </c>
      <c r="R88" s="71">
        <v>69000</v>
      </c>
      <c r="S88" s="72">
        <f t="shared" si="56"/>
        <v>8250</v>
      </c>
      <c r="T88" s="68"/>
      <c r="U88" s="73">
        <f t="shared" si="57"/>
        <v>60750</v>
      </c>
      <c r="V88" s="73">
        <f>2000+5200+600+200+250</f>
        <v>8250</v>
      </c>
      <c r="W88" s="2">
        <f t="shared" si="42"/>
        <v>69000</v>
      </c>
      <c r="Y88" s="80">
        <f t="shared" si="43"/>
        <v>69000</v>
      </c>
      <c r="Z88" s="93"/>
      <c r="AA88" s="93"/>
      <c r="AB88" s="94"/>
      <c r="AE88" s="2">
        <v>99000</v>
      </c>
      <c r="AF88" s="28">
        <f t="shared" si="37"/>
        <v>99000</v>
      </c>
      <c r="AG88" s="55" t="s">
        <v>125</v>
      </c>
      <c r="AI88" s="20" t="s">
        <v>45</v>
      </c>
      <c r="AJ88" s="2">
        <f t="shared" si="44"/>
        <v>30000</v>
      </c>
      <c r="AN88" s="29">
        <f t="shared" si="45"/>
        <v>0.30303030303030304</v>
      </c>
      <c r="AP88" s="3" t="s">
        <v>29</v>
      </c>
      <c r="AQ88" s="1" t="s">
        <v>148</v>
      </c>
      <c r="AR88" s="31">
        <f t="shared" si="46"/>
        <v>0</v>
      </c>
      <c r="AS88" s="31">
        <f t="shared" si="47"/>
        <v>0</v>
      </c>
      <c r="AT88" s="31">
        <f t="shared" si="36"/>
        <v>0</v>
      </c>
      <c r="AU88" s="31">
        <f t="shared" si="48"/>
        <v>0</v>
      </c>
      <c r="AV88" s="31">
        <f t="shared" si="49"/>
        <v>0</v>
      </c>
      <c r="AW88" s="31">
        <f t="shared" si="50"/>
        <v>0</v>
      </c>
      <c r="AX88" s="31">
        <f t="shared" si="51"/>
        <v>0</v>
      </c>
      <c r="AY88" s="31">
        <f t="shared" si="52"/>
        <v>0</v>
      </c>
      <c r="AZ88" s="31">
        <f t="shared" si="53"/>
        <v>0</v>
      </c>
      <c r="BA88" s="31">
        <f t="shared" si="54"/>
        <v>0</v>
      </c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41"/>
      <c r="BM88" s="41"/>
      <c r="BN88" s="41"/>
      <c r="BO88" s="37"/>
      <c r="BP88" s="38"/>
      <c r="BQ88" s="37"/>
      <c r="BR88" s="40"/>
      <c r="BS88" s="39"/>
      <c r="BT88" s="39"/>
      <c r="BU88" s="39"/>
      <c r="BV88" s="39"/>
      <c r="BW88" s="39"/>
      <c r="BX88" s="36"/>
      <c r="BY88" s="33"/>
      <c r="BZ88" s="33"/>
      <c r="CA88" s="33"/>
      <c r="CB88" s="34"/>
      <c r="CC88" s="33"/>
      <c r="CD88" s="35"/>
      <c r="CE88" s="48"/>
      <c r="CF88" s="48"/>
      <c r="CG88" s="48"/>
      <c r="CH88" s="48"/>
      <c r="CI88" s="48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35"/>
      <c r="CW88" s="35"/>
      <c r="CX88" s="35"/>
      <c r="CY88" s="35"/>
      <c r="CZ88" s="35"/>
      <c r="DA88" s="35"/>
      <c r="DB88" s="35"/>
      <c r="DC88" s="35"/>
      <c r="DD88" s="40"/>
      <c r="DE88" s="40"/>
      <c r="DF88" s="40"/>
      <c r="DG88" s="40"/>
      <c r="DH88" s="40"/>
      <c r="DI88" s="40"/>
      <c r="DJ88" s="40"/>
      <c r="DK88" s="40"/>
      <c r="DL88" s="35"/>
      <c r="DM88" s="35"/>
      <c r="DN88" s="35"/>
      <c r="DO88" s="35"/>
      <c r="DP88" s="35"/>
      <c r="DQ88" s="35"/>
      <c r="DR88" s="35"/>
      <c r="DS88" s="35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40"/>
      <c r="ES88" s="40"/>
      <c r="ET88" s="40"/>
      <c r="EU88" s="40"/>
      <c r="EV88" s="40"/>
      <c r="EW88" s="40"/>
      <c r="EX88" s="40"/>
      <c r="EY88" s="40"/>
      <c r="EZ88" s="35"/>
      <c r="FA88" s="35"/>
      <c r="FB88" s="35"/>
      <c r="FC88" s="35"/>
      <c r="FD88" s="35"/>
      <c r="FE88" s="35"/>
      <c r="FF88" s="35"/>
      <c r="FG88" s="35"/>
    </row>
    <row r="89" spans="1:163">
      <c r="A89" s="62">
        <v>29</v>
      </c>
      <c r="E89" s="63" t="s">
        <v>114</v>
      </c>
      <c r="F89" s="56" t="s">
        <v>54</v>
      </c>
      <c r="G89" s="70" t="s">
        <v>411</v>
      </c>
      <c r="H89" s="66" t="str">
        <f t="shared" si="40"/>
        <v xml:space="preserve"> 222</v>
      </c>
      <c r="I89" s="67" t="s">
        <v>411</v>
      </c>
      <c r="J89" s="68">
        <f t="shared" si="41"/>
        <v>0</v>
      </c>
      <c r="K89" s="63" t="s">
        <v>256</v>
      </c>
      <c r="L89" s="1" t="s">
        <v>46</v>
      </c>
      <c r="O89" s="64" t="s">
        <v>789</v>
      </c>
      <c r="P89" s="82">
        <v>0</v>
      </c>
      <c r="Q89" s="74">
        <f t="shared" si="55"/>
        <v>72000</v>
      </c>
      <c r="R89" s="71">
        <f>72000</f>
        <v>72000</v>
      </c>
      <c r="S89" s="72">
        <f t="shared" si="56"/>
        <v>8250</v>
      </c>
      <c r="T89" s="68"/>
      <c r="U89" s="73">
        <f t="shared" si="57"/>
        <v>63750</v>
      </c>
      <c r="V89" s="73">
        <f>2000+5200+600+200+250</f>
        <v>8250</v>
      </c>
      <c r="W89" s="2">
        <f t="shared" si="42"/>
        <v>72000</v>
      </c>
      <c r="Y89" s="80">
        <f t="shared" si="43"/>
        <v>72000</v>
      </c>
      <c r="Z89" s="93"/>
      <c r="AA89" s="93"/>
      <c r="AB89" s="94"/>
      <c r="AC89" s="2">
        <v>3000</v>
      </c>
      <c r="AD89" s="2">
        <f>Z89+AC89</f>
        <v>3000</v>
      </c>
      <c r="AF89" s="28">
        <f t="shared" si="37"/>
        <v>0</v>
      </c>
      <c r="AG89" s="55" t="s">
        <v>125</v>
      </c>
      <c r="AI89" s="20" t="s">
        <v>45</v>
      </c>
      <c r="AJ89" s="2">
        <f t="shared" si="44"/>
        <v>-72000</v>
      </c>
      <c r="AN89" s="29" t="e">
        <f t="shared" si="45"/>
        <v>#DIV/0!</v>
      </c>
      <c r="AP89" s="3" t="s">
        <v>29</v>
      </c>
      <c r="AQ89" s="1" t="s">
        <v>148</v>
      </c>
      <c r="AR89" s="31">
        <f t="shared" si="46"/>
        <v>0</v>
      </c>
      <c r="AS89" s="31">
        <f t="shared" si="47"/>
        <v>0</v>
      </c>
      <c r="AT89" s="31">
        <f t="shared" si="36"/>
        <v>0</v>
      </c>
      <c r="AU89" s="31">
        <f t="shared" si="48"/>
        <v>0</v>
      </c>
      <c r="AV89" s="31">
        <f t="shared" si="49"/>
        <v>0</v>
      </c>
      <c r="AW89" s="31">
        <f t="shared" si="50"/>
        <v>0</v>
      </c>
      <c r="AX89" s="31">
        <f t="shared" si="51"/>
        <v>0</v>
      </c>
      <c r="AY89" s="31">
        <f t="shared" si="52"/>
        <v>0</v>
      </c>
      <c r="AZ89" s="31">
        <f t="shared" si="53"/>
        <v>0</v>
      </c>
      <c r="BA89" s="31">
        <f t="shared" si="54"/>
        <v>0</v>
      </c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41"/>
      <c r="BM89" s="41"/>
      <c r="BN89" s="41"/>
      <c r="BO89" s="37"/>
      <c r="BP89" s="38"/>
      <c r="BQ89" s="37"/>
      <c r="BR89" s="40"/>
      <c r="BS89" s="39"/>
      <c r="BT89" s="39"/>
      <c r="BU89" s="39"/>
      <c r="BV89" s="39"/>
      <c r="BW89" s="39"/>
      <c r="BX89" s="36"/>
      <c r="BY89" s="33"/>
      <c r="BZ89" s="33"/>
      <c r="CA89" s="33"/>
      <c r="CB89" s="34"/>
      <c r="CC89" s="33"/>
      <c r="CD89" s="35"/>
      <c r="CE89" s="48"/>
      <c r="CF89" s="48"/>
      <c r="CG89" s="48"/>
      <c r="CH89" s="48"/>
      <c r="CI89" s="48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35"/>
      <c r="CW89" s="35"/>
      <c r="CX89" s="35"/>
      <c r="CY89" s="35"/>
      <c r="CZ89" s="35"/>
      <c r="DA89" s="35"/>
      <c r="DB89" s="35"/>
      <c r="DC89" s="35"/>
      <c r="DD89" s="40"/>
      <c r="DE89" s="40"/>
      <c r="DF89" s="40"/>
      <c r="DG89" s="40"/>
      <c r="DH89" s="40"/>
      <c r="DI89" s="40"/>
      <c r="DJ89" s="40"/>
      <c r="DK89" s="40"/>
      <c r="DL89" s="35"/>
      <c r="DM89" s="35"/>
      <c r="DN89" s="35"/>
      <c r="DO89" s="35"/>
      <c r="DP89" s="35"/>
      <c r="DQ89" s="35"/>
      <c r="DR89" s="35"/>
      <c r="DS89" s="35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40"/>
      <c r="ES89" s="40"/>
      <c r="ET89" s="40"/>
      <c r="EU89" s="40"/>
      <c r="EV89" s="40"/>
      <c r="EW89" s="40"/>
      <c r="EX89" s="40"/>
      <c r="EY89" s="40"/>
      <c r="EZ89" s="35"/>
      <c r="FA89" s="35"/>
      <c r="FB89" s="35"/>
      <c r="FC89" s="35"/>
      <c r="FD89" s="35"/>
      <c r="FE89" s="35"/>
      <c r="FF89" s="35"/>
      <c r="FG89" s="35"/>
    </row>
    <row r="90" spans="1:163">
      <c r="A90" s="62">
        <v>34</v>
      </c>
      <c r="E90" s="63" t="s">
        <v>114</v>
      </c>
      <c r="F90" s="56" t="s">
        <v>113</v>
      </c>
      <c r="G90" s="70" t="s">
        <v>414</v>
      </c>
      <c r="H90" s="66" t="str">
        <f t="shared" si="40"/>
        <v xml:space="preserve"> 477</v>
      </c>
      <c r="I90" s="67" t="s">
        <v>414</v>
      </c>
      <c r="J90" s="68">
        <f t="shared" si="41"/>
        <v>0</v>
      </c>
      <c r="K90" s="63" t="s">
        <v>256</v>
      </c>
      <c r="L90" s="1" t="s">
        <v>46</v>
      </c>
      <c r="O90" s="64" t="s">
        <v>789</v>
      </c>
      <c r="P90" s="82">
        <v>0</v>
      </c>
      <c r="Q90" s="74">
        <f t="shared" si="55"/>
        <v>72500</v>
      </c>
      <c r="R90" s="71">
        <f>72500</f>
        <v>72500</v>
      </c>
      <c r="S90" s="72">
        <f t="shared" si="56"/>
        <v>8250</v>
      </c>
      <c r="T90" s="68"/>
      <c r="U90" s="73">
        <f t="shared" si="57"/>
        <v>64250</v>
      </c>
      <c r="V90" s="75">
        <f>2000+5200+600+200+250</f>
        <v>8250</v>
      </c>
      <c r="W90" s="2">
        <f t="shared" si="42"/>
        <v>72500</v>
      </c>
      <c r="Y90" s="80">
        <f t="shared" si="43"/>
        <v>72500</v>
      </c>
      <c r="Z90" s="93"/>
      <c r="AA90" s="93"/>
      <c r="AB90" s="94"/>
      <c r="AC90" s="2">
        <v>3000</v>
      </c>
      <c r="AD90" s="2">
        <f>Z90+AC90</f>
        <v>3000</v>
      </c>
      <c r="AF90" s="28">
        <f t="shared" si="37"/>
        <v>0</v>
      </c>
      <c r="AG90" s="55" t="s">
        <v>125</v>
      </c>
      <c r="AI90" s="20" t="s">
        <v>45</v>
      </c>
      <c r="AJ90" s="2">
        <f t="shared" si="44"/>
        <v>-72500</v>
      </c>
      <c r="AN90" s="29" t="e">
        <f t="shared" si="45"/>
        <v>#DIV/0!</v>
      </c>
      <c r="AO90" s="29" t="e">
        <f>AN90-AB90</f>
        <v>#DIV/0!</v>
      </c>
      <c r="AP90" s="3" t="s">
        <v>29</v>
      </c>
      <c r="AQ90" s="1" t="s">
        <v>148</v>
      </c>
      <c r="AR90" s="31">
        <f t="shared" si="46"/>
        <v>0</v>
      </c>
      <c r="AS90" s="31">
        <f t="shared" si="47"/>
        <v>0</v>
      </c>
      <c r="AT90" s="31">
        <f t="shared" si="36"/>
        <v>0</v>
      </c>
      <c r="AU90" s="31">
        <f t="shared" si="48"/>
        <v>0</v>
      </c>
      <c r="AV90" s="31">
        <f t="shared" si="49"/>
        <v>0</v>
      </c>
      <c r="AW90" s="31">
        <f t="shared" si="50"/>
        <v>0</v>
      </c>
      <c r="AX90" s="31">
        <f t="shared" si="51"/>
        <v>0</v>
      </c>
      <c r="AY90" s="31">
        <f t="shared" si="52"/>
        <v>0</v>
      </c>
      <c r="AZ90" s="31">
        <f t="shared" si="53"/>
        <v>0</v>
      </c>
      <c r="BA90" s="31">
        <f t="shared" si="54"/>
        <v>0</v>
      </c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41"/>
      <c r="BM90" s="41"/>
      <c r="BN90" s="41"/>
      <c r="BO90" s="37"/>
      <c r="BP90" s="38"/>
      <c r="BQ90" s="37"/>
      <c r="BR90" s="40"/>
      <c r="BS90" s="39"/>
      <c r="BT90" s="39"/>
      <c r="BU90" s="39"/>
      <c r="BV90" s="39"/>
      <c r="BW90" s="39"/>
      <c r="BX90" s="36"/>
      <c r="BY90" s="33"/>
      <c r="BZ90" s="33"/>
      <c r="CA90" s="33"/>
      <c r="CB90" s="34"/>
      <c r="CC90" s="33"/>
      <c r="CD90" s="35"/>
      <c r="CE90" s="48"/>
      <c r="CF90" s="48"/>
      <c r="CG90" s="48"/>
      <c r="CH90" s="48"/>
      <c r="CI90" s="48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35"/>
      <c r="CW90" s="35"/>
      <c r="CX90" s="35"/>
      <c r="CY90" s="35"/>
      <c r="CZ90" s="35"/>
      <c r="DA90" s="35"/>
      <c r="DB90" s="35"/>
      <c r="DC90" s="35"/>
      <c r="DD90" s="40"/>
      <c r="DE90" s="40"/>
      <c r="DF90" s="40"/>
      <c r="DG90" s="40"/>
      <c r="DH90" s="40"/>
      <c r="DI90" s="40"/>
      <c r="DJ90" s="40"/>
      <c r="DK90" s="40"/>
      <c r="DL90" s="35"/>
      <c r="DM90" s="35"/>
      <c r="DN90" s="35"/>
      <c r="DO90" s="35"/>
      <c r="DP90" s="35"/>
      <c r="DQ90" s="35"/>
      <c r="DR90" s="35"/>
      <c r="DS90" s="35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40"/>
      <c r="ES90" s="40"/>
      <c r="ET90" s="40"/>
      <c r="EU90" s="40"/>
      <c r="EV90" s="40"/>
      <c r="EW90" s="40"/>
      <c r="EX90" s="40"/>
      <c r="EY90" s="40"/>
      <c r="EZ90" s="35"/>
      <c r="FA90" s="35"/>
      <c r="FB90" s="35"/>
      <c r="FC90" s="35"/>
      <c r="FD90" s="35"/>
      <c r="FE90" s="35"/>
      <c r="FF90" s="35"/>
      <c r="FG90" s="35"/>
    </row>
    <row r="91" spans="1:163">
      <c r="A91" s="62">
        <v>38</v>
      </c>
      <c r="E91" s="63" t="s">
        <v>113</v>
      </c>
      <c r="F91" s="56" t="s">
        <v>113</v>
      </c>
      <c r="G91" s="70" t="s">
        <v>418</v>
      </c>
      <c r="H91" s="66" t="str">
        <f t="shared" si="40"/>
        <v xml:space="preserve"> 738</v>
      </c>
      <c r="I91" s="67" t="s">
        <v>418</v>
      </c>
      <c r="J91" s="68">
        <f t="shared" si="41"/>
        <v>0</v>
      </c>
      <c r="K91" s="63" t="s">
        <v>256</v>
      </c>
      <c r="L91" s="1" t="s">
        <v>46</v>
      </c>
      <c r="O91" s="64" t="s">
        <v>789</v>
      </c>
      <c r="P91" s="82">
        <v>0</v>
      </c>
      <c r="Q91" s="74">
        <f t="shared" si="55"/>
        <v>72500</v>
      </c>
      <c r="R91" s="71">
        <v>72500</v>
      </c>
      <c r="S91" s="72">
        <f t="shared" si="56"/>
        <v>8250</v>
      </c>
      <c r="T91" s="68"/>
      <c r="U91" s="73">
        <f t="shared" si="57"/>
        <v>64250</v>
      </c>
      <c r="V91" s="75">
        <f>2000+5200+200+250+600</f>
        <v>8250</v>
      </c>
      <c r="W91" s="2">
        <f t="shared" si="42"/>
        <v>72500</v>
      </c>
      <c r="Y91" s="80">
        <f t="shared" si="43"/>
        <v>72500</v>
      </c>
      <c r="Z91" s="93"/>
      <c r="AA91" s="93"/>
      <c r="AB91" s="94"/>
      <c r="AC91" s="2">
        <v>3000</v>
      </c>
      <c r="AD91" s="2">
        <f>Z91+AC91</f>
        <v>3000</v>
      </c>
      <c r="AF91" s="28">
        <f t="shared" si="37"/>
        <v>0</v>
      </c>
      <c r="AG91" s="55" t="s">
        <v>125</v>
      </c>
      <c r="AI91" s="20" t="s">
        <v>45</v>
      </c>
      <c r="AJ91" s="2">
        <f t="shared" si="44"/>
        <v>-72500</v>
      </c>
      <c r="AN91" s="29" t="e">
        <f t="shared" si="45"/>
        <v>#DIV/0!</v>
      </c>
      <c r="AO91" s="29" t="e">
        <f>AN91-AB91</f>
        <v>#DIV/0!</v>
      </c>
      <c r="AP91" s="3" t="s">
        <v>140</v>
      </c>
      <c r="AQ91" s="1" t="s">
        <v>146</v>
      </c>
      <c r="AR91" s="31">
        <f t="shared" si="46"/>
        <v>-98550</v>
      </c>
      <c r="AS91" s="31">
        <f t="shared" si="47"/>
        <v>-96660</v>
      </c>
      <c r="AT91" s="31">
        <f t="shared" si="36"/>
        <v>0</v>
      </c>
      <c r="AU91" s="31">
        <f t="shared" si="48"/>
        <v>0</v>
      </c>
      <c r="AV91" s="31">
        <f t="shared" si="49"/>
        <v>0</v>
      </c>
      <c r="AW91" s="31">
        <f t="shared" si="50"/>
        <v>0</v>
      </c>
      <c r="AX91" s="31">
        <f t="shared" si="51"/>
        <v>0</v>
      </c>
      <c r="AY91" s="31">
        <f t="shared" si="52"/>
        <v>0</v>
      </c>
      <c r="AZ91" s="31">
        <f t="shared" si="53"/>
        <v>0</v>
      </c>
      <c r="BA91" s="31">
        <f t="shared" si="54"/>
        <v>0</v>
      </c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41">
        <v>95550</v>
      </c>
      <c r="BM91" s="41">
        <v>3000</v>
      </c>
      <c r="BN91" s="41">
        <f>BL91+BM91</f>
        <v>98550</v>
      </c>
      <c r="BO91" s="37">
        <f>BN91-Y91</f>
        <v>26050</v>
      </c>
      <c r="BP91" s="38">
        <f>BO91/BL91</f>
        <v>0.27263212977498691</v>
      </c>
      <c r="BQ91" s="37">
        <f>AF91-BN91</f>
        <v>-98550</v>
      </c>
      <c r="BR91" s="40" t="s">
        <v>29</v>
      </c>
      <c r="BS91" s="39"/>
      <c r="BT91" s="39"/>
      <c r="BU91" s="39"/>
      <c r="BV91" s="39"/>
      <c r="BW91" s="39"/>
      <c r="BX91" s="36"/>
      <c r="BY91" s="33"/>
      <c r="BZ91" s="33"/>
      <c r="CA91" s="33"/>
      <c r="CB91" s="34"/>
      <c r="CC91" s="33"/>
      <c r="CD91" s="35"/>
      <c r="CE91" s="48"/>
      <c r="CF91" s="48"/>
      <c r="CG91" s="48"/>
      <c r="CH91" s="48"/>
      <c r="CI91" s="48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36">
        <v>96660</v>
      </c>
      <c r="CW91" s="36">
        <f>CV91-Y91</f>
        <v>24160</v>
      </c>
      <c r="CX91" s="46">
        <f>CW91/CV91</f>
        <v>0.24994827229464101</v>
      </c>
      <c r="CY91" s="36">
        <f>AF91-CV91</f>
        <v>-96660</v>
      </c>
      <c r="CZ91" s="35" t="s">
        <v>29</v>
      </c>
      <c r="DA91" s="35"/>
      <c r="DB91" s="35"/>
      <c r="DC91" s="35"/>
      <c r="DD91" s="40"/>
      <c r="DE91" s="40"/>
      <c r="DF91" s="40"/>
      <c r="DG91" s="40"/>
      <c r="DH91" s="40"/>
      <c r="DI91" s="40"/>
      <c r="DJ91" s="40"/>
      <c r="DK91" s="40"/>
      <c r="DL91" s="35"/>
      <c r="DM91" s="35"/>
      <c r="DN91" s="35"/>
      <c r="DO91" s="35"/>
      <c r="DP91" s="35"/>
      <c r="DQ91" s="35"/>
      <c r="DR91" s="35"/>
      <c r="DS91" s="35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40"/>
      <c r="ES91" s="40"/>
      <c r="ET91" s="40"/>
      <c r="EU91" s="40"/>
      <c r="EV91" s="40"/>
      <c r="EW91" s="40"/>
      <c r="EX91" s="40"/>
      <c r="EY91" s="40"/>
      <c r="EZ91" s="35"/>
      <c r="FA91" s="35"/>
      <c r="FB91" s="35"/>
      <c r="FC91" s="35"/>
      <c r="FD91" s="35"/>
      <c r="FE91" s="35"/>
      <c r="FF91" s="35"/>
      <c r="FG91" s="35"/>
    </row>
    <row r="92" spans="1:163">
      <c r="A92" s="62">
        <v>40</v>
      </c>
      <c r="E92" s="63" t="s">
        <v>113</v>
      </c>
      <c r="F92" s="56" t="s">
        <v>113</v>
      </c>
      <c r="G92" s="70" t="s">
        <v>420</v>
      </c>
      <c r="H92" s="66" t="str">
        <f t="shared" si="40"/>
        <v xml:space="preserve"> 629</v>
      </c>
      <c r="I92" s="67" t="s">
        <v>420</v>
      </c>
      <c r="J92" s="68">
        <f t="shared" si="41"/>
        <v>0</v>
      </c>
      <c r="K92" s="63" t="s">
        <v>256</v>
      </c>
      <c r="L92" s="1" t="s">
        <v>46</v>
      </c>
      <c r="O92" s="64" t="s">
        <v>789</v>
      </c>
      <c r="P92" s="82">
        <v>0</v>
      </c>
      <c r="Q92" s="74">
        <f t="shared" si="55"/>
        <v>72500</v>
      </c>
      <c r="R92" s="71">
        <f>72500</f>
        <v>72500</v>
      </c>
      <c r="S92" s="72">
        <f t="shared" si="56"/>
        <v>8250</v>
      </c>
      <c r="T92" s="68"/>
      <c r="U92" s="73">
        <f t="shared" si="57"/>
        <v>64250</v>
      </c>
      <c r="V92" s="73">
        <f>2000+5200+600+200+250</f>
        <v>8250</v>
      </c>
      <c r="W92" s="2">
        <f t="shared" si="42"/>
        <v>72500</v>
      </c>
      <c r="Y92" s="80">
        <f t="shared" si="43"/>
        <v>72500</v>
      </c>
      <c r="Z92" s="93"/>
      <c r="AA92" s="93"/>
      <c r="AB92" s="94"/>
      <c r="AE92" s="2">
        <v>86000</v>
      </c>
      <c r="AF92" s="28">
        <f t="shared" si="37"/>
        <v>86000</v>
      </c>
      <c r="AG92" s="55" t="s">
        <v>125</v>
      </c>
      <c r="AI92" s="20" t="s">
        <v>45</v>
      </c>
      <c r="AJ92" s="2">
        <f t="shared" si="44"/>
        <v>13500</v>
      </c>
      <c r="AN92" s="29">
        <f t="shared" si="45"/>
        <v>0.15697674418604651</v>
      </c>
      <c r="AP92" s="3" t="s">
        <v>29</v>
      </c>
      <c r="AQ92" s="1" t="s">
        <v>148</v>
      </c>
      <c r="AR92" s="31">
        <f t="shared" si="46"/>
        <v>0</v>
      </c>
      <c r="AS92" s="31">
        <f t="shared" si="47"/>
        <v>0</v>
      </c>
      <c r="AT92" s="31">
        <f t="shared" si="36"/>
        <v>0</v>
      </c>
      <c r="AU92" s="31">
        <f t="shared" si="48"/>
        <v>0</v>
      </c>
      <c r="AV92" s="31">
        <f t="shared" si="49"/>
        <v>0</v>
      </c>
      <c r="AW92" s="31">
        <f t="shared" si="50"/>
        <v>0</v>
      </c>
      <c r="AX92" s="31">
        <f t="shared" si="51"/>
        <v>0</v>
      </c>
      <c r="AY92" s="31">
        <f t="shared" si="52"/>
        <v>0</v>
      </c>
      <c r="AZ92" s="31">
        <f t="shared" si="53"/>
        <v>0</v>
      </c>
      <c r="BA92" s="31">
        <f t="shared" si="54"/>
        <v>0</v>
      </c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41"/>
      <c r="BM92" s="41"/>
      <c r="BN92" s="41"/>
      <c r="BO92" s="37"/>
      <c r="BP92" s="38"/>
      <c r="BQ92" s="37"/>
      <c r="BR92" s="40"/>
      <c r="BS92" s="39"/>
      <c r="BT92" s="39"/>
      <c r="BU92" s="39"/>
      <c r="BV92" s="39"/>
      <c r="BW92" s="39"/>
      <c r="BX92" s="36"/>
      <c r="BY92" s="33"/>
      <c r="BZ92" s="33"/>
      <c r="CA92" s="33"/>
      <c r="CB92" s="34"/>
      <c r="CC92" s="33"/>
      <c r="CD92" s="35"/>
      <c r="CE92" s="48"/>
      <c r="CF92" s="48"/>
      <c r="CG92" s="48"/>
      <c r="CH92" s="48"/>
      <c r="CI92" s="48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35"/>
      <c r="CW92" s="35"/>
      <c r="CX92" s="35"/>
      <c r="CY92" s="35"/>
      <c r="CZ92" s="35"/>
      <c r="DA92" s="35"/>
      <c r="DB92" s="35"/>
      <c r="DC92" s="35"/>
      <c r="DD92" s="40"/>
      <c r="DE92" s="40"/>
      <c r="DF92" s="40"/>
      <c r="DG92" s="40"/>
      <c r="DH92" s="40"/>
      <c r="DI92" s="40"/>
      <c r="DJ92" s="40"/>
      <c r="DK92" s="40"/>
      <c r="DL92" s="35"/>
      <c r="DM92" s="35"/>
      <c r="DN92" s="35"/>
      <c r="DO92" s="35"/>
      <c r="DP92" s="35"/>
      <c r="DQ92" s="35"/>
      <c r="DR92" s="35"/>
      <c r="DS92" s="35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40"/>
      <c r="ES92" s="40"/>
      <c r="ET92" s="40"/>
      <c r="EU92" s="40"/>
      <c r="EV92" s="40"/>
      <c r="EW92" s="40"/>
      <c r="EX92" s="40"/>
      <c r="EY92" s="40"/>
      <c r="EZ92" s="35"/>
      <c r="FA92" s="35"/>
      <c r="FB92" s="35"/>
      <c r="FC92" s="35"/>
      <c r="FD92" s="35"/>
      <c r="FE92" s="35"/>
      <c r="FF92" s="35"/>
      <c r="FG92" s="35"/>
    </row>
    <row r="93" spans="1:163">
      <c r="A93" s="62">
        <v>42</v>
      </c>
      <c r="E93" s="63" t="s">
        <v>113</v>
      </c>
      <c r="F93" s="56" t="s">
        <v>113</v>
      </c>
      <c r="G93" s="70" t="s">
        <v>422</v>
      </c>
      <c r="H93" s="66" t="str">
        <f t="shared" si="40"/>
        <v xml:space="preserve"> 285</v>
      </c>
      <c r="I93" s="67" t="s">
        <v>422</v>
      </c>
      <c r="J93" s="68">
        <f t="shared" si="41"/>
        <v>0</v>
      </c>
      <c r="K93" s="63" t="s">
        <v>256</v>
      </c>
      <c r="L93" s="1" t="s">
        <v>46</v>
      </c>
      <c r="O93" s="64" t="s">
        <v>789</v>
      </c>
      <c r="P93" s="82">
        <v>0</v>
      </c>
      <c r="Q93" s="74">
        <f t="shared" si="55"/>
        <v>72500</v>
      </c>
      <c r="R93" s="71">
        <v>72500</v>
      </c>
      <c r="S93" s="72">
        <f t="shared" si="56"/>
        <v>8250</v>
      </c>
      <c r="T93" s="68"/>
      <c r="U93" s="73">
        <f t="shared" si="57"/>
        <v>64250</v>
      </c>
      <c r="V93" s="73">
        <f>2000+5200+600+200+250</f>
        <v>8250</v>
      </c>
      <c r="W93" s="2">
        <f t="shared" si="42"/>
        <v>72500</v>
      </c>
      <c r="Y93" s="80">
        <f t="shared" si="43"/>
        <v>72500</v>
      </c>
      <c r="Z93" s="93"/>
      <c r="AA93" s="93"/>
      <c r="AB93" s="94"/>
      <c r="AE93" s="2">
        <v>105000</v>
      </c>
      <c r="AF93" s="28">
        <f t="shared" si="37"/>
        <v>105000</v>
      </c>
      <c r="AG93" s="55" t="s">
        <v>125</v>
      </c>
      <c r="AI93" s="20" t="s">
        <v>45</v>
      </c>
      <c r="AJ93" s="2">
        <f t="shared" si="44"/>
        <v>32500</v>
      </c>
      <c r="AN93" s="29">
        <f t="shared" si="45"/>
        <v>0.30952380952380953</v>
      </c>
      <c r="AP93" s="3" t="s">
        <v>29</v>
      </c>
      <c r="AQ93" s="1" t="s">
        <v>148</v>
      </c>
      <c r="AR93" s="31">
        <f t="shared" si="46"/>
        <v>0</v>
      </c>
      <c r="AS93" s="31">
        <f t="shared" si="47"/>
        <v>0</v>
      </c>
      <c r="AT93" s="31">
        <f t="shared" si="36"/>
        <v>0</v>
      </c>
      <c r="AU93" s="31">
        <f t="shared" si="48"/>
        <v>0</v>
      </c>
      <c r="AV93" s="31">
        <f t="shared" si="49"/>
        <v>0</v>
      </c>
      <c r="AW93" s="31">
        <f t="shared" si="50"/>
        <v>0</v>
      </c>
      <c r="AX93" s="31">
        <f t="shared" si="51"/>
        <v>0</v>
      </c>
      <c r="AY93" s="31">
        <f t="shared" si="52"/>
        <v>0</v>
      </c>
      <c r="AZ93" s="31">
        <f t="shared" si="53"/>
        <v>0</v>
      </c>
      <c r="BA93" s="31">
        <f t="shared" si="54"/>
        <v>0</v>
      </c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41"/>
      <c r="BM93" s="41"/>
      <c r="BN93" s="41"/>
      <c r="BO93" s="37"/>
      <c r="BP93" s="38"/>
      <c r="BQ93" s="37"/>
      <c r="BR93" s="40"/>
      <c r="BS93" s="39"/>
      <c r="BT93" s="39"/>
      <c r="BU93" s="39"/>
      <c r="BV93" s="39"/>
      <c r="BW93" s="39"/>
      <c r="BX93" s="36"/>
      <c r="BY93" s="33"/>
      <c r="BZ93" s="33"/>
      <c r="CA93" s="33"/>
      <c r="CB93" s="34"/>
      <c r="CC93" s="33"/>
      <c r="CD93" s="35"/>
      <c r="CE93" s="48"/>
      <c r="CF93" s="48"/>
      <c r="CG93" s="48"/>
      <c r="CH93" s="48"/>
      <c r="CI93" s="48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35"/>
      <c r="CW93" s="35"/>
      <c r="CX93" s="35"/>
      <c r="CY93" s="35"/>
      <c r="CZ93" s="35"/>
      <c r="DA93" s="35"/>
      <c r="DB93" s="35"/>
      <c r="DC93" s="35"/>
      <c r="DD93" s="40"/>
      <c r="DE93" s="40"/>
      <c r="DF93" s="40"/>
      <c r="DG93" s="40"/>
      <c r="DH93" s="40"/>
      <c r="DI93" s="40"/>
      <c r="DJ93" s="40"/>
      <c r="DK93" s="40"/>
      <c r="DL93" s="35"/>
      <c r="DM93" s="35"/>
      <c r="DN93" s="35"/>
      <c r="DO93" s="35"/>
      <c r="DP93" s="35"/>
      <c r="DQ93" s="35"/>
      <c r="DR93" s="35"/>
      <c r="DS93" s="35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40"/>
      <c r="ES93" s="40"/>
      <c r="ET93" s="40"/>
      <c r="EU93" s="40"/>
      <c r="EV93" s="40"/>
      <c r="EW93" s="40"/>
      <c r="EX93" s="40"/>
      <c r="EY93" s="40"/>
      <c r="EZ93" s="35"/>
      <c r="FA93" s="35"/>
      <c r="FB93" s="35"/>
      <c r="FC93" s="35"/>
      <c r="FD93" s="35"/>
      <c r="FE93" s="35"/>
      <c r="FF93" s="35"/>
      <c r="FG93" s="35"/>
    </row>
    <row r="94" spans="1:163">
      <c r="A94" s="60">
        <v>99</v>
      </c>
      <c r="E94" s="63" t="s">
        <v>56</v>
      </c>
      <c r="F94" s="56" t="s">
        <v>58</v>
      </c>
      <c r="G94" s="70" t="s">
        <v>479</v>
      </c>
      <c r="H94" s="66" t="str">
        <f t="shared" si="40"/>
        <v xml:space="preserve"> 608</v>
      </c>
      <c r="I94" s="67" t="s">
        <v>479</v>
      </c>
      <c r="J94" s="68">
        <f t="shared" si="41"/>
        <v>0</v>
      </c>
      <c r="K94" s="63" t="s">
        <v>256</v>
      </c>
      <c r="L94" s="1" t="s">
        <v>46</v>
      </c>
      <c r="O94" s="64" t="s">
        <v>789</v>
      </c>
      <c r="P94" s="82">
        <v>0</v>
      </c>
      <c r="Q94" s="74">
        <f t="shared" si="55"/>
        <v>69000</v>
      </c>
      <c r="R94" s="71">
        <f>69000</f>
        <v>69000</v>
      </c>
      <c r="S94" s="72">
        <f t="shared" si="56"/>
        <v>8150</v>
      </c>
      <c r="T94" s="68"/>
      <c r="U94" s="73">
        <f t="shared" si="57"/>
        <v>60850</v>
      </c>
      <c r="V94" s="73">
        <f t="shared" ref="V94:V100" si="58">2000+5100+600+200+250</f>
        <v>8150</v>
      </c>
      <c r="W94" s="2">
        <f t="shared" si="42"/>
        <v>69000</v>
      </c>
      <c r="Y94" s="80">
        <f t="shared" si="43"/>
        <v>69000</v>
      </c>
      <c r="Z94" s="93"/>
      <c r="AA94" s="93"/>
      <c r="AB94" s="94"/>
      <c r="AE94" s="2">
        <v>88000</v>
      </c>
      <c r="AF94" s="28">
        <f t="shared" si="37"/>
        <v>88000</v>
      </c>
      <c r="AG94" s="55" t="s">
        <v>125</v>
      </c>
      <c r="AI94" s="20" t="s">
        <v>45</v>
      </c>
      <c r="AJ94" s="2">
        <f t="shared" si="44"/>
        <v>19000</v>
      </c>
      <c r="AN94" s="29">
        <f t="shared" si="45"/>
        <v>0.21590909090909091</v>
      </c>
      <c r="AP94" s="3" t="s">
        <v>29</v>
      </c>
      <c r="AQ94" s="1" t="s">
        <v>143</v>
      </c>
      <c r="AR94" s="31">
        <f t="shared" si="46"/>
        <v>0</v>
      </c>
      <c r="AS94" s="31">
        <f t="shared" si="47"/>
        <v>0</v>
      </c>
      <c r="AT94" s="31">
        <f t="shared" ref="AT94:AT112" si="59">IF(BZ94&lt;&gt;"", AF94-BZ94, 0)</f>
        <v>0</v>
      </c>
      <c r="AU94" s="31">
        <f t="shared" si="48"/>
        <v>0</v>
      </c>
      <c r="AV94" s="31">
        <f t="shared" si="49"/>
        <v>0</v>
      </c>
      <c r="AW94" s="31">
        <f t="shared" si="50"/>
        <v>0</v>
      </c>
      <c r="AX94" s="31">
        <f t="shared" si="51"/>
        <v>0</v>
      </c>
      <c r="AY94" s="31">
        <f t="shared" si="52"/>
        <v>0</v>
      </c>
      <c r="AZ94" s="31">
        <f t="shared" si="53"/>
        <v>0</v>
      </c>
      <c r="BA94" s="31">
        <f t="shared" si="54"/>
        <v>0</v>
      </c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41"/>
      <c r="BM94" s="41"/>
      <c r="BN94" s="41"/>
      <c r="BO94" s="37"/>
      <c r="BP94" s="38"/>
      <c r="BQ94" s="37"/>
      <c r="BR94" s="40"/>
      <c r="BS94" s="39"/>
      <c r="BT94" s="39"/>
      <c r="BU94" s="39"/>
      <c r="BV94" s="39"/>
      <c r="BW94" s="39"/>
      <c r="BX94" s="36"/>
      <c r="BY94" s="33"/>
      <c r="BZ94" s="33"/>
      <c r="CA94" s="33"/>
      <c r="CB94" s="34"/>
      <c r="CC94" s="33"/>
      <c r="CD94" s="35"/>
      <c r="CE94" s="48"/>
      <c r="CF94" s="48"/>
      <c r="CG94" s="48"/>
      <c r="CH94" s="48"/>
      <c r="CI94" s="48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35"/>
      <c r="CW94" s="35"/>
      <c r="CX94" s="35"/>
      <c r="CY94" s="35"/>
      <c r="CZ94" s="35"/>
      <c r="DA94" s="35"/>
      <c r="DB94" s="35"/>
      <c r="DC94" s="35"/>
      <c r="DD94" s="40"/>
      <c r="DE94" s="40"/>
      <c r="DF94" s="40"/>
      <c r="DG94" s="40"/>
      <c r="DH94" s="40"/>
      <c r="DI94" s="40"/>
      <c r="DJ94" s="40"/>
      <c r="DK94" s="40"/>
      <c r="DL94" s="35"/>
      <c r="DM94" s="35"/>
      <c r="DN94" s="35"/>
      <c r="DO94" s="35"/>
      <c r="DP94" s="35"/>
      <c r="DQ94" s="35"/>
      <c r="DR94" s="35"/>
      <c r="DS94" s="35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40"/>
      <c r="ES94" s="40"/>
      <c r="ET94" s="40"/>
      <c r="EU94" s="40"/>
      <c r="EV94" s="40"/>
      <c r="EW94" s="40"/>
      <c r="EX94" s="40"/>
      <c r="EY94" s="40"/>
      <c r="EZ94" s="35"/>
      <c r="FA94" s="35"/>
      <c r="FB94" s="35"/>
      <c r="FC94" s="35"/>
      <c r="FD94" s="35"/>
      <c r="FE94" s="35"/>
      <c r="FF94" s="35"/>
      <c r="FG94" s="35"/>
    </row>
    <row r="95" spans="1:163">
      <c r="A95" s="60">
        <v>109</v>
      </c>
      <c r="E95" s="63" t="s">
        <v>113</v>
      </c>
      <c r="F95" s="56" t="s">
        <v>58</v>
      </c>
      <c r="G95" s="70" t="s">
        <v>488</v>
      </c>
      <c r="H95" s="66" t="str">
        <f t="shared" si="40"/>
        <v xml:space="preserve"> 826</v>
      </c>
      <c r="I95" s="67" t="s">
        <v>488</v>
      </c>
      <c r="J95" s="68">
        <f t="shared" si="41"/>
        <v>0</v>
      </c>
      <c r="K95" s="63" t="s">
        <v>256</v>
      </c>
      <c r="L95" s="1" t="s">
        <v>46</v>
      </c>
      <c r="O95" s="64" t="s">
        <v>789</v>
      </c>
      <c r="P95" s="82">
        <v>0</v>
      </c>
      <c r="Q95" s="74">
        <f t="shared" si="55"/>
        <v>69000</v>
      </c>
      <c r="R95" s="71">
        <v>69000</v>
      </c>
      <c r="S95" s="72">
        <f t="shared" si="56"/>
        <v>8150</v>
      </c>
      <c r="T95" s="68"/>
      <c r="U95" s="73">
        <f t="shared" si="57"/>
        <v>60850</v>
      </c>
      <c r="V95" s="75">
        <f t="shared" si="58"/>
        <v>8150</v>
      </c>
      <c r="W95" s="2">
        <f t="shared" si="42"/>
        <v>69000</v>
      </c>
      <c r="Y95" s="80">
        <f t="shared" si="43"/>
        <v>69000</v>
      </c>
      <c r="Z95" s="93"/>
      <c r="AA95" s="93"/>
      <c r="AB95" s="94"/>
      <c r="AC95" s="2">
        <v>4000</v>
      </c>
      <c r="AD95" s="2">
        <f>Z95+AC95</f>
        <v>4000</v>
      </c>
      <c r="AF95" s="28">
        <f t="shared" si="37"/>
        <v>0</v>
      </c>
      <c r="AG95" s="55" t="s">
        <v>125</v>
      </c>
      <c r="AI95" s="20" t="s">
        <v>45</v>
      </c>
      <c r="AJ95" s="2">
        <f t="shared" si="44"/>
        <v>-69000</v>
      </c>
      <c r="AN95" s="29" t="e">
        <f t="shared" si="45"/>
        <v>#DIV/0!</v>
      </c>
      <c r="AO95" s="29" t="e">
        <f>AN95-AB95</f>
        <v>#DIV/0!</v>
      </c>
      <c r="AP95" s="3" t="s">
        <v>29</v>
      </c>
      <c r="AQ95" s="1" t="s">
        <v>143</v>
      </c>
      <c r="AR95" s="31">
        <f t="shared" si="46"/>
        <v>0</v>
      </c>
      <c r="AS95" s="31">
        <f t="shared" si="47"/>
        <v>0</v>
      </c>
      <c r="AT95" s="31">
        <f t="shared" si="59"/>
        <v>0</v>
      </c>
      <c r="AU95" s="31">
        <f t="shared" si="48"/>
        <v>0</v>
      </c>
      <c r="AV95" s="31">
        <f t="shared" si="49"/>
        <v>0</v>
      </c>
      <c r="AW95" s="31">
        <f t="shared" si="50"/>
        <v>0</v>
      </c>
      <c r="AX95" s="31">
        <f t="shared" si="51"/>
        <v>0</v>
      </c>
      <c r="AY95" s="31">
        <f t="shared" si="52"/>
        <v>0</v>
      </c>
      <c r="AZ95" s="31">
        <f t="shared" si="53"/>
        <v>0</v>
      </c>
      <c r="BA95" s="31">
        <f t="shared" si="54"/>
        <v>0</v>
      </c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41"/>
      <c r="BM95" s="41"/>
      <c r="BN95" s="41"/>
      <c r="BO95" s="37"/>
      <c r="BP95" s="38"/>
      <c r="BQ95" s="37"/>
      <c r="BR95" s="40"/>
      <c r="BS95" s="39"/>
      <c r="BT95" s="39"/>
      <c r="BU95" s="39"/>
      <c r="BV95" s="39"/>
      <c r="BW95" s="39"/>
      <c r="BX95" s="36"/>
      <c r="BY95" s="33"/>
      <c r="BZ95" s="33"/>
      <c r="CA95" s="33"/>
      <c r="CB95" s="34"/>
      <c r="CC95" s="33"/>
      <c r="CD95" s="35"/>
      <c r="CE95" s="48"/>
      <c r="CF95" s="48"/>
      <c r="CG95" s="48"/>
      <c r="CH95" s="48"/>
      <c r="CI95" s="48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35"/>
      <c r="CW95" s="35"/>
      <c r="CX95" s="35"/>
      <c r="CY95" s="35"/>
      <c r="CZ95" s="35"/>
      <c r="DA95" s="35"/>
      <c r="DB95" s="35"/>
      <c r="DC95" s="35"/>
      <c r="DD95" s="40"/>
      <c r="DE95" s="40"/>
      <c r="DF95" s="40"/>
      <c r="DG95" s="40"/>
      <c r="DH95" s="40"/>
      <c r="DI95" s="40"/>
      <c r="DJ95" s="40"/>
      <c r="DK95" s="40"/>
      <c r="DL95" s="35"/>
      <c r="DM95" s="35"/>
      <c r="DN95" s="35"/>
      <c r="DO95" s="35"/>
      <c r="DP95" s="35"/>
      <c r="DQ95" s="35"/>
      <c r="DR95" s="35"/>
      <c r="DS95" s="35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40"/>
      <c r="ES95" s="40"/>
      <c r="ET95" s="40"/>
      <c r="EU95" s="40"/>
      <c r="EV95" s="40"/>
      <c r="EW95" s="40"/>
      <c r="EX95" s="40"/>
      <c r="EY95" s="40"/>
      <c r="EZ95" s="35"/>
      <c r="FA95" s="35"/>
      <c r="FB95" s="35"/>
      <c r="FC95" s="35"/>
      <c r="FD95" s="35"/>
      <c r="FE95" s="35"/>
      <c r="FF95" s="35"/>
      <c r="FG95" s="35"/>
    </row>
    <row r="96" spans="1:163">
      <c r="A96" s="60">
        <v>111</v>
      </c>
      <c r="E96" s="63" t="s">
        <v>210</v>
      </c>
      <c r="F96" s="56" t="s">
        <v>58</v>
      </c>
      <c r="G96" s="70" t="s">
        <v>490</v>
      </c>
      <c r="H96" s="66" t="str">
        <f t="shared" si="40"/>
        <v xml:space="preserve"> 498</v>
      </c>
      <c r="I96" s="67" t="s">
        <v>490</v>
      </c>
      <c r="J96" s="68">
        <f t="shared" si="41"/>
        <v>0</v>
      </c>
      <c r="K96" s="63" t="s">
        <v>256</v>
      </c>
      <c r="L96" s="1" t="s">
        <v>46</v>
      </c>
      <c r="O96" s="64" t="s">
        <v>789</v>
      </c>
      <c r="P96" s="82">
        <v>0</v>
      </c>
      <c r="Q96" s="74">
        <f t="shared" si="55"/>
        <v>69000</v>
      </c>
      <c r="R96" s="76">
        <v>69000</v>
      </c>
      <c r="S96" s="72">
        <f t="shared" si="56"/>
        <v>8150</v>
      </c>
      <c r="T96" s="68"/>
      <c r="U96" s="73">
        <f t="shared" si="57"/>
        <v>60850</v>
      </c>
      <c r="V96" s="76">
        <f t="shared" si="58"/>
        <v>8150</v>
      </c>
      <c r="W96" s="2">
        <f t="shared" si="42"/>
        <v>69000</v>
      </c>
      <c r="Y96" s="80">
        <f t="shared" si="43"/>
        <v>69000</v>
      </c>
      <c r="Z96" s="93"/>
      <c r="AA96" s="93"/>
      <c r="AB96" s="94"/>
      <c r="AC96" s="2">
        <v>3000</v>
      </c>
      <c r="AD96" s="2">
        <f>Z96+AC96</f>
        <v>3000</v>
      </c>
      <c r="AF96" s="28">
        <f t="shared" si="37"/>
        <v>0</v>
      </c>
      <c r="AG96" s="55" t="s">
        <v>125</v>
      </c>
      <c r="AI96" s="20" t="s">
        <v>45</v>
      </c>
      <c r="AJ96" s="2">
        <f t="shared" si="44"/>
        <v>-69000</v>
      </c>
      <c r="AK96" s="2">
        <f>AVERAGE(AF96,AF95,AF94,AF93,AF92,AF91,AF90,AF89,AF88,AF87,AF86,AF84,AF83,AF82)</f>
        <v>48571.428571428572</v>
      </c>
      <c r="AL96" s="2">
        <f>MIN(AF96,AF95,AF94,AF93,AF92,AF91,AF90,AF89,AF88,AF87,AF86,AF84,AF83,AF82)</f>
        <v>0</v>
      </c>
      <c r="AM96" s="2">
        <f>MAX(AF96,AF95,AF94,AF93,AF92,AF91,AF90,AF89,AF88,AF87,AF86,AF84,AF83,AF82)</f>
        <v>115000</v>
      </c>
      <c r="AN96" s="29" t="e">
        <f t="shared" si="45"/>
        <v>#DIV/0!</v>
      </c>
      <c r="AO96" s="29" t="e">
        <f>AN96-AB96</f>
        <v>#DIV/0!</v>
      </c>
      <c r="AP96" s="3" t="s">
        <v>29</v>
      </c>
      <c r="AQ96" s="1" t="s">
        <v>143</v>
      </c>
      <c r="AR96" s="31">
        <f t="shared" si="46"/>
        <v>0</v>
      </c>
      <c r="AS96" s="31">
        <f t="shared" si="47"/>
        <v>0</v>
      </c>
      <c r="AT96" s="31">
        <f t="shared" si="59"/>
        <v>0</v>
      </c>
      <c r="AU96" s="31">
        <f t="shared" si="48"/>
        <v>0</v>
      </c>
      <c r="AV96" s="31">
        <f t="shared" si="49"/>
        <v>0</v>
      </c>
      <c r="AW96" s="31">
        <f t="shared" si="50"/>
        <v>0</v>
      </c>
      <c r="AX96" s="31">
        <f t="shared" si="51"/>
        <v>0</v>
      </c>
      <c r="AY96" s="31">
        <f t="shared" si="52"/>
        <v>0</v>
      </c>
      <c r="AZ96" s="31">
        <f t="shared" si="53"/>
        <v>0</v>
      </c>
      <c r="BA96" s="31">
        <f t="shared" si="54"/>
        <v>0</v>
      </c>
      <c r="BB96" s="32">
        <f>IF(BS96&lt;&gt;"", AK96-BS96, 0)</f>
        <v>-40128.571428571428</v>
      </c>
      <c r="BC96" s="32">
        <f>IF(DA96&lt;&gt;"", AK96-DA96, 0)</f>
        <v>-37801.571428571428</v>
      </c>
      <c r="BD96" s="32">
        <f>IF(CE96&lt;&gt;"", AK96-CE96, )</f>
        <v>-46928.571428571428</v>
      </c>
      <c r="BE96" s="32">
        <f>IF(DI96&lt;&gt;"", AK96-DI96, 0)</f>
        <v>-37477.571428571428</v>
      </c>
      <c r="BF96" s="32">
        <f>IF(CQ96&lt;&gt;"",AK96-CQ96, 0)</f>
        <v>0</v>
      </c>
      <c r="BG96" s="32">
        <f>IF(DQ96&lt;&gt;"", AK96-DQ96, 0)</f>
        <v>-38250.571428571428</v>
      </c>
      <c r="BH96" s="32">
        <f>IF(EA96&lt;&gt;"", AK96-EA96, 0)</f>
        <v>-26506.571428571428</v>
      </c>
      <c r="BI96" s="32">
        <f>IF(EM96&lt;&gt;"", AK96-EM96, 0)</f>
        <v>0</v>
      </c>
      <c r="BJ96" s="32">
        <f>IF(EW96&lt;&gt;"", AK96-EW96, 0)</f>
        <v>0</v>
      </c>
      <c r="BK96" s="32">
        <f>IF(FE96&lt;&gt;"", AK96-FE96, 0)</f>
        <v>0</v>
      </c>
      <c r="BL96" s="41"/>
      <c r="BM96" s="41"/>
      <c r="BN96" s="41"/>
      <c r="BO96" s="37"/>
      <c r="BP96" s="38"/>
      <c r="BQ96" s="37"/>
      <c r="BR96" s="40"/>
      <c r="BS96" s="41">
        <f>BU96+BT96</f>
        <v>88700</v>
      </c>
      <c r="BT96" s="41">
        <v>3500</v>
      </c>
      <c r="BU96" s="41">
        <v>85200</v>
      </c>
      <c r="BV96" s="41">
        <v>94950</v>
      </c>
      <c r="BW96" s="41">
        <v>76050</v>
      </c>
      <c r="BX96" s="36"/>
      <c r="BY96" s="33"/>
      <c r="BZ96" s="33"/>
      <c r="CA96" s="33"/>
      <c r="CB96" s="34"/>
      <c r="CC96" s="33"/>
      <c r="CD96" s="35"/>
      <c r="CE96" s="36">
        <f>CG96+CF96</f>
        <v>95500</v>
      </c>
      <c r="CF96" s="36">
        <v>2500</v>
      </c>
      <c r="CG96" s="36">
        <v>93000</v>
      </c>
      <c r="CH96" s="36">
        <v>112950</v>
      </c>
      <c r="CI96" s="36">
        <v>82800</v>
      </c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35"/>
      <c r="CW96" s="35"/>
      <c r="CX96" s="35"/>
      <c r="CY96" s="35"/>
      <c r="CZ96" s="35"/>
      <c r="DA96" s="36">
        <v>86373</v>
      </c>
      <c r="DB96" s="36">
        <v>99090</v>
      </c>
      <c r="DC96" s="36">
        <v>80190</v>
      </c>
      <c r="DD96" s="40"/>
      <c r="DE96" s="40"/>
      <c r="DF96" s="40"/>
      <c r="DG96" s="40"/>
      <c r="DH96" s="40"/>
      <c r="DI96" s="41">
        <v>86049</v>
      </c>
      <c r="DJ96" s="41">
        <v>89370</v>
      </c>
      <c r="DK96" s="41">
        <v>83106</v>
      </c>
      <c r="DL96" s="35"/>
      <c r="DM96" s="35"/>
      <c r="DN96" s="35"/>
      <c r="DO96" s="35"/>
      <c r="DP96" s="35"/>
      <c r="DQ96" s="36">
        <v>86822</v>
      </c>
      <c r="DR96" s="36">
        <v>93712</v>
      </c>
      <c r="DS96" s="36">
        <v>76125</v>
      </c>
      <c r="DT96" s="40"/>
      <c r="DU96" s="40"/>
      <c r="DV96" s="40"/>
      <c r="DW96" s="40"/>
      <c r="DX96" s="40"/>
      <c r="DY96" s="40"/>
      <c r="DZ96" s="40"/>
      <c r="EA96" s="41">
        <f>EC96+EB96</f>
        <v>75078</v>
      </c>
      <c r="EB96" s="41">
        <v>3500</v>
      </c>
      <c r="EC96" s="41">
        <v>71578</v>
      </c>
      <c r="ED96" s="41">
        <v>78382</v>
      </c>
      <c r="EE96" s="41">
        <v>67147</v>
      </c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40"/>
      <c r="ES96" s="40"/>
      <c r="ET96" s="40"/>
      <c r="EU96" s="40"/>
      <c r="EV96" s="40"/>
      <c r="EW96" s="40"/>
      <c r="EX96" s="40"/>
      <c r="EY96" s="40"/>
      <c r="EZ96" s="35"/>
      <c r="FA96" s="35"/>
      <c r="FB96" s="35"/>
      <c r="FC96" s="35"/>
      <c r="FD96" s="35"/>
      <c r="FE96" s="35"/>
      <c r="FF96" s="35"/>
      <c r="FG96" s="35"/>
    </row>
    <row r="97" spans="1:163">
      <c r="A97" s="60">
        <v>117</v>
      </c>
      <c r="E97" s="63" t="s">
        <v>212</v>
      </c>
      <c r="F97" s="56" t="s">
        <v>59</v>
      </c>
      <c r="G97" s="70" t="s">
        <v>496</v>
      </c>
      <c r="H97" s="66" t="str">
        <f t="shared" si="40"/>
        <v xml:space="preserve"> 947</v>
      </c>
      <c r="I97" s="67" t="s">
        <v>496</v>
      </c>
      <c r="J97" s="68">
        <f t="shared" si="41"/>
        <v>0</v>
      </c>
      <c r="K97" s="63" t="s">
        <v>256</v>
      </c>
      <c r="L97" s="1" t="s">
        <v>46</v>
      </c>
      <c r="O97" s="64" t="s">
        <v>789</v>
      </c>
      <c r="P97" s="82">
        <v>0</v>
      </c>
      <c r="Q97" s="74">
        <f t="shared" si="55"/>
        <v>75000</v>
      </c>
      <c r="R97" s="77">
        <v>75000</v>
      </c>
      <c r="S97" s="72">
        <f t="shared" si="56"/>
        <v>8150</v>
      </c>
      <c r="T97" s="68"/>
      <c r="U97" s="73">
        <f t="shared" si="57"/>
        <v>66850</v>
      </c>
      <c r="V97" s="73">
        <f t="shared" si="58"/>
        <v>8150</v>
      </c>
      <c r="W97" s="2">
        <f t="shared" si="42"/>
        <v>75000</v>
      </c>
      <c r="Y97" s="80">
        <f t="shared" si="43"/>
        <v>75000</v>
      </c>
      <c r="Z97" s="93"/>
      <c r="AA97" s="93"/>
      <c r="AB97" s="94"/>
      <c r="AC97" s="2">
        <v>4000</v>
      </c>
      <c r="AD97" s="2">
        <f>Z97+AC97</f>
        <v>4000</v>
      </c>
      <c r="AF97" s="28">
        <f t="shared" si="37"/>
        <v>0</v>
      </c>
      <c r="AG97" s="55" t="s">
        <v>125</v>
      </c>
      <c r="AI97" s="20" t="s">
        <v>206</v>
      </c>
      <c r="AJ97" s="2">
        <f t="shared" si="44"/>
        <v>-75000</v>
      </c>
      <c r="AN97" s="29" t="e">
        <f t="shared" si="45"/>
        <v>#DIV/0!</v>
      </c>
      <c r="AO97" s="29" t="e">
        <f>AN97-AB97</f>
        <v>#DIV/0!</v>
      </c>
      <c r="AP97" s="3" t="s">
        <v>29</v>
      </c>
      <c r="AQ97" s="1" t="s">
        <v>139</v>
      </c>
      <c r="AR97" s="31">
        <f t="shared" si="46"/>
        <v>0</v>
      </c>
      <c r="AS97" s="31">
        <f t="shared" si="47"/>
        <v>0</v>
      </c>
      <c r="AT97" s="31">
        <f t="shared" si="59"/>
        <v>0</v>
      </c>
      <c r="AU97" s="31">
        <f t="shared" si="48"/>
        <v>0</v>
      </c>
      <c r="AV97" s="31">
        <f t="shared" si="49"/>
        <v>0</v>
      </c>
      <c r="AW97" s="31">
        <f t="shared" si="50"/>
        <v>0</v>
      </c>
      <c r="AX97" s="31">
        <f t="shared" si="51"/>
        <v>0</v>
      </c>
      <c r="AY97" s="31">
        <f t="shared" si="52"/>
        <v>0</v>
      </c>
      <c r="AZ97" s="31">
        <f t="shared" si="53"/>
        <v>0</v>
      </c>
      <c r="BA97" s="31">
        <f t="shared" si="54"/>
        <v>0</v>
      </c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41"/>
      <c r="BM97" s="41"/>
      <c r="BN97" s="41"/>
      <c r="BO97" s="37"/>
      <c r="BP97" s="38"/>
      <c r="BQ97" s="37"/>
      <c r="BR97" s="40"/>
      <c r="BS97" s="39"/>
      <c r="BT97" s="39"/>
      <c r="BU97" s="39"/>
      <c r="BV97" s="39"/>
      <c r="BW97" s="39"/>
      <c r="BX97" s="36"/>
      <c r="BY97" s="33"/>
      <c r="BZ97" s="33"/>
      <c r="CA97" s="33"/>
      <c r="CB97" s="34"/>
      <c r="CC97" s="33"/>
      <c r="CD97" s="35"/>
      <c r="CE97" s="48"/>
      <c r="CF97" s="48"/>
      <c r="CG97" s="48"/>
      <c r="CH97" s="48"/>
      <c r="CI97" s="48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35"/>
      <c r="CW97" s="35"/>
      <c r="CX97" s="35"/>
      <c r="CY97" s="35"/>
      <c r="CZ97" s="35"/>
      <c r="DA97" s="35"/>
      <c r="DB97" s="35"/>
      <c r="DC97" s="35"/>
      <c r="DD97" s="40"/>
      <c r="DE97" s="40"/>
      <c r="DF97" s="40"/>
      <c r="DG97" s="40"/>
      <c r="DH97" s="40"/>
      <c r="DI97" s="40"/>
      <c r="DJ97" s="40"/>
      <c r="DK97" s="40"/>
      <c r="DL97" s="35"/>
      <c r="DM97" s="35"/>
      <c r="DN97" s="35"/>
      <c r="DO97" s="35"/>
      <c r="DP97" s="35"/>
      <c r="DQ97" s="35"/>
      <c r="DR97" s="35"/>
      <c r="DS97" s="35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40"/>
      <c r="ES97" s="40"/>
      <c r="ET97" s="40"/>
      <c r="EU97" s="40"/>
      <c r="EV97" s="40"/>
      <c r="EW97" s="40"/>
      <c r="EX97" s="40"/>
      <c r="EY97" s="40"/>
      <c r="EZ97" s="35"/>
      <c r="FA97" s="35"/>
      <c r="FB97" s="35"/>
      <c r="FC97" s="35"/>
      <c r="FD97" s="35"/>
      <c r="FE97" s="35"/>
      <c r="FF97" s="35"/>
      <c r="FG97" s="35"/>
    </row>
    <row r="98" spans="1:163">
      <c r="A98" s="60">
        <v>122</v>
      </c>
      <c r="E98" s="63" t="s">
        <v>56</v>
      </c>
      <c r="F98" s="56" t="s">
        <v>59</v>
      </c>
      <c r="G98" s="70" t="s">
        <v>501</v>
      </c>
      <c r="H98" s="66" t="str">
        <f t="shared" si="40"/>
        <v xml:space="preserve"> 755</v>
      </c>
      <c r="I98" s="67" t="s">
        <v>501</v>
      </c>
      <c r="J98" s="68">
        <f t="shared" si="41"/>
        <v>0</v>
      </c>
      <c r="K98" s="63" t="s">
        <v>256</v>
      </c>
      <c r="L98" s="1" t="s">
        <v>46</v>
      </c>
      <c r="O98" s="64" t="s">
        <v>789</v>
      </c>
      <c r="P98" s="82">
        <v>0</v>
      </c>
      <c r="Q98" s="74">
        <f t="shared" si="55"/>
        <v>68000</v>
      </c>
      <c r="R98" s="71">
        <v>68000</v>
      </c>
      <c r="S98" s="72">
        <f t="shared" si="56"/>
        <v>8150</v>
      </c>
      <c r="T98" s="68"/>
      <c r="U98" s="73">
        <f t="shared" si="57"/>
        <v>59850</v>
      </c>
      <c r="V98" s="75">
        <f t="shared" si="58"/>
        <v>8150</v>
      </c>
      <c r="W98" s="2">
        <f t="shared" si="42"/>
        <v>68000</v>
      </c>
      <c r="Y98" s="80">
        <f t="shared" si="43"/>
        <v>68000</v>
      </c>
      <c r="Z98" s="93"/>
      <c r="AA98" s="93"/>
      <c r="AB98" s="94"/>
      <c r="AE98" s="2">
        <v>95000</v>
      </c>
      <c r="AF98" s="28">
        <f t="shared" si="37"/>
        <v>95000</v>
      </c>
      <c r="AG98" s="55" t="s">
        <v>125</v>
      </c>
      <c r="AI98" s="20" t="s">
        <v>206</v>
      </c>
      <c r="AJ98" s="2">
        <f t="shared" si="44"/>
        <v>27000</v>
      </c>
      <c r="AN98" s="29">
        <f t="shared" si="45"/>
        <v>0.28421052631578947</v>
      </c>
      <c r="AP98" s="3" t="s">
        <v>29</v>
      </c>
      <c r="AQ98" s="1" t="s">
        <v>139</v>
      </c>
      <c r="AR98" s="31">
        <f t="shared" si="46"/>
        <v>0</v>
      </c>
      <c r="AS98" s="31">
        <f t="shared" si="47"/>
        <v>0</v>
      </c>
      <c r="AT98" s="31">
        <f t="shared" si="59"/>
        <v>0</v>
      </c>
      <c r="AU98" s="31">
        <f t="shared" si="48"/>
        <v>0</v>
      </c>
      <c r="AV98" s="31">
        <f t="shared" si="49"/>
        <v>0</v>
      </c>
      <c r="AW98" s="31">
        <f t="shared" si="50"/>
        <v>0</v>
      </c>
      <c r="AX98" s="31">
        <f t="shared" si="51"/>
        <v>0</v>
      </c>
      <c r="AY98" s="31">
        <f t="shared" si="52"/>
        <v>0</v>
      </c>
      <c r="AZ98" s="31">
        <f t="shared" si="53"/>
        <v>0</v>
      </c>
      <c r="BA98" s="31">
        <f t="shared" si="54"/>
        <v>0</v>
      </c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41"/>
      <c r="BM98" s="41"/>
      <c r="BN98" s="41"/>
      <c r="BO98" s="37"/>
      <c r="BP98" s="38"/>
      <c r="BQ98" s="37"/>
      <c r="BR98" s="40"/>
      <c r="BS98" s="39"/>
      <c r="BT98" s="39"/>
      <c r="BU98" s="39"/>
      <c r="BV98" s="39"/>
      <c r="BW98" s="39"/>
      <c r="BX98" s="36"/>
      <c r="BY98" s="33"/>
      <c r="BZ98" s="33"/>
      <c r="CA98" s="33"/>
      <c r="CB98" s="34"/>
      <c r="CC98" s="33"/>
      <c r="CD98" s="35"/>
      <c r="CE98" s="48"/>
      <c r="CF98" s="48"/>
      <c r="CG98" s="48"/>
      <c r="CH98" s="48"/>
      <c r="CI98" s="48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35"/>
      <c r="CW98" s="35"/>
      <c r="CX98" s="35"/>
      <c r="CY98" s="35"/>
      <c r="CZ98" s="35"/>
      <c r="DA98" s="35"/>
      <c r="DB98" s="35"/>
      <c r="DC98" s="35"/>
      <c r="DD98" s="40"/>
      <c r="DE98" s="40"/>
      <c r="DF98" s="40"/>
      <c r="DG98" s="40"/>
      <c r="DH98" s="40"/>
      <c r="DI98" s="40"/>
      <c r="DJ98" s="40"/>
      <c r="DK98" s="40"/>
      <c r="DL98" s="35"/>
      <c r="DM98" s="35"/>
      <c r="DN98" s="35"/>
      <c r="DO98" s="35"/>
      <c r="DP98" s="35"/>
      <c r="DQ98" s="35"/>
      <c r="DR98" s="35"/>
      <c r="DS98" s="35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40"/>
      <c r="ES98" s="40"/>
      <c r="ET98" s="40"/>
      <c r="EU98" s="40"/>
      <c r="EV98" s="40"/>
      <c r="EW98" s="40"/>
      <c r="EX98" s="40"/>
      <c r="EY98" s="40"/>
      <c r="EZ98" s="35"/>
      <c r="FA98" s="35"/>
      <c r="FB98" s="35"/>
      <c r="FC98" s="35"/>
      <c r="FD98" s="35"/>
      <c r="FE98" s="35"/>
      <c r="FF98" s="35"/>
      <c r="FG98" s="35"/>
    </row>
    <row r="99" spans="1:163">
      <c r="A99" s="60">
        <v>124</v>
      </c>
      <c r="E99" s="63" t="s">
        <v>113</v>
      </c>
      <c r="F99" s="56" t="s">
        <v>60</v>
      </c>
      <c r="G99" s="70" t="s">
        <v>503</v>
      </c>
      <c r="H99" s="66" t="str">
        <f t="shared" si="40"/>
        <v xml:space="preserve"> 292</v>
      </c>
      <c r="I99" s="67" t="s">
        <v>503</v>
      </c>
      <c r="J99" s="68">
        <f t="shared" si="41"/>
        <v>0</v>
      </c>
      <c r="K99" s="63" t="s">
        <v>256</v>
      </c>
      <c r="L99" s="1" t="s">
        <v>46</v>
      </c>
      <c r="O99" s="64" t="s">
        <v>789</v>
      </c>
      <c r="P99" s="82">
        <v>0</v>
      </c>
      <c r="Q99" s="74">
        <f t="shared" si="55"/>
        <v>68000</v>
      </c>
      <c r="R99" s="71">
        <f>68000</f>
        <v>68000</v>
      </c>
      <c r="S99" s="72">
        <f t="shared" si="56"/>
        <v>8150</v>
      </c>
      <c r="T99" s="68"/>
      <c r="U99" s="73">
        <f t="shared" si="57"/>
        <v>59850</v>
      </c>
      <c r="V99" s="73">
        <f t="shared" si="58"/>
        <v>8150</v>
      </c>
      <c r="W99" s="2">
        <f t="shared" si="42"/>
        <v>68000</v>
      </c>
      <c r="Y99" s="80">
        <f t="shared" si="43"/>
        <v>68000</v>
      </c>
      <c r="Z99" s="93"/>
      <c r="AA99" s="93"/>
      <c r="AB99" s="94"/>
      <c r="AE99" s="2">
        <v>138000</v>
      </c>
      <c r="AF99" s="28">
        <f t="shared" si="37"/>
        <v>138000</v>
      </c>
      <c r="AG99" s="55" t="s">
        <v>125</v>
      </c>
      <c r="AI99" s="20" t="s">
        <v>204</v>
      </c>
      <c r="AJ99" s="2">
        <f t="shared" si="44"/>
        <v>70000</v>
      </c>
      <c r="AN99" s="29">
        <f t="shared" si="45"/>
        <v>0.50724637681159424</v>
      </c>
      <c r="AP99" s="3" t="s">
        <v>29</v>
      </c>
      <c r="AQ99" s="1" t="s">
        <v>142</v>
      </c>
      <c r="AR99" s="31">
        <f t="shared" si="46"/>
        <v>0</v>
      </c>
      <c r="AS99" s="31">
        <f t="shared" si="47"/>
        <v>0</v>
      </c>
      <c r="AT99" s="31">
        <f t="shared" si="59"/>
        <v>0</v>
      </c>
      <c r="AU99" s="31">
        <f t="shared" si="48"/>
        <v>0</v>
      </c>
      <c r="AV99" s="31">
        <f t="shared" si="49"/>
        <v>0</v>
      </c>
      <c r="AW99" s="31">
        <f t="shared" si="50"/>
        <v>0</v>
      </c>
      <c r="AX99" s="31">
        <f t="shared" si="51"/>
        <v>0</v>
      </c>
      <c r="AY99" s="31">
        <f t="shared" si="52"/>
        <v>0</v>
      </c>
      <c r="AZ99" s="31">
        <f t="shared" si="53"/>
        <v>0</v>
      </c>
      <c r="BA99" s="31">
        <f t="shared" si="54"/>
        <v>0</v>
      </c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41"/>
      <c r="BM99" s="41"/>
      <c r="BN99" s="41"/>
      <c r="BO99" s="37"/>
      <c r="BP99" s="38"/>
      <c r="BQ99" s="37"/>
      <c r="BR99" s="40"/>
      <c r="BS99" s="39"/>
      <c r="BT99" s="39"/>
      <c r="BU99" s="39"/>
      <c r="BV99" s="39"/>
      <c r="BW99" s="39"/>
      <c r="BX99" s="36"/>
      <c r="BY99" s="33"/>
      <c r="BZ99" s="33"/>
      <c r="CA99" s="33"/>
      <c r="CB99" s="34"/>
      <c r="CC99" s="33"/>
      <c r="CD99" s="35"/>
      <c r="CE99" s="48"/>
      <c r="CF99" s="48"/>
      <c r="CG99" s="48"/>
      <c r="CH99" s="48"/>
      <c r="CI99" s="48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35"/>
      <c r="CW99" s="35"/>
      <c r="CX99" s="35"/>
      <c r="CY99" s="35"/>
      <c r="CZ99" s="35"/>
      <c r="DA99" s="35"/>
      <c r="DB99" s="35"/>
      <c r="DC99" s="35"/>
      <c r="DD99" s="40"/>
      <c r="DE99" s="40"/>
      <c r="DF99" s="40"/>
      <c r="DG99" s="40"/>
      <c r="DH99" s="40"/>
      <c r="DI99" s="40"/>
      <c r="DJ99" s="40"/>
      <c r="DK99" s="40"/>
      <c r="DL99" s="35"/>
      <c r="DM99" s="35"/>
      <c r="DN99" s="35"/>
      <c r="DO99" s="35"/>
      <c r="DP99" s="35"/>
      <c r="DQ99" s="35"/>
      <c r="DR99" s="35"/>
      <c r="DS99" s="35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40"/>
      <c r="ES99" s="40"/>
      <c r="ET99" s="40"/>
      <c r="EU99" s="40"/>
      <c r="EV99" s="40"/>
      <c r="EW99" s="40"/>
      <c r="EX99" s="40"/>
      <c r="EY99" s="40"/>
      <c r="EZ99" s="35"/>
      <c r="FA99" s="35"/>
      <c r="FB99" s="35"/>
      <c r="FC99" s="35"/>
      <c r="FD99" s="35"/>
      <c r="FE99" s="35"/>
      <c r="FF99" s="35"/>
      <c r="FG99" s="35"/>
    </row>
    <row r="100" spans="1:163">
      <c r="A100" s="60">
        <v>128</v>
      </c>
      <c r="E100" s="63" t="s">
        <v>58</v>
      </c>
      <c r="F100" s="56" t="s">
        <v>60</v>
      </c>
      <c r="G100" s="70" t="s">
        <v>507</v>
      </c>
      <c r="H100" s="66" t="str">
        <f t="shared" si="40"/>
        <v xml:space="preserve"> 842</v>
      </c>
      <c r="I100" s="67" t="s">
        <v>507</v>
      </c>
      <c r="J100" s="68">
        <f t="shared" si="41"/>
        <v>0</v>
      </c>
      <c r="K100" s="63" t="s">
        <v>256</v>
      </c>
      <c r="L100" s="1" t="s">
        <v>46</v>
      </c>
      <c r="O100" s="64" t="s">
        <v>789</v>
      </c>
      <c r="P100" s="82">
        <v>0</v>
      </c>
      <c r="Q100" s="74">
        <f t="shared" si="55"/>
        <v>69000</v>
      </c>
      <c r="R100" s="71">
        <v>69000</v>
      </c>
      <c r="S100" s="72">
        <f t="shared" si="56"/>
        <v>8150</v>
      </c>
      <c r="T100" s="68"/>
      <c r="U100" s="73">
        <f t="shared" si="57"/>
        <v>60850</v>
      </c>
      <c r="V100" s="73">
        <f t="shared" si="58"/>
        <v>8150</v>
      </c>
      <c r="W100" s="2">
        <f t="shared" si="42"/>
        <v>69000</v>
      </c>
      <c r="Y100" s="80">
        <f t="shared" si="43"/>
        <v>69000</v>
      </c>
      <c r="Z100" s="93"/>
      <c r="AA100" s="93"/>
      <c r="AB100" s="94"/>
      <c r="AC100" s="2">
        <v>3000</v>
      </c>
      <c r="AD100" s="2">
        <f>Z100+AC100</f>
        <v>3000</v>
      </c>
      <c r="AF100" s="28">
        <f t="shared" si="37"/>
        <v>0</v>
      </c>
      <c r="AG100" s="55" t="s">
        <v>125</v>
      </c>
      <c r="AI100" s="20" t="s">
        <v>204</v>
      </c>
      <c r="AJ100" s="2">
        <f t="shared" si="44"/>
        <v>-69000</v>
      </c>
      <c r="AN100" s="29" t="e">
        <f t="shared" si="45"/>
        <v>#DIV/0!</v>
      </c>
      <c r="AO100" s="29" t="e">
        <f>AN100-AB100</f>
        <v>#DIV/0!</v>
      </c>
      <c r="AP100" s="3" t="s">
        <v>29</v>
      </c>
      <c r="AQ100" s="1" t="s">
        <v>142</v>
      </c>
      <c r="AR100" s="31">
        <f t="shared" si="46"/>
        <v>0</v>
      </c>
      <c r="AS100" s="31">
        <f t="shared" si="47"/>
        <v>0</v>
      </c>
      <c r="AT100" s="31">
        <f t="shared" si="59"/>
        <v>0</v>
      </c>
      <c r="AU100" s="31">
        <f t="shared" si="48"/>
        <v>0</v>
      </c>
      <c r="AV100" s="31">
        <f t="shared" si="49"/>
        <v>0</v>
      </c>
      <c r="AW100" s="31">
        <f t="shared" si="50"/>
        <v>0</v>
      </c>
      <c r="AX100" s="31">
        <f t="shared" si="51"/>
        <v>0</v>
      </c>
      <c r="AY100" s="31">
        <f t="shared" si="52"/>
        <v>0</v>
      </c>
      <c r="AZ100" s="31">
        <f t="shared" si="53"/>
        <v>0</v>
      </c>
      <c r="BA100" s="31">
        <f t="shared" si="54"/>
        <v>0</v>
      </c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41"/>
      <c r="BM100" s="41"/>
      <c r="BN100" s="41"/>
      <c r="BO100" s="37"/>
      <c r="BP100" s="38"/>
      <c r="BQ100" s="37"/>
      <c r="BR100" s="40"/>
      <c r="BS100" s="39"/>
      <c r="BT100" s="39"/>
      <c r="BU100" s="39"/>
      <c r="BV100" s="39"/>
      <c r="BW100" s="39"/>
      <c r="BX100" s="36"/>
      <c r="BY100" s="33"/>
      <c r="BZ100" s="33"/>
      <c r="CA100" s="33"/>
      <c r="CB100" s="34"/>
      <c r="CC100" s="33"/>
      <c r="CD100" s="35"/>
      <c r="CE100" s="48"/>
      <c r="CF100" s="48"/>
      <c r="CG100" s="48"/>
      <c r="CH100" s="48"/>
      <c r="CI100" s="48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35"/>
      <c r="CW100" s="35"/>
      <c r="CX100" s="35"/>
      <c r="CY100" s="35"/>
      <c r="CZ100" s="35"/>
      <c r="DA100" s="35"/>
      <c r="DB100" s="35"/>
      <c r="DC100" s="35"/>
      <c r="DD100" s="40"/>
      <c r="DE100" s="40"/>
      <c r="DF100" s="40"/>
      <c r="DG100" s="40"/>
      <c r="DH100" s="40"/>
      <c r="DI100" s="40"/>
      <c r="DJ100" s="40"/>
      <c r="DK100" s="40"/>
      <c r="DL100" s="35"/>
      <c r="DM100" s="35"/>
      <c r="DN100" s="35"/>
      <c r="DO100" s="35"/>
      <c r="DP100" s="35"/>
      <c r="DQ100" s="35"/>
      <c r="DR100" s="35"/>
      <c r="DS100" s="35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40"/>
      <c r="ES100" s="40"/>
      <c r="ET100" s="40"/>
      <c r="EU100" s="40"/>
      <c r="EV100" s="40"/>
      <c r="EW100" s="40"/>
      <c r="EX100" s="40"/>
      <c r="EY100" s="40"/>
      <c r="EZ100" s="35"/>
      <c r="FA100" s="35"/>
      <c r="FB100" s="35"/>
      <c r="FC100" s="35"/>
      <c r="FD100" s="35"/>
      <c r="FE100" s="35"/>
      <c r="FF100" s="35"/>
      <c r="FG100" s="35"/>
    </row>
    <row r="101" spans="1:163">
      <c r="A101" s="60">
        <v>174</v>
      </c>
      <c r="E101" s="63" t="s">
        <v>63</v>
      </c>
      <c r="F101" s="56" t="s">
        <v>63</v>
      </c>
      <c r="G101" s="70" t="s">
        <v>553</v>
      </c>
      <c r="H101" s="66" t="str">
        <f t="shared" si="40"/>
        <v xml:space="preserve"> </v>
      </c>
      <c r="I101" s="67" t="s">
        <v>554</v>
      </c>
      <c r="J101" s="68">
        <f t="shared" si="41"/>
        <v>1</v>
      </c>
      <c r="K101" s="63" t="s">
        <v>256</v>
      </c>
      <c r="L101" s="1" t="s">
        <v>46</v>
      </c>
      <c r="O101" s="88" t="s">
        <v>790</v>
      </c>
      <c r="P101" s="89">
        <v>0</v>
      </c>
      <c r="Q101" s="90">
        <f t="shared" si="55"/>
        <v>0</v>
      </c>
      <c r="R101" s="71"/>
      <c r="S101" s="72">
        <f t="shared" si="56"/>
        <v>0</v>
      </c>
      <c r="T101" s="68"/>
      <c r="U101" s="73">
        <f t="shared" si="57"/>
        <v>0</v>
      </c>
      <c r="V101" s="75"/>
      <c r="W101" s="2">
        <f t="shared" si="42"/>
        <v>0</v>
      </c>
      <c r="Y101" s="81">
        <f t="shared" si="43"/>
        <v>0</v>
      </c>
      <c r="Z101" s="96">
        <v>0</v>
      </c>
      <c r="AA101" s="97">
        <f>U101-Z101</f>
        <v>0</v>
      </c>
      <c r="AB101" s="98" t="e">
        <f>AA101/Z101</f>
        <v>#DIV/0!</v>
      </c>
      <c r="AE101" s="2">
        <v>124000</v>
      </c>
      <c r="AF101" s="28">
        <f t="shared" si="37"/>
        <v>0</v>
      </c>
      <c r="AG101" s="55" t="s">
        <v>125</v>
      </c>
      <c r="AI101" s="20" t="s">
        <v>206</v>
      </c>
      <c r="AJ101" s="2">
        <f t="shared" si="44"/>
        <v>0</v>
      </c>
      <c r="AN101" s="29" t="e">
        <f t="shared" si="45"/>
        <v>#DIV/0!</v>
      </c>
      <c r="AP101" s="3" t="s">
        <v>29</v>
      </c>
      <c r="AQ101" s="1" t="s">
        <v>165</v>
      </c>
      <c r="AR101" s="31">
        <f t="shared" si="46"/>
        <v>0</v>
      </c>
      <c r="AS101" s="31">
        <f t="shared" si="47"/>
        <v>0</v>
      </c>
      <c r="AT101" s="31">
        <f t="shared" si="59"/>
        <v>0</v>
      </c>
      <c r="AU101" s="31">
        <f t="shared" si="48"/>
        <v>0</v>
      </c>
      <c r="AV101" s="31">
        <f t="shared" si="49"/>
        <v>0</v>
      </c>
      <c r="AW101" s="31">
        <f t="shared" si="50"/>
        <v>0</v>
      </c>
      <c r="AX101" s="31">
        <f t="shared" si="51"/>
        <v>0</v>
      </c>
      <c r="AY101" s="31">
        <f t="shared" si="52"/>
        <v>0</v>
      </c>
      <c r="AZ101" s="31">
        <f t="shared" si="53"/>
        <v>0</v>
      </c>
      <c r="BA101" s="31">
        <f t="shared" si="54"/>
        <v>0</v>
      </c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41"/>
      <c r="BM101" s="41"/>
      <c r="BN101" s="41"/>
      <c r="BO101" s="37"/>
      <c r="BP101" s="38"/>
      <c r="BQ101" s="37"/>
      <c r="BR101" s="40"/>
      <c r="BS101" s="39"/>
      <c r="BT101" s="39"/>
      <c r="BU101" s="39"/>
      <c r="BV101" s="39"/>
      <c r="BW101" s="39"/>
      <c r="BX101" s="36"/>
      <c r="BY101" s="33"/>
      <c r="BZ101" s="33"/>
      <c r="CA101" s="33"/>
      <c r="CB101" s="34"/>
      <c r="CC101" s="33"/>
      <c r="CD101" s="35"/>
      <c r="CE101" s="48"/>
      <c r="CF101" s="48"/>
      <c r="CG101" s="48"/>
      <c r="CH101" s="48"/>
      <c r="CI101" s="48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35"/>
      <c r="CW101" s="35"/>
      <c r="CX101" s="35"/>
      <c r="CY101" s="35"/>
      <c r="CZ101" s="35"/>
      <c r="DA101" s="35"/>
      <c r="DB101" s="35"/>
      <c r="DC101" s="35"/>
      <c r="DD101" s="40"/>
      <c r="DE101" s="40"/>
      <c r="DF101" s="40"/>
      <c r="DG101" s="40"/>
      <c r="DH101" s="40"/>
      <c r="DI101" s="40"/>
      <c r="DJ101" s="40"/>
      <c r="DK101" s="40"/>
      <c r="DL101" s="35"/>
      <c r="DM101" s="35"/>
      <c r="DN101" s="35"/>
      <c r="DO101" s="35"/>
      <c r="DP101" s="35"/>
      <c r="DQ101" s="35"/>
      <c r="DR101" s="35"/>
      <c r="DS101" s="35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40"/>
      <c r="ES101" s="40"/>
      <c r="ET101" s="40"/>
      <c r="EU101" s="40"/>
      <c r="EV101" s="40"/>
      <c r="EW101" s="40"/>
      <c r="EX101" s="40"/>
      <c r="EY101" s="40"/>
      <c r="EZ101" s="35"/>
      <c r="FA101" s="35"/>
      <c r="FB101" s="35"/>
      <c r="FC101" s="35"/>
      <c r="FD101" s="35"/>
      <c r="FE101" s="35"/>
      <c r="FF101" s="35"/>
      <c r="FG101" s="35"/>
    </row>
    <row r="102" spans="1:163">
      <c r="A102" s="60">
        <v>43</v>
      </c>
      <c r="E102" s="63" t="s">
        <v>113</v>
      </c>
      <c r="F102" s="56" t="s">
        <v>113</v>
      </c>
      <c r="G102" s="70" t="s">
        <v>423</v>
      </c>
      <c r="H102" s="66" t="str">
        <f t="shared" si="40"/>
        <v xml:space="preserve"> 272</v>
      </c>
      <c r="I102" s="67" t="s">
        <v>423</v>
      </c>
      <c r="J102" s="68">
        <f t="shared" si="41"/>
        <v>0</v>
      </c>
      <c r="K102" s="63" t="s">
        <v>256</v>
      </c>
      <c r="L102" s="1" t="s">
        <v>46</v>
      </c>
      <c r="O102" s="88" t="s">
        <v>790</v>
      </c>
      <c r="P102" s="89">
        <v>0</v>
      </c>
      <c r="Q102" s="90">
        <f t="shared" si="55"/>
        <v>67500</v>
      </c>
      <c r="R102" s="71">
        <v>67500</v>
      </c>
      <c r="S102" s="72">
        <f t="shared" si="56"/>
        <v>8150</v>
      </c>
      <c r="T102" s="68"/>
      <c r="U102" s="73">
        <f t="shared" si="57"/>
        <v>59350</v>
      </c>
      <c r="V102" s="73">
        <f>2000+5100+600+200+250</f>
        <v>8150</v>
      </c>
      <c r="W102" s="2">
        <f t="shared" si="42"/>
        <v>67500</v>
      </c>
      <c r="Y102" s="81">
        <f t="shared" si="43"/>
        <v>67500</v>
      </c>
      <c r="Z102" s="96">
        <v>0</v>
      </c>
      <c r="AA102" s="97">
        <f>U102-Z102</f>
        <v>59350</v>
      </c>
      <c r="AB102" s="98" t="e">
        <f>AA102/Z102</f>
        <v>#DIV/0!</v>
      </c>
      <c r="AC102" s="2">
        <v>3000</v>
      </c>
      <c r="AD102" s="2">
        <f>Z102+AC102</f>
        <v>3000</v>
      </c>
      <c r="AF102" s="28">
        <f t="shared" si="37"/>
        <v>3000</v>
      </c>
      <c r="AG102" s="55" t="s">
        <v>125</v>
      </c>
      <c r="AI102" s="20" t="s">
        <v>45</v>
      </c>
      <c r="AJ102" s="2">
        <f t="shared" si="44"/>
        <v>-64500</v>
      </c>
      <c r="AN102" s="29">
        <f t="shared" si="45"/>
        <v>-21.5</v>
      </c>
      <c r="AO102" s="29" t="e">
        <f>AN102-AB102</f>
        <v>#DIV/0!</v>
      </c>
      <c r="AP102" s="3" t="s">
        <v>29</v>
      </c>
      <c r="AQ102" s="1" t="s">
        <v>148</v>
      </c>
      <c r="AR102" s="31">
        <f t="shared" si="46"/>
        <v>0</v>
      </c>
      <c r="AS102" s="31">
        <f t="shared" si="47"/>
        <v>0</v>
      </c>
      <c r="AT102" s="31">
        <f t="shared" si="59"/>
        <v>0</v>
      </c>
      <c r="AU102" s="31">
        <f t="shared" si="48"/>
        <v>0</v>
      </c>
      <c r="AV102" s="31">
        <f t="shared" si="49"/>
        <v>0</v>
      </c>
      <c r="AW102" s="31">
        <f t="shared" si="50"/>
        <v>0</v>
      </c>
      <c r="AX102" s="31">
        <f t="shared" si="51"/>
        <v>0</v>
      </c>
      <c r="AY102" s="31">
        <f t="shared" si="52"/>
        <v>0</v>
      </c>
      <c r="AZ102" s="31">
        <f t="shared" si="53"/>
        <v>0</v>
      </c>
      <c r="BA102" s="31">
        <f t="shared" si="54"/>
        <v>0</v>
      </c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41"/>
      <c r="BM102" s="41"/>
      <c r="BN102" s="41"/>
      <c r="BO102" s="37"/>
      <c r="BP102" s="38"/>
      <c r="BQ102" s="37"/>
      <c r="BR102" s="40"/>
      <c r="BS102" s="39"/>
      <c r="BT102" s="39"/>
      <c r="BU102" s="39"/>
      <c r="BV102" s="39"/>
      <c r="BW102" s="39"/>
      <c r="BX102" s="36"/>
      <c r="BY102" s="33"/>
      <c r="BZ102" s="33"/>
      <c r="CA102" s="33"/>
      <c r="CB102" s="34"/>
      <c r="CC102" s="33"/>
      <c r="CD102" s="35"/>
      <c r="CE102" s="48"/>
      <c r="CF102" s="48"/>
      <c r="CG102" s="48"/>
      <c r="CH102" s="48"/>
      <c r="CI102" s="48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35"/>
      <c r="CW102" s="35"/>
      <c r="CX102" s="35"/>
      <c r="CY102" s="35"/>
      <c r="CZ102" s="35"/>
      <c r="DA102" s="35"/>
      <c r="DB102" s="35"/>
      <c r="DC102" s="35"/>
      <c r="DD102" s="40"/>
      <c r="DE102" s="40"/>
      <c r="DF102" s="40"/>
      <c r="DG102" s="40"/>
      <c r="DH102" s="40"/>
      <c r="DI102" s="40"/>
      <c r="DJ102" s="40"/>
      <c r="DK102" s="40"/>
      <c r="DL102" s="35"/>
      <c r="DM102" s="35"/>
      <c r="DN102" s="35"/>
      <c r="DO102" s="35"/>
      <c r="DP102" s="35"/>
      <c r="DQ102" s="35"/>
      <c r="DR102" s="35"/>
      <c r="DS102" s="35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40"/>
      <c r="ES102" s="40"/>
      <c r="ET102" s="40"/>
      <c r="EU102" s="40"/>
      <c r="EV102" s="40"/>
      <c r="EW102" s="40"/>
      <c r="EX102" s="40"/>
      <c r="EY102" s="40"/>
      <c r="EZ102" s="35"/>
      <c r="FA102" s="35"/>
      <c r="FB102" s="35"/>
      <c r="FC102" s="35"/>
      <c r="FD102" s="35"/>
      <c r="FE102" s="35"/>
      <c r="FF102" s="35"/>
      <c r="FG102" s="35"/>
    </row>
    <row r="103" spans="1:163">
      <c r="A103" s="62">
        <v>84</v>
      </c>
      <c r="E103" s="63" t="s">
        <v>113</v>
      </c>
      <c r="F103" s="56" t="s">
        <v>115</v>
      </c>
      <c r="G103" s="70" t="s">
        <v>441</v>
      </c>
      <c r="H103" s="66" t="str">
        <f t="shared" si="40"/>
        <v xml:space="preserve"> </v>
      </c>
      <c r="I103" s="67" t="s">
        <v>465</v>
      </c>
      <c r="J103" s="68">
        <f t="shared" si="41"/>
        <v>1</v>
      </c>
      <c r="K103" s="63" t="s">
        <v>256</v>
      </c>
      <c r="L103" s="1" t="s">
        <v>46</v>
      </c>
      <c r="O103" s="88" t="s">
        <v>790</v>
      </c>
      <c r="P103" s="89">
        <v>0</v>
      </c>
      <c r="Q103" s="90">
        <f t="shared" si="55"/>
        <v>0</v>
      </c>
      <c r="R103" s="71"/>
      <c r="S103" s="72">
        <f t="shared" si="56"/>
        <v>0</v>
      </c>
      <c r="T103" s="68"/>
      <c r="U103" s="73">
        <f t="shared" si="57"/>
        <v>0</v>
      </c>
      <c r="V103" s="75"/>
      <c r="W103" s="2">
        <f t="shared" si="42"/>
        <v>0</v>
      </c>
      <c r="Y103" s="81">
        <f t="shared" si="43"/>
        <v>0</v>
      </c>
      <c r="Z103" s="96">
        <v>0</v>
      </c>
      <c r="AA103" s="97">
        <f>U103-Z103</f>
        <v>0</v>
      </c>
      <c r="AB103" s="98" t="e">
        <f>AA103/Z103</f>
        <v>#DIV/0!</v>
      </c>
      <c r="AE103" s="2">
        <v>98000</v>
      </c>
      <c r="AF103" s="28">
        <f t="shared" si="37"/>
        <v>0</v>
      </c>
      <c r="AG103" s="55" t="s">
        <v>125</v>
      </c>
      <c r="AI103" s="20" t="s">
        <v>45</v>
      </c>
      <c r="AJ103" s="2">
        <f t="shared" si="44"/>
        <v>0</v>
      </c>
      <c r="AN103" s="29" t="e">
        <f t="shared" si="45"/>
        <v>#DIV/0!</v>
      </c>
      <c r="AP103" s="3" t="s">
        <v>29</v>
      </c>
      <c r="AQ103" s="1" t="s">
        <v>153</v>
      </c>
      <c r="AR103" s="31">
        <f t="shared" si="46"/>
        <v>0</v>
      </c>
      <c r="AS103" s="31">
        <f t="shared" si="47"/>
        <v>0</v>
      </c>
      <c r="AT103" s="31">
        <f t="shared" si="59"/>
        <v>0</v>
      </c>
      <c r="AU103" s="31">
        <f t="shared" si="48"/>
        <v>0</v>
      </c>
      <c r="AV103" s="31">
        <f t="shared" si="49"/>
        <v>0</v>
      </c>
      <c r="AW103" s="31">
        <f t="shared" si="50"/>
        <v>0</v>
      </c>
      <c r="AX103" s="31">
        <f t="shared" si="51"/>
        <v>0</v>
      </c>
      <c r="AY103" s="31">
        <f t="shared" si="52"/>
        <v>0</v>
      </c>
      <c r="AZ103" s="31">
        <f t="shared" si="53"/>
        <v>0</v>
      </c>
      <c r="BA103" s="31">
        <f t="shared" si="54"/>
        <v>0</v>
      </c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41"/>
      <c r="BM103" s="41"/>
      <c r="BN103" s="41"/>
      <c r="BO103" s="37"/>
      <c r="BP103" s="38"/>
      <c r="BQ103" s="37"/>
      <c r="BR103" s="40"/>
      <c r="BS103" s="39"/>
      <c r="BT103" s="39"/>
      <c r="BU103" s="39"/>
      <c r="BV103" s="39"/>
      <c r="BW103" s="39"/>
      <c r="BX103" s="36"/>
      <c r="BY103" s="33"/>
      <c r="BZ103" s="33"/>
      <c r="CA103" s="33"/>
      <c r="CB103" s="34"/>
      <c r="CC103" s="33"/>
      <c r="CD103" s="35"/>
      <c r="CE103" s="48"/>
      <c r="CF103" s="48"/>
      <c r="CG103" s="48"/>
      <c r="CH103" s="48"/>
      <c r="CI103" s="48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35"/>
      <c r="CW103" s="35"/>
      <c r="CX103" s="35"/>
      <c r="CY103" s="35"/>
      <c r="CZ103" s="35"/>
      <c r="DA103" s="35"/>
      <c r="DB103" s="35"/>
      <c r="DC103" s="35"/>
      <c r="DD103" s="40"/>
      <c r="DE103" s="40"/>
      <c r="DF103" s="40"/>
      <c r="DG103" s="40"/>
      <c r="DH103" s="40"/>
      <c r="DI103" s="40"/>
      <c r="DJ103" s="40"/>
      <c r="DK103" s="40"/>
      <c r="DL103" s="35"/>
      <c r="DM103" s="35"/>
      <c r="DN103" s="35"/>
      <c r="DO103" s="35"/>
      <c r="DP103" s="35"/>
      <c r="DQ103" s="35"/>
      <c r="DR103" s="35"/>
      <c r="DS103" s="35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40"/>
      <c r="ES103" s="40"/>
      <c r="ET103" s="40"/>
      <c r="EU103" s="40"/>
      <c r="EV103" s="40"/>
      <c r="EW103" s="40"/>
      <c r="EX103" s="40"/>
      <c r="EY103" s="40"/>
      <c r="EZ103" s="35"/>
      <c r="FA103" s="35"/>
      <c r="FB103" s="35"/>
      <c r="FC103" s="35"/>
      <c r="FD103" s="35"/>
      <c r="FE103" s="35"/>
      <c r="FF103" s="35"/>
      <c r="FG103" s="35"/>
    </row>
    <row r="104" spans="1:163">
      <c r="A104" s="60">
        <v>125</v>
      </c>
      <c r="E104" s="63" t="s">
        <v>58</v>
      </c>
      <c r="F104" s="56" t="s">
        <v>60</v>
      </c>
      <c r="G104" s="70" t="s">
        <v>441</v>
      </c>
      <c r="H104" s="66" t="str">
        <f t="shared" si="40"/>
        <v xml:space="preserve"> </v>
      </c>
      <c r="I104" s="67" t="s">
        <v>504</v>
      </c>
      <c r="J104" s="68">
        <f t="shared" si="41"/>
        <v>1</v>
      </c>
      <c r="K104" s="63" t="s">
        <v>256</v>
      </c>
      <c r="L104" s="1" t="s">
        <v>46</v>
      </c>
      <c r="O104" s="88" t="s">
        <v>790</v>
      </c>
      <c r="P104" s="89">
        <v>0</v>
      </c>
      <c r="Q104" s="90">
        <f t="shared" ref="Q104:Q135" si="60">U104+V104</f>
        <v>0</v>
      </c>
      <c r="R104" s="71"/>
      <c r="S104" s="72">
        <f t="shared" si="56"/>
        <v>0</v>
      </c>
      <c r="T104" s="68"/>
      <c r="U104" s="73">
        <f t="shared" si="57"/>
        <v>0</v>
      </c>
      <c r="V104" s="73"/>
      <c r="W104" s="2">
        <f t="shared" si="42"/>
        <v>0</v>
      </c>
      <c r="Y104" s="81">
        <f t="shared" si="43"/>
        <v>0</v>
      </c>
      <c r="Z104" s="96">
        <v>0</v>
      </c>
      <c r="AA104" s="97"/>
      <c r="AB104" s="98"/>
      <c r="AC104" s="2">
        <v>3000</v>
      </c>
      <c r="AD104" s="2">
        <f>Z104+AC104</f>
        <v>3000</v>
      </c>
      <c r="AF104" s="28">
        <f t="shared" si="37"/>
        <v>3000</v>
      </c>
      <c r="AG104" s="55" t="s">
        <v>125</v>
      </c>
      <c r="AI104" s="20" t="s">
        <v>204</v>
      </c>
      <c r="AJ104" s="2">
        <f t="shared" si="44"/>
        <v>3000</v>
      </c>
      <c r="AN104" s="29">
        <f t="shared" si="45"/>
        <v>1</v>
      </c>
      <c r="AO104" s="29">
        <f>AN104-AB104</f>
        <v>1</v>
      </c>
      <c r="AP104" s="3" t="s">
        <v>29</v>
      </c>
      <c r="AQ104" s="1" t="s">
        <v>142</v>
      </c>
      <c r="AR104" s="31">
        <f t="shared" si="46"/>
        <v>0</v>
      </c>
      <c r="AS104" s="31">
        <f t="shared" si="47"/>
        <v>0</v>
      </c>
      <c r="AT104" s="31">
        <f t="shared" si="59"/>
        <v>0</v>
      </c>
      <c r="AU104" s="31">
        <f t="shared" si="48"/>
        <v>0</v>
      </c>
      <c r="AV104" s="31">
        <f t="shared" si="49"/>
        <v>0</v>
      </c>
      <c r="AW104" s="31">
        <f t="shared" si="50"/>
        <v>0</v>
      </c>
      <c r="AX104" s="31">
        <f t="shared" si="51"/>
        <v>0</v>
      </c>
      <c r="AY104" s="31">
        <f t="shared" si="52"/>
        <v>0</v>
      </c>
      <c r="AZ104" s="31">
        <f t="shared" si="53"/>
        <v>0</v>
      </c>
      <c r="BA104" s="31">
        <f t="shared" si="54"/>
        <v>0</v>
      </c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41"/>
      <c r="BM104" s="41"/>
      <c r="BN104" s="41"/>
      <c r="BO104" s="37"/>
      <c r="BP104" s="38"/>
      <c r="BQ104" s="37"/>
      <c r="BR104" s="40"/>
      <c r="BS104" s="39"/>
      <c r="BT104" s="39"/>
      <c r="BU104" s="39"/>
      <c r="BV104" s="39"/>
      <c r="BW104" s="39"/>
      <c r="BX104" s="36"/>
      <c r="BY104" s="33"/>
      <c r="BZ104" s="33"/>
      <c r="CA104" s="33"/>
      <c r="CB104" s="34"/>
      <c r="CC104" s="33"/>
      <c r="CD104" s="35"/>
      <c r="CE104" s="48"/>
      <c r="CF104" s="48"/>
      <c r="CG104" s="48"/>
      <c r="CH104" s="48"/>
      <c r="CI104" s="48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35"/>
      <c r="CW104" s="35"/>
      <c r="CX104" s="35"/>
      <c r="CY104" s="35"/>
      <c r="CZ104" s="35"/>
      <c r="DA104" s="35"/>
      <c r="DB104" s="35"/>
      <c r="DC104" s="35"/>
      <c r="DD104" s="40"/>
      <c r="DE104" s="40"/>
      <c r="DF104" s="40"/>
      <c r="DG104" s="40"/>
      <c r="DH104" s="40"/>
      <c r="DI104" s="40"/>
      <c r="DJ104" s="40"/>
      <c r="DK104" s="40"/>
      <c r="DL104" s="35"/>
      <c r="DM104" s="35"/>
      <c r="DN104" s="35"/>
      <c r="DO104" s="35"/>
      <c r="DP104" s="35"/>
      <c r="DQ104" s="35"/>
      <c r="DR104" s="35"/>
      <c r="DS104" s="35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40"/>
      <c r="ES104" s="40"/>
      <c r="ET104" s="40"/>
      <c r="EU104" s="40"/>
      <c r="EV104" s="40"/>
      <c r="EW104" s="40"/>
      <c r="EX104" s="40"/>
      <c r="EY104" s="40"/>
      <c r="EZ104" s="35"/>
      <c r="FA104" s="35"/>
      <c r="FB104" s="35"/>
      <c r="FC104" s="35"/>
      <c r="FD104" s="35"/>
      <c r="FE104" s="35"/>
      <c r="FF104" s="35"/>
      <c r="FG104" s="35"/>
    </row>
    <row r="105" spans="1:163">
      <c r="A105" s="60">
        <v>61</v>
      </c>
      <c r="E105" s="63" t="s">
        <v>56</v>
      </c>
      <c r="F105" s="56" t="s">
        <v>115</v>
      </c>
      <c r="G105" s="70" t="s">
        <v>441</v>
      </c>
      <c r="H105" s="66" t="str">
        <f t="shared" si="40"/>
        <v xml:space="preserve"> </v>
      </c>
      <c r="I105" s="67" t="s">
        <v>442</v>
      </c>
      <c r="J105" s="68">
        <f t="shared" si="41"/>
        <v>1</v>
      </c>
      <c r="K105" s="63" t="s">
        <v>256</v>
      </c>
      <c r="L105" s="1" t="s">
        <v>46</v>
      </c>
      <c r="O105" s="88" t="s">
        <v>790</v>
      </c>
      <c r="P105" s="89">
        <v>0</v>
      </c>
      <c r="Q105" s="90">
        <f t="shared" si="60"/>
        <v>0</v>
      </c>
      <c r="R105" s="71"/>
      <c r="S105" s="72">
        <f t="shared" si="56"/>
        <v>0</v>
      </c>
      <c r="T105" s="68"/>
      <c r="U105" s="73">
        <f t="shared" si="57"/>
        <v>0</v>
      </c>
      <c r="V105" s="75"/>
      <c r="W105" s="2">
        <f t="shared" si="42"/>
        <v>0</v>
      </c>
      <c r="Y105" s="81">
        <f t="shared" si="43"/>
        <v>0</v>
      </c>
      <c r="Z105" s="96">
        <v>0</v>
      </c>
      <c r="AA105" s="97">
        <f t="shared" ref="AA105:AA112" si="61">U105-Z105</f>
        <v>0</v>
      </c>
      <c r="AB105" s="98" t="e">
        <f t="shared" ref="AB105:AB112" si="62">AA105/Z105</f>
        <v>#DIV/0!</v>
      </c>
      <c r="AC105" s="2">
        <v>4000</v>
      </c>
      <c r="AD105" s="2">
        <f>Z105+AC105</f>
        <v>4000</v>
      </c>
      <c r="AF105" s="28">
        <f t="shared" si="37"/>
        <v>4000</v>
      </c>
      <c r="AG105" s="55" t="s">
        <v>125</v>
      </c>
      <c r="AI105" s="20" t="s">
        <v>45</v>
      </c>
      <c r="AJ105" s="2">
        <f t="shared" si="44"/>
        <v>4000</v>
      </c>
      <c r="AN105" s="29">
        <f t="shared" si="45"/>
        <v>1</v>
      </c>
      <c r="AO105" s="29" t="e">
        <f>AN105-AB105</f>
        <v>#DIV/0!</v>
      </c>
      <c r="AP105" s="3" t="s">
        <v>29</v>
      </c>
      <c r="AQ105" s="1" t="s">
        <v>153</v>
      </c>
      <c r="AR105" s="31">
        <f t="shared" si="46"/>
        <v>0</v>
      </c>
      <c r="AS105" s="31">
        <f t="shared" si="47"/>
        <v>0</v>
      </c>
      <c r="AT105" s="31">
        <f t="shared" si="59"/>
        <v>0</v>
      </c>
      <c r="AU105" s="31">
        <f t="shared" si="48"/>
        <v>0</v>
      </c>
      <c r="AV105" s="31">
        <f t="shared" si="49"/>
        <v>0</v>
      </c>
      <c r="AW105" s="31">
        <f t="shared" si="50"/>
        <v>0</v>
      </c>
      <c r="AX105" s="31">
        <f t="shared" si="51"/>
        <v>0</v>
      </c>
      <c r="AY105" s="31">
        <f t="shared" si="52"/>
        <v>0</v>
      </c>
      <c r="AZ105" s="31">
        <f t="shared" si="53"/>
        <v>0</v>
      </c>
      <c r="BA105" s="31">
        <f t="shared" si="54"/>
        <v>0</v>
      </c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41"/>
      <c r="BM105" s="41"/>
      <c r="BN105" s="41"/>
      <c r="BO105" s="37"/>
      <c r="BP105" s="38"/>
      <c r="BQ105" s="37"/>
      <c r="BR105" s="40"/>
      <c r="BS105" s="39"/>
      <c r="BT105" s="39"/>
      <c r="BU105" s="39"/>
      <c r="BV105" s="39"/>
      <c r="BW105" s="39"/>
      <c r="BX105" s="36"/>
      <c r="BY105" s="33"/>
      <c r="BZ105" s="33"/>
      <c r="CA105" s="33"/>
      <c r="CB105" s="34"/>
      <c r="CC105" s="33"/>
      <c r="CD105" s="35"/>
      <c r="CE105" s="48"/>
      <c r="CF105" s="48"/>
      <c r="CG105" s="48"/>
      <c r="CH105" s="48"/>
      <c r="CI105" s="48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35"/>
      <c r="CW105" s="35"/>
      <c r="CX105" s="35"/>
      <c r="CY105" s="35"/>
      <c r="CZ105" s="35"/>
      <c r="DA105" s="35"/>
      <c r="DB105" s="35"/>
      <c r="DC105" s="35"/>
      <c r="DD105" s="40"/>
      <c r="DE105" s="40"/>
      <c r="DF105" s="40"/>
      <c r="DG105" s="40"/>
      <c r="DH105" s="40"/>
      <c r="DI105" s="40"/>
      <c r="DJ105" s="40"/>
      <c r="DK105" s="40"/>
      <c r="DL105" s="35"/>
      <c r="DM105" s="35"/>
      <c r="DN105" s="35"/>
      <c r="DO105" s="35"/>
      <c r="DP105" s="35"/>
      <c r="DQ105" s="35"/>
      <c r="DR105" s="35"/>
      <c r="DS105" s="35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40"/>
      <c r="ES105" s="40"/>
      <c r="ET105" s="40"/>
      <c r="EU105" s="40"/>
      <c r="EV105" s="40"/>
      <c r="EW105" s="40"/>
      <c r="EX105" s="40"/>
      <c r="EY105" s="40"/>
      <c r="EZ105" s="35"/>
      <c r="FA105" s="35"/>
      <c r="FB105" s="35"/>
      <c r="FC105" s="35"/>
      <c r="FD105" s="35"/>
      <c r="FE105" s="35"/>
      <c r="FF105" s="35"/>
      <c r="FG105" s="35"/>
    </row>
    <row r="106" spans="1:163">
      <c r="A106" s="60">
        <v>63</v>
      </c>
      <c r="E106" s="63" t="s">
        <v>114</v>
      </c>
      <c r="F106" s="56" t="s">
        <v>115</v>
      </c>
      <c r="G106" s="70" t="s">
        <v>444</v>
      </c>
      <c r="H106" s="66" t="str">
        <f t="shared" si="40"/>
        <v xml:space="preserve"> 227</v>
      </c>
      <c r="I106" s="67" t="s">
        <v>444</v>
      </c>
      <c r="J106" s="68">
        <f t="shared" si="41"/>
        <v>0</v>
      </c>
      <c r="K106" s="63" t="s">
        <v>256</v>
      </c>
      <c r="L106" s="1" t="s">
        <v>46</v>
      </c>
      <c r="O106" s="88" t="s">
        <v>790</v>
      </c>
      <c r="P106" s="89">
        <v>0</v>
      </c>
      <c r="Q106" s="90">
        <f t="shared" si="60"/>
        <v>65000</v>
      </c>
      <c r="R106" s="71">
        <f>65000</f>
        <v>65000</v>
      </c>
      <c r="S106" s="72">
        <f t="shared" si="56"/>
        <v>8150</v>
      </c>
      <c r="T106" s="68"/>
      <c r="U106" s="73">
        <f t="shared" si="57"/>
        <v>56850</v>
      </c>
      <c r="V106" s="75">
        <f>2000+5100+600+200+250</f>
        <v>8150</v>
      </c>
      <c r="W106" s="2">
        <f t="shared" si="42"/>
        <v>65000</v>
      </c>
      <c r="Y106" s="81">
        <f t="shared" si="43"/>
        <v>65000</v>
      </c>
      <c r="Z106" s="96">
        <v>0</v>
      </c>
      <c r="AA106" s="97">
        <f t="shared" si="61"/>
        <v>56850</v>
      </c>
      <c r="AB106" s="98" t="e">
        <f t="shared" si="62"/>
        <v>#DIV/0!</v>
      </c>
      <c r="AC106" s="2">
        <v>3000</v>
      </c>
      <c r="AD106" s="2">
        <f>Z106+AC106</f>
        <v>3000</v>
      </c>
      <c r="AF106" s="28">
        <f t="shared" si="37"/>
        <v>3000</v>
      </c>
      <c r="AG106" s="55" t="s">
        <v>125</v>
      </c>
      <c r="AI106" s="20" t="s">
        <v>45</v>
      </c>
      <c r="AJ106" s="2">
        <f t="shared" si="44"/>
        <v>-62000</v>
      </c>
      <c r="AN106" s="29">
        <f t="shared" si="45"/>
        <v>-20.666666666666668</v>
      </c>
      <c r="AO106" s="29" t="e">
        <f>AN106-AB106</f>
        <v>#DIV/0!</v>
      </c>
      <c r="AP106" s="3" t="s">
        <v>29</v>
      </c>
      <c r="AQ106" s="1" t="s">
        <v>153</v>
      </c>
      <c r="AR106" s="31">
        <f t="shared" si="46"/>
        <v>0</v>
      </c>
      <c r="AS106" s="31">
        <f t="shared" si="47"/>
        <v>0</v>
      </c>
      <c r="AT106" s="31">
        <f t="shared" si="59"/>
        <v>0</v>
      </c>
      <c r="AU106" s="31">
        <f t="shared" si="48"/>
        <v>0</v>
      </c>
      <c r="AV106" s="31">
        <f t="shared" si="49"/>
        <v>0</v>
      </c>
      <c r="AW106" s="31">
        <f t="shared" si="50"/>
        <v>0</v>
      </c>
      <c r="AX106" s="31">
        <f t="shared" si="51"/>
        <v>0</v>
      </c>
      <c r="AY106" s="31">
        <f t="shared" si="52"/>
        <v>0</v>
      </c>
      <c r="AZ106" s="31">
        <f t="shared" si="53"/>
        <v>0</v>
      </c>
      <c r="BA106" s="31">
        <f t="shared" si="54"/>
        <v>0</v>
      </c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41"/>
      <c r="BM106" s="41"/>
      <c r="BN106" s="41"/>
      <c r="BO106" s="37"/>
      <c r="BP106" s="38"/>
      <c r="BQ106" s="37"/>
      <c r="BR106" s="40"/>
      <c r="BS106" s="39"/>
      <c r="BT106" s="39"/>
      <c r="BU106" s="39"/>
      <c r="BV106" s="39"/>
      <c r="BW106" s="39"/>
      <c r="BX106" s="36"/>
      <c r="BY106" s="33"/>
      <c r="BZ106" s="33"/>
      <c r="CA106" s="33"/>
      <c r="CB106" s="34"/>
      <c r="CC106" s="33"/>
      <c r="CD106" s="35"/>
      <c r="CE106" s="48"/>
      <c r="CF106" s="48"/>
      <c r="CG106" s="48"/>
      <c r="CH106" s="48"/>
      <c r="CI106" s="48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35"/>
      <c r="CW106" s="35"/>
      <c r="CX106" s="35"/>
      <c r="CY106" s="35"/>
      <c r="CZ106" s="35"/>
      <c r="DA106" s="35"/>
      <c r="DB106" s="35"/>
      <c r="DC106" s="35"/>
      <c r="DD106" s="40"/>
      <c r="DE106" s="40"/>
      <c r="DF106" s="40"/>
      <c r="DG106" s="40"/>
      <c r="DH106" s="40"/>
      <c r="DI106" s="40"/>
      <c r="DJ106" s="40"/>
      <c r="DK106" s="40"/>
      <c r="DL106" s="35"/>
      <c r="DM106" s="35"/>
      <c r="DN106" s="35"/>
      <c r="DO106" s="35"/>
      <c r="DP106" s="35"/>
      <c r="DQ106" s="35"/>
      <c r="DR106" s="35"/>
      <c r="DS106" s="35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40"/>
      <c r="ES106" s="40"/>
      <c r="ET106" s="40"/>
      <c r="EU106" s="40"/>
      <c r="EV106" s="40"/>
      <c r="EW106" s="40"/>
      <c r="EX106" s="40"/>
      <c r="EY106" s="40"/>
      <c r="EZ106" s="35"/>
      <c r="FA106" s="35"/>
      <c r="FB106" s="35"/>
      <c r="FC106" s="35"/>
      <c r="FD106" s="35"/>
      <c r="FE106" s="35"/>
      <c r="FF106" s="35"/>
      <c r="FG106" s="35"/>
    </row>
    <row r="107" spans="1:163">
      <c r="A107" s="62">
        <v>68</v>
      </c>
      <c r="E107" s="63" t="s">
        <v>56</v>
      </c>
      <c r="F107" s="56" t="s">
        <v>121</v>
      </c>
      <c r="G107" s="70" t="s">
        <v>449</v>
      </c>
      <c r="H107" s="66" t="str">
        <f t="shared" si="40"/>
        <v xml:space="preserve"> 423</v>
      </c>
      <c r="I107" s="67" t="s">
        <v>449</v>
      </c>
      <c r="J107" s="68">
        <f t="shared" si="41"/>
        <v>0</v>
      </c>
      <c r="K107" s="63" t="s">
        <v>256</v>
      </c>
      <c r="L107" s="1" t="s">
        <v>46</v>
      </c>
      <c r="O107" s="88" t="s">
        <v>790</v>
      </c>
      <c r="P107" s="89">
        <v>0</v>
      </c>
      <c r="Q107" s="90">
        <f t="shared" si="60"/>
        <v>70000</v>
      </c>
      <c r="R107" s="71">
        <v>70000</v>
      </c>
      <c r="S107" s="72">
        <f t="shared" si="56"/>
        <v>8150</v>
      </c>
      <c r="T107" s="68"/>
      <c r="U107" s="73">
        <f t="shared" si="57"/>
        <v>61850</v>
      </c>
      <c r="V107" s="75">
        <f>2000+5100+600+200+250</f>
        <v>8150</v>
      </c>
      <c r="W107" s="2">
        <f t="shared" si="42"/>
        <v>70000</v>
      </c>
      <c r="Y107" s="81">
        <f t="shared" si="43"/>
        <v>70000</v>
      </c>
      <c r="Z107" s="96">
        <v>0</v>
      </c>
      <c r="AA107" s="97">
        <f t="shared" si="61"/>
        <v>61850</v>
      </c>
      <c r="AB107" s="98" t="e">
        <f t="shared" si="62"/>
        <v>#DIV/0!</v>
      </c>
      <c r="AE107" s="2">
        <v>120000</v>
      </c>
      <c r="AF107" s="28">
        <f t="shared" si="37"/>
        <v>0</v>
      </c>
      <c r="AG107" s="55" t="s">
        <v>125</v>
      </c>
      <c r="AI107" s="20" t="s">
        <v>45</v>
      </c>
      <c r="AJ107" s="2">
        <f t="shared" si="44"/>
        <v>-70000</v>
      </c>
      <c r="AN107" s="29" t="e">
        <f t="shared" si="45"/>
        <v>#DIV/0!</v>
      </c>
      <c r="AP107" s="3" t="s">
        <v>158</v>
      </c>
      <c r="AR107" s="31">
        <f t="shared" si="46"/>
        <v>0</v>
      </c>
      <c r="AS107" s="31">
        <f t="shared" si="47"/>
        <v>0</v>
      </c>
      <c r="AT107" s="31">
        <f t="shared" si="59"/>
        <v>0</v>
      </c>
      <c r="AU107" s="31">
        <f t="shared" si="48"/>
        <v>0</v>
      </c>
      <c r="AV107" s="31">
        <f t="shared" si="49"/>
        <v>0</v>
      </c>
      <c r="AW107" s="31">
        <f t="shared" si="50"/>
        <v>0</v>
      </c>
      <c r="AX107" s="31">
        <f t="shared" si="51"/>
        <v>0</v>
      </c>
      <c r="AY107" s="31">
        <f t="shared" si="52"/>
        <v>0</v>
      </c>
      <c r="AZ107" s="31">
        <f t="shared" si="53"/>
        <v>0</v>
      </c>
      <c r="BA107" s="31">
        <f t="shared" si="54"/>
        <v>0</v>
      </c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41"/>
      <c r="BM107" s="41"/>
      <c r="BN107" s="41"/>
      <c r="BO107" s="37"/>
      <c r="BP107" s="38"/>
      <c r="BQ107" s="37"/>
      <c r="BR107" s="40"/>
      <c r="BS107" s="39"/>
      <c r="BT107" s="39"/>
      <c r="BU107" s="39"/>
      <c r="BV107" s="39"/>
      <c r="BW107" s="39"/>
      <c r="BX107" s="36"/>
      <c r="BY107" s="33"/>
      <c r="BZ107" s="33"/>
      <c r="CA107" s="33"/>
      <c r="CB107" s="34"/>
      <c r="CC107" s="33"/>
      <c r="CD107" s="35"/>
      <c r="CE107" s="48"/>
      <c r="CF107" s="48"/>
      <c r="CG107" s="48"/>
      <c r="CH107" s="48"/>
      <c r="CI107" s="48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35"/>
      <c r="CW107" s="35"/>
      <c r="CX107" s="35"/>
      <c r="CY107" s="35"/>
      <c r="CZ107" s="35"/>
      <c r="DA107" s="35"/>
      <c r="DB107" s="35"/>
      <c r="DC107" s="35"/>
      <c r="DD107" s="40"/>
      <c r="DE107" s="40"/>
      <c r="DF107" s="40"/>
      <c r="DG107" s="40"/>
      <c r="DH107" s="40"/>
      <c r="DI107" s="40"/>
      <c r="DJ107" s="40"/>
      <c r="DK107" s="40"/>
      <c r="DL107" s="35"/>
      <c r="DM107" s="35"/>
      <c r="DN107" s="35"/>
      <c r="DO107" s="35"/>
      <c r="DP107" s="35"/>
      <c r="DQ107" s="35"/>
      <c r="DR107" s="35"/>
      <c r="DS107" s="35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40"/>
      <c r="ES107" s="40"/>
      <c r="ET107" s="40"/>
      <c r="EU107" s="40"/>
      <c r="EV107" s="40"/>
      <c r="EW107" s="40"/>
      <c r="EX107" s="40"/>
      <c r="EY107" s="40"/>
      <c r="EZ107" s="35"/>
      <c r="FA107" s="35"/>
      <c r="FB107" s="35"/>
      <c r="FC107" s="35"/>
      <c r="FD107" s="35"/>
      <c r="FE107" s="35"/>
      <c r="FF107" s="35"/>
      <c r="FG107" s="35"/>
    </row>
    <row r="108" spans="1:163">
      <c r="A108" s="62">
        <v>30</v>
      </c>
      <c r="E108" s="63" t="s">
        <v>114</v>
      </c>
      <c r="F108" s="56" t="s">
        <v>113</v>
      </c>
      <c r="G108" s="70" t="s">
        <v>412</v>
      </c>
      <c r="H108" s="66" t="str">
        <f t="shared" si="40"/>
        <v xml:space="preserve"> 506</v>
      </c>
      <c r="I108" s="67" t="s">
        <v>412</v>
      </c>
      <c r="J108" s="68">
        <f t="shared" si="41"/>
        <v>0</v>
      </c>
      <c r="K108" s="63" t="s">
        <v>256</v>
      </c>
      <c r="L108" s="1" t="s">
        <v>46</v>
      </c>
      <c r="O108" s="88" t="s">
        <v>790</v>
      </c>
      <c r="P108" s="89">
        <v>0</v>
      </c>
      <c r="Q108" s="90">
        <f t="shared" si="60"/>
        <v>73000</v>
      </c>
      <c r="R108" s="71">
        <f>73000</f>
        <v>73000</v>
      </c>
      <c r="S108" s="72">
        <f t="shared" si="56"/>
        <v>8250</v>
      </c>
      <c r="T108" s="68"/>
      <c r="U108" s="73">
        <f t="shared" si="57"/>
        <v>64750</v>
      </c>
      <c r="V108" s="73">
        <f>2000+5200+600+200+250</f>
        <v>8250</v>
      </c>
      <c r="W108" s="2">
        <f t="shared" si="42"/>
        <v>73000</v>
      </c>
      <c r="Y108" s="81">
        <f t="shared" si="43"/>
        <v>73000</v>
      </c>
      <c r="Z108" s="96">
        <v>0</v>
      </c>
      <c r="AA108" s="97">
        <f t="shared" si="61"/>
        <v>64750</v>
      </c>
      <c r="AB108" s="98" t="e">
        <f t="shared" si="62"/>
        <v>#DIV/0!</v>
      </c>
      <c r="AE108" s="2">
        <v>93000</v>
      </c>
      <c r="AF108" s="28">
        <f t="shared" si="37"/>
        <v>0</v>
      </c>
      <c r="AG108" s="55" t="s">
        <v>125</v>
      </c>
      <c r="AI108" s="20" t="s">
        <v>45</v>
      </c>
      <c r="AJ108" s="2">
        <f t="shared" si="44"/>
        <v>-73000</v>
      </c>
      <c r="AN108" s="29" t="e">
        <f t="shared" si="45"/>
        <v>#DIV/0!</v>
      </c>
      <c r="AP108" s="3" t="s">
        <v>29</v>
      </c>
      <c r="AQ108" s="1" t="s">
        <v>148</v>
      </c>
      <c r="AR108" s="31">
        <f t="shared" si="46"/>
        <v>0</v>
      </c>
      <c r="AS108" s="31">
        <f t="shared" si="47"/>
        <v>0</v>
      </c>
      <c r="AT108" s="31">
        <f t="shared" si="59"/>
        <v>0</v>
      </c>
      <c r="AU108" s="31">
        <f t="shared" si="48"/>
        <v>0</v>
      </c>
      <c r="AV108" s="31">
        <f t="shared" si="49"/>
        <v>0</v>
      </c>
      <c r="AW108" s="31">
        <f t="shared" si="50"/>
        <v>0</v>
      </c>
      <c r="AX108" s="31">
        <f t="shared" si="51"/>
        <v>0</v>
      </c>
      <c r="AY108" s="31">
        <f t="shared" si="52"/>
        <v>0</v>
      </c>
      <c r="AZ108" s="31">
        <f t="shared" si="53"/>
        <v>0</v>
      </c>
      <c r="BA108" s="31">
        <f t="shared" si="54"/>
        <v>0</v>
      </c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41"/>
      <c r="BM108" s="41"/>
      <c r="BN108" s="41"/>
      <c r="BO108" s="37"/>
      <c r="BP108" s="38"/>
      <c r="BQ108" s="37"/>
      <c r="BR108" s="40"/>
      <c r="BS108" s="39"/>
      <c r="BT108" s="39"/>
      <c r="BU108" s="39"/>
      <c r="BV108" s="39"/>
      <c r="BW108" s="39"/>
      <c r="BX108" s="36"/>
      <c r="BY108" s="33"/>
      <c r="BZ108" s="33"/>
      <c r="CA108" s="33"/>
      <c r="CB108" s="34"/>
      <c r="CC108" s="33"/>
      <c r="CD108" s="35"/>
      <c r="CE108" s="48"/>
      <c r="CF108" s="48"/>
      <c r="CG108" s="48"/>
      <c r="CH108" s="48"/>
      <c r="CI108" s="48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35"/>
      <c r="CW108" s="35"/>
      <c r="CX108" s="35"/>
      <c r="CY108" s="35"/>
      <c r="CZ108" s="35"/>
      <c r="DA108" s="35"/>
      <c r="DB108" s="35"/>
      <c r="DC108" s="35"/>
      <c r="DD108" s="40"/>
      <c r="DE108" s="40"/>
      <c r="DF108" s="40"/>
      <c r="DG108" s="40"/>
      <c r="DH108" s="40"/>
      <c r="DI108" s="40"/>
      <c r="DJ108" s="40"/>
      <c r="DK108" s="40"/>
      <c r="DL108" s="35"/>
      <c r="DM108" s="35"/>
      <c r="DN108" s="35"/>
      <c r="DO108" s="35"/>
      <c r="DP108" s="35"/>
      <c r="DQ108" s="35"/>
      <c r="DR108" s="35"/>
      <c r="DS108" s="35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40"/>
      <c r="ES108" s="40"/>
      <c r="ET108" s="40"/>
      <c r="EU108" s="40"/>
      <c r="EV108" s="40"/>
      <c r="EW108" s="40"/>
      <c r="EX108" s="40"/>
      <c r="EY108" s="40"/>
      <c r="EZ108" s="35"/>
      <c r="FA108" s="35"/>
      <c r="FB108" s="35"/>
      <c r="FC108" s="35"/>
      <c r="FD108" s="35"/>
      <c r="FE108" s="35"/>
      <c r="FF108" s="35"/>
      <c r="FG108" s="35"/>
    </row>
    <row r="109" spans="1:163">
      <c r="A109" s="60">
        <v>107</v>
      </c>
      <c r="E109" s="63" t="s">
        <v>56</v>
      </c>
      <c r="F109" s="56" t="s">
        <v>58</v>
      </c>
      <c r="G109" s="70" t="s">
        <v>486</v>
      </c>
      <c r="H109" s="66" t="str">
        <f t="shared" si="40"/>
        <v xml:space="preserve"> 519</v>
      </c>
      <c r="I109" s="67" t="s">
        <v>486</v>
      </c>
      <c r="J109" s="68">
        <f t="shared" si="41"/>
        <v>0</v>
      </c>
      <c r="K109" s="63" t="s">
        <v>256</v>
      </c>
      <c r="L109" s="1" t="s">
        <v>46</v>
      </c>
      <c r="O109" s="88" t="s">
        <v>790</v>
      </c>
      <c r="P109" s="89">
        <v>0</v>
      </c>
      <c r="Q109" s="90">
        <f t="shared" si="60"/>
        <v>68500</v>
      </c>
      <c r="R109" s="71">
        <v>68500</v>
      </c>
      <c r="S109" s="72">
        <f t="shared" si="56"/>
        <v>8150</v>
      </c>
      <c r="T109" s="68"/>
      <c r="U109" s="73">
        <f t="shared" si="57"/>
        <v>60350</v>
      </c>
      <c r="V109" s="73">
        <f>2000+5100+600+200+250</f>
        <v>8150</v>
      </c>
      <c r="W109" s="2">
        <f t="shared" si="42"/>
        <v>68500</v>
      </c>
      <c r="Y109" s="81">
        <f t="shared" si="43"/>
        <v>68500</v>
      </c>
      <c r="Z109" s="96">
        <v>0</v>
      </c>
      <c r="AA109" s="97">
        <f t="shared" si="61"/>
        <v>60350</v>
      </c>
      <c r="AB109" s="98" t="e">
        <f t="shared" si="62"/>
        <v>#DIV/0!</v>
      </c>
      <c r="AC109" s="2">
        <v>3000</v>
      </c>
      <c r="AD109" s="2">
        <f>Z109+AC109</f>
        <v>3000</v>
      </c>
      <c r="AF109" s="28">
        <f t="shared" si="37"/>
        <v>3000</v>
      </c>
      <c r="AG109" s="55" t="s">
        <v>125</v>
      </c>
      <c r="AI109" s="20" t="s">
        <v>45</v>
      </c>
      <c r="AJ109" s="2">
        <f t="shared" si="44"/>
        <v>-65500</v>
      </c>
      <c r="AN109" s="29">
        <f t="shared" si="45"/>
        <v>-21.833333333333332</v>
      </c>
      <c r="AO109" s="29" t="e">
        <f>AN109-AB109</f>
        <v>#DIV/0!</v>
      </c>
      <c r="AP109" s="3" t="s">
        <v>29</v>
      </c>
      <c r="AQ109" s="1" t="s">
        <v>143</v>
      </c>
      <c r="AR109" s="31">
        <f t="shared" si="46"/>
        <v>0</v>
      </c>
      <c r="AS109" s="31">
        <f t="shared" si="47"/>
        <v>0</v>
      </c>
      <c r="AT109" s="31">
        <f t="shared" si="59"/>
        <v>0</v>
      </c>
      <c r="AU109" s="31">
        <f t="shared" si="48"/>
        <v>0</v>
      </c>
      <c r="AV109" s="31">
        <f t="shared" si="49"/>
        <v>0</v>
      </c>
      <c r="AW109" s="31">
        <f t="shared" si="50"/>
        <v>0</v>
      </c>
      <c r="AX109" s="31">
        <f t="shared" si="51"/>
        <v>0</v>
      </c>
      <c r="AY109" s="31">
        <f t="shared" si="52"/>
        <v>0</v>
      </c>
      <c r="AZ109" s="31">
        <f t="shared" si="53"/>
        <v>0</v>
      </c>
      <c r="BA109" s="31">
        <f t="shared" si="54"/>
        <v>0</v>
      </c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41"/>
      <c r="BM109" s="41"/>
      <c r="BN109" s="41"/>
      <c r="BO109" s="37"/>
      <c r="BP109" s="38"/>
      <c r="BQ109" s="37"/>
      <c r="BR109" s="40"/>
      <c r="BS109" s="39"/>
      <c r="BT109" s="39"/>
      <c r="BU109" s="39"/>
      <c r="BV109" s="39"/>
      <c r="BW109" s="39"/>
      <c r="BX109" s="36"/>
      <c r="BY109" s="33"/>
      <c r="BZ109" s="33"/>
      <c r="CA109" s="33"/>
      <c r="CB109" s="34"/>
      <c r="CC109" s="33"/>
      <c r="CD109" s="35"/>
      <c r="CE109" s="48"/>
      <c r="CF109" s="48"/>
      <c r="CG109" s="48"/>
      <c r="CH109" s="48"/>
      <c r="CI109" s="48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35"/>
      <c r="CW109" s="35"/>
      <c r="CX109" s="35"/>
      <c r="CY109" s="35"/>
      <c r="CZ109" s="35"/>
      <c r="DA109" s="35"/>
      <c r="DB109" s="35"/>
      <c r="DC109" s="35"/>
      <c r="DD109" s="40"/>
      <c r="DE109" s="40"/>
      <c r="DF109" s="40"/>
      <c r="DG109" s="40"/>
      <c r="DH109" s="40"/>
      <c r="DI109" s="40"/>
      <c r="DJ109" s="40"/>
      <c r="DK109" s="40"/>
      <c r="DL109" s="35"/>
      <c r="DM109" s="35"/>
      <c r="DN109" s="35"/>
      <c r="DO109" s="35"/>
      <c r="DP109" s="35"/>
      <c r="DQ109" s="35"/>
      <c r="DR109" s="35"/>
      <c r="DS109" s="35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40"/>
      <c r="ES109" s="40"/>
      <c r="ET109" s="40"/>
      <c r="EU109" s="40"/>
      <c r="EV109" s="40"/>
      <c r="EW109" s="40"/>
      <c r="EX109" s="40"/>
      <c r="EY109" s="40"/>
      <c r="EZ109" s="35"/>
      <c r="FA109" s="35"/>
      <c r="FB109" s="35"/>
      <c r="FC109" s="35"/>
      <c r="FD109" s="35"/>
      <c r="FE109" s="35"/>
      <c r="FF109" s="35"/>
      <c r="FG109" s="35"/>
    </row>
    <row r="110" spans="1:163">
      <c r="A110" s="60">
        <v>59</v>
      </c>
      <c r="E110" s="63" t="s">
        <v>56</v>
      </c>
      <c r="F110" s="56" t="s">
        <v>115</v>
      </c>
      <c r="G110" s="70" t="s">
        <v>439</v>
      </c>
      <c r="H110" s="66" t="str">
        <f t="shared" si="40"/>
        <v xml:space="preserve"> 555</v>
      </c>
      <c r="I110" s="67" t="s">
        <v>439</v>
      </c>
      <c r="J110" s="68">
        <f t="shared" si="41"/>
        <v>0</v>
      </c>
      <c r="K110" s="63" t="s">
        <v>256</v>
      </c>
      <c r="L110" s="1" t="s">
        <v>46</v>
      </c>
      <c r="O110" s="88" t="s">
        <v>790</v>
      </c>
      <c r="P110" s="89">
        <v>0</v>
      </c>
      <c r="Q110" s="90">
        <f t="shared" si="60"/>
        <v>69000</v>
      </c>
      <c r="R110" s="71">
        <v>69000</v>
      </c>
      <c r="S110" s="72">
        <f t="shared" si="56"/>
        <v>8150</v>
      </c>
      <c r="T110" s="68"/>
      <c r="U110" s="73">
        <f t="shared" si="57"/>
        <v>60850</v>
      </c>
      <c r="V110" s="75">
        <f>2000+5100+600+200+250</f>
        <v>8150</v>
      </c>
      <c r="W110" s="2">
        <f t="shared" si="42"/>
        <v>69000</v>
      </c>
      <c r="Y110" s="81">
        <f t="shared" si="43"/>
        <v>69000</v>
      </c>
      <c r="Z110" s="96">
        <v>0</v>
      </c>
      <c r="AA110" s="97">
        <f t="shared" si="61"/>
        <v>60850</v>
      </c>
      <c r="AB110" s="98" t="e">
        <f t="shared" si="62"/>
        <v>#DIV/0!</v>
      </c>
      <c r="AE110" s="2">
        <v>93000</v>
      </c>
      <c r="AF110" s="28">
        <f t="shared" si="37"/>
        <v>0</v>
      </c>
      <c r="AG110" s="55" t="s">
        <v>125</v>
      </c>
      <c r="AI110" s="20" t="s">
        <v>45</v>
      </c>
      <c r="AJ110" s="2">
        <f t="shared" si="44"/>
        <v>-69000</v>
      </c>
      <c r="AN110" s="29" t="e">
        <f t="shared" si="45"/>
        <v>#DIV/0!</v>
      </c>
      <c r="AP110" s="3" t="s">
        <v>29</v>
      </c>
      <c r="AQ110" s="1" t="s">
        <v>153</v>
      </c>
      <c r="AR110" s="31">
        <f t="shared" si="46"/>
        <v>0</v>
      </c>
      <c r="AS110" s="31">
        <f t="shared" si="47"/>
        <v>0</v>
      </c>
      <c r="AT110" s="31">
        <f t="shared" si="59"/>
        <v>0</v>
      </c>
      <c r="AU110" s="31">
        <f t="shared" si="48"/>
        <v>0</v>
      </c>
      <c r="AV110" s="31">
        <f t="shared" si="49"/>
        <v>0</v>
      </c>
      <c r="AW110" s="31">
        <f t="shared" si="50"/>
        <v>0</v>
      </c>
      <c r="AX110" s="31">
        <f t="shared" si="51"/>
        <v>0</v>
      </c>
      <c r="AY110" s="31">
        <f t="shared" si="52"/>
        <v>0</v>
      </c>
      <c r="AZ110" s="31">
        <f t="shared" si="53"/>
        <v>0</v>
      </c>
      <c r="BA110" s="31">
        <f t="shared" si="54"/>
        <v>0</v>
      </c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41"/>
      <c r="BM110" s="41"/>
      <c r="BN110" s="41"/>
      <c r="BO110" s="37"/>
      <c r="BP110" s="38"/>
      <c r="BQ110" s="37"/>
      <c r="BR110" s="40"/>
      <c r="BS110" s="39"/>
      <c r="BT110" s="39"/>
      <c r="BU110" s="39"/>
      <c r="BV110" s="39"/>
      <c r="BW110" s="39"/>
      <c r="BX110" s="36"/>
      <c r="BY110" s="33"/>
      <c r="BZ110" s="33"/>
      <c r="CA110" s="33"/>
      <c r="CB110" s="34"/>
      <c r="CC110" s="33"/>
      <c r="CD110" s="35"/>
      <c r="CE110" s="48"/>
      <c r="CF110" s="48"/>
      <c r="CG110" s="48"/>
      <c r="CH110" s="48"/>
      <c r="CI110" s="48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35"/>
      <c r="CW110" s="35"/>
      <c r="CX110" s="35"/>
      <c r="CY110" s="35"/>
      <c r="CZ110" s="35"/>
      <c r="DA110" s="35"/>
      <c r="DB110" s="35"/>
      <c r="DC110" s="35"/>
      <c r="DD110" s="40"/>
      <c r="DE110" s="40"/>
      <c r="DF110" s="40"/>
      <c r="DG110" s="40"/>
      <c r="DH110" s="40"/>
      <c r="DI110" s="40"/>
      <c r="DJ110" s="40"/>
      <c r="DK110" s="40"/>
      <c r="DL110" s="35"/>
      <c r="DM110" s="35"/>
      <c r="DN110" s="35"/>
      <c r="DO110" s="35"/>
      <c r="DP110" s="35"/>
      <c r="DQ110" s="35"/>
      <c r="DR110" s="35"/>
      <c r="DS110" s="35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40"/>
      <c r="ES110" s="40"/>
      <c r="ET110" s="40"/>
      <c r="EU110" s="40"/>
      <c r="EV110" s="40"/>
      <c r="EW110" s="40"/>
      <c r="EX110" s="40"/>
      <c r="EY110" s="40"/>
      <c r="EZ110" s="35"/>
      <c r="FA110" s="35"/>
      <c r="FB110" s="35"/>
      <c r="FC110" s="35"/>
      <c r="FD110" s="35"/>
      <c r="FE110" s="35"/>
      <c r="FF110" s="35"/>
      <c r="FG110" s="35"/>
    </row>
    <row r="111" spans="1:163">
      <c r="A111" s="62">
        <v>72</v>
      </c>
      <c r="E111" s="63" t="s">
        <v>114</v>
      </c>
      <c r="F111" s="56" t="s">
        <v>115</v>
      </c>
      <c r="G111" s="70" t="s">
        <v>453</v>
      </c>
      <c r="H111" s="66" t="str">
        <f t="shared" si="40"/>
        <v xml:space="preserve"> 657</v>
      </c>
      <c r="I111" s="67" t="s">
        <v>453</v>
      </c>
      <c r="J111" s="68">
        <f t="shared" si="41"/>
        <v>0</v>
      </c>
      <c r="K111" s="63" t="s">
        <v>256</v>
      </c>
      <c r="L111" s="1" t="s">
        <v>46</v>
      </c>
      <c r="O111" s="88" t="s">
        <v>790</v>
      </c>
      <c r="P111" s="89">
        <v>0</v>
      </c>
      <c r="Q111" s="90">
        <f t="shared" si="60"/>
        <v>69000</v>
      </c>
      <c r="R111" s="71">
        <v>69000</v>
      </c>
      <c r="S111" s="72">
        <f t="shared" si="56"/>
        <v>8150</v>
      </c>
      <c r="T111" s="68"/>
      <c r="U111" s="73">
        <f t="shared" si="57"/>
        <v>60850</v>
      </c>
      <c r="V111" s="73">
        <f>2000+5100+600+200+250</f>
        <v>8150</v>
      </c>
      <c r="W111" s="2">
        <f t="shared" si="42"/>
        <v>69000</v>
      </c>
      <c r="Y111" s="81">
        <f t="shared" si="43"/>
        <v>69000</v>
      </c>
      <c r="Z111" s="96">
        <v>0</v>
      </c>
      <c r="AA111" s="97">
        <f t="shared" si="61"/>
        <v>60850</v>
      </c>
      <c r="AB111" s="98" t="e">
        <f t="shared" si="62"/>
        <v>#DIV/0!</v>
      </c>
      <c r="AE111" s="2">
        <v>95000</v>
      </c>
      <c r="AF111" s="28">
        <f t="shared" si="37"/>
        <v>0</v>
      </c>
      <c r="AG111" s="55" t="s">
        <v>125</v>
      </c>
      <c r="AI111" s="20" t="s">
        <v>45</v>
      </c>
      <c r="AJ111" s="2">
        <f t="shared" si="44"/>
        <v>-69000</v>
      </c>
      <c r="AN111" s="29" t="e">
        <f t="shared" si="45"/>
        <v>#DIV/0!</v>
      </c>
      <c r="AP111" s="3" t="s">
        <v>29</v>
      </c>
      <c r="AQ111" s="1" t="s">
        <v>153</v>
      </c>
      <c r="AR111" s="31">
        <f t="shared" si="46"/>
        <v>0</v>
      </c>
      <c r="AS111" s="31">
        <f t="shared" si="47"/>
        <v>0</v>
      </c>
      <c r="AT111" s="31">
        <f t="shared" si="59"/>
        <v>0</v>
      </c>
      <c r="AU111" s="31">
        <f t="shared" si="48"/>
        <v>0</v>
      </c>
      <c r="AV111" s="31">
        <f t="shared" si="49"/>
        <v>0</v>
      </c>
      <c r="AW111" s="31">
        <f t="shared" si="50"/>
        <v>0</v>
      </c>
      <c r="AX111" s="31">
        <f t="shared" si="51"/>
        <v>0</v>
      </c>
      <c r="AY111" s="31">
        <f t="shared" si="52"/>
        <v>0</v>
      </c>
      <c r="AZ111" s="31">
        <f t="shared" si="53"/>
        <v>0</v>
      </c>
      <c r="BA111" s="31">
        <f t="shared" si="54"/>
        <v>0</v>
      </c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41"/>
      <c r="BM111" s="41"/>
      <c r="BN111" s="41"/>
      <c r="BO111" s="37"/>
      <c r="BP111" s="38"/>
      <c r="BQ111" s="37"/>
      <c r="BR111" s="40"/>
      <c r="BS111" s="39"/>
      <c r="BT111" s="39"/>
      <c r="BU111" s="39"/>
      <c r="BV111" s="39"/>
      <c r="BW111" s="39"/>
      <c r="BX111" s="36"/>
      <c r="BY111" s="33"/>
      <c r="BZ111" s="33"/>
      <c r="CA111" s="33"/>
      <c r="CB111" s="34"/>
      <c r="CC111" s="33"/>
      <c r="CD111" s="35"/>
      <c r="CE111" s="48"/>
      <c r="CF111" s="48"/>
      <c r="CG111" s="48"/>
      <c r="CH111" s="48"/>
      <c r="CI111" s="48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35"/>
      <c r="CW111" s="35"/>
      <c r="CX111" s="35"/>
      <c r="CY111" s="35"/>
      <c r="CZ111" s="35"/>
      <c r="DA111" s="35"/>
      <c r="DB111" s="35"/>
      <c r="DC111" s="35"/>
      <c r="DD111" s="40"/>
      <c r="DE111" s="40"/>
      <c r="DF111" s="40"/>
      <c r="DG111" s="40"/>
      <c r="DH111" s="40"/>
      <c r="DI111" s="40"/>
      <c r="DJ111" s="40"/>
      <c r="DK111" s="40"/>
      <c r="DL111" s="35"/>
      <c r="DM111" s="35"/>
      <c r="DN111" s="35"/>
      <c r="DO111" s="35"/>
      <c r="DP111" s="35"/>
      <c r="DQ111" s="35"/>
      <c r="DR111" s="35"/>
      <c r="DS111" s="35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40"/>
      <c r="ES111" s="40"/>
      <c r="ET111" s="40"/>
      <c r="EU111" s="40"/>
      <c r="EV111" s="40"/>
      <c r="EW111" s="40"/>
      <c r="EX111" s="40"/>
      <c r="EY111" s="40"/>
      <c r="EZ111" s="35"/>
      <c r="FA111" s="35"/>
      <c r="FB111" s="35"/>
      <c r="FC111" s="35"/>
      <c r="FD111" s="35"/>
      <c r="FE111" s="35"/>
      <c r="FF111" s="35"/>
      <c r="FG111" s="35"/>
    </row>
    <row r="112" spans="1:163">
      <c r="A112" s="62">
        <v>70</v>
      </c>
      <c r="E112" s="63" t="s">
        <v>114</v>
      </c>
      <c r="F112" s="56" t="s">
        <v>115</v>
      </c>
      <c r="G112" s="70" t="s">
        <v>451</v>
      </c>
      <c r="H112" s="66" t="str">
        <f t="shared" si="40"/>
        <v xml:space="preserve"> 767</v>
      </c>
      <c r="I112" s="67" t="s">
        <v>451</v>
      </c>
      <c r="J112" s="68">
        <f t="shared" si="41"/>
        <v>0</v>
      </c>
      <c r="K112" s="63" t="s">
        <v>256</v>
      </c>
      <c r="L112" s="1" t="s">
        <v>46</v>
      </c>
      <c r="O112" s="88" t="s">
        <v>790</v>
      </c>
      <c r="P112" s="89">
        <v>0</v>
      </c>
      <c r="Q112" s="90">
        <f t="shared" si="60"/>
        <v>69000</v>
      </c>
      <c r="R112" s="71">
        <f>69000</f>
        <v>69000</v>
      </c>
      <c r="S112" s="72">
        <f t="shared" si="56"/>
        <v>8150</v>
      </c>
      <c r="T112" s="68"/>
      <c r="U112" s="73">
        <f t="shared" si="57"/>
        <v>60850</v>
      </c>
      <c r="V112" s="73">
        <f>2000+5100+600+200+250</f>
        <v>8150</v>
      </c>
      <c r="W112" s="2">
        <f t="shared" si="42"/>
        <v>69000</v>
      </c>
      <c r="Y112" s="81">
        <f t="shared" si="43"/>
        <v>69000</v>
      </c>
      <c r="Z112" s="96">
        <v>0</v>
      </c>
      <c r="AA112" s="97">
        <f t="shared" si="61"/>
        <v>60850</v>
      </c>
      <c r="AB112" s="98" t="e">
        <f t="shared" si="62"/>
        <v>#DIV/0!</v>
      </c>
      <c r="AC112" s="2">
        <v>4000</v>
      </c>
      <c r="AD112" s="2">
        <f>Z112+AC112</f>
        <v>4000</v>
      </c>
      <c r="AF112" s="28">
        <f t="shared" si="37"/>
        <v>4000</v>
      </c>
      <c r="AG112" s="55" t="s">
        <v>125</v>
      </c>
      <c r="AI112" s="20" t="s">
        <v>45</v>
      </c>
      <c r="AJ112" s="2">
        <f t="shared" si="44"/>
        <v>-65000</v>
      </c>
      <c r="AN112" s="29">
        <f t="shared" si="45"/>
        <v>-16.25</v>
      </c>
      <c r="AO112" s="29" t="e">
        <f>AN112-AB112</f>
        <v>#DIV/0!</v>
      </c>
      <c r="AP112" s="3" t="s">
        <v>29</v>
      </c>
      <c r="AQ112" s="1" t="s">
        <v>153</v>
      </c>
      <c r="AR112" s="31">
        <f t="shared" si="46"/>
        <v>0</v>
      </c>
      <c r="AS112" s="31">
        <f t="shared" si="47"/>
        <v>0</v>
      </c>
      <c r="AT112" s="31">
        <f t="shared" si="59"/>
        <v>0</v>
      </c>
      <c r="AU112" s="31">
        <f t="shared" si="48"/>
        <v>0</v>
      </c>
      <c r="AV112" s="31">
        <f t="shared" si="49"/>
        <v>0</v>
      </c>
      <c r="AW112" s="31">
        <f t="shared" si="50"/>
        <v>0</v>
      </c>
      <c r="AX112" s="31">
        <f t="shared" si="51"/>
        <v>0</v>
      </c>
      <c r="AY112" s="31">
        <f t="shared" si="52"/>
        <v>0</v>
      </c>
      <c r="AZ112" s="31">
        <f t="shared" si="53"/>
        <v>0</v>
      </c>
      <c r="BA112" s="31">
        <f t="shared" si="54"/>
        <v>0</v>
      </c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41"/>
      <c r="BM112" s="41"/>
      <c r="BN112" s="41"/>
      <c r="BO112" s="37"/>
      <c r="BP112" s="38"/>
      <c r="BQ112" s="37"/>
      <c r="BR112" s="40"/>
      <c r="BS112" s="39"/>
      <c r="BT112" s="39"/>
      <c r="BU112" s="39"/>
      <c r="BV112" s="39"/>
      <c r="BW112" s="39"/>
      <c r="BX112" s="36"/>
      <c r="BY112" s="33"/>
      <c r="BZ112" s="33"/>
      <c r="CA112" s="33"/>
      <c r="CB112" s="34"/>
      <c r="CC112" s="33"/>
      <c r="CD112" s="35"/>
      <c r="CE112" s="48"/>
      <c r="CF112" s="48"/>
      <c r="CG112" s="48"/>
      <c r="CH112" s="48"/>
      <c r="CI112" s="48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35"/>
      <c r="CW112" s="35"/>
      <c r="CX112" s="35"/>
      <c r="CY112" s="35"/>
      <c r="CZ112" s="35"/>
      <c r="DA112" s="35"/>
      <c r="DB112" s="35"/>
      <c r="DC112" s="35"/>
      <c r="DD112" s="40"/>
      <c r="DE112" s="40"/>
      <c r="DF112" s="40"/>
      <c r="DG112" s="40"/>
      <c r="DH112" s="40"/>
      <c r="DI112" s="40"/>
      <c r="DJ112" s="40"/>
      <c r="DK112" s="40"/>
      <c r="DL112" s="35"/>
      <c r="DM112" s="35"/>
      <c r="DN112" s="35"/>
      <c r="DO112" s="35"/>
      <c r="DP112" s="35"/>
      <c r="DQ112" s="35"/>
      <c r="DR112" s="35"/>
      <c r="DS112" s="35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40"/>
      <c r="ES112" s="40"/>
      <c r="ET112" s="40"/>
      <c r="EU112" s="40"/>
      <c r="EV112" s="40"/>
      <c r="EW112" s="40"/>
      <c r="EX112" s="40"/>
      <c r="EY112" s="40"/>
      <c r="EZ112" s="35"/>
      <c r="FA112" s="35"/>
      <c r="FB112" s="35"/>
      <c r="FC112" s="35"/>
      <c r="FD112" s="35"/>
      <c r="FE112" s="35"/>
      <c r="FF112" s="35"/>
      <c r="FG112" s="35"/>
    </row>
    <row r="113" spans="1:163">
      <c r="A113" s="62">
        <v>215</v>
      </c>
      <c r="E113" s="63" t="s">
        <v>219</v>
      </c>
      <c r="F113" s="56" t="s">
        <v>68</v>
      </c>
      <c r="G113" s="70" t="s">
        <v>595</v>
      </c>
      <c r="H113" s="66" t="str">
        <f t="shared" si="40"/>
        <v xml:space="preserve"> 952</v>
      </c>
      <c r="I113" s="67" t="s">
        <v>595</v>
      </c>
      <c r="J113" s="68">
        <f t="shared" si="41"/>
        <v>0</v>
      </c>
      <c r="K113" s="63" t="s">
        <v>256</v>
      </c>
      <c r="L113" s="1" t="s">
        <v>46</v>
      </c>
      <c r="O113" s="88" t="s">
        <v>790</v>
      </c>
      <c r="P113" s="89">
        <v>0</v>
      </c>
      <c r="Q113" s="90">
        <f t="shared" si="60"/>
        <v>150000</v>
      </c>
      <c r="R113" s="71">
        <v>150000</v>
      </c>
      <c r="S113" s="72">
        <f t="shared" si="56"/>
        <v>9250</v>
      </c>
      <c r="T113" s="68"/>
      <c r="U113" s="73">
        <f t="shared" si="57"/>
        <v>140750</v>
      </c>
      <c r="V113" s="73">
        <f>2000+6200+600+200+250</f>
        <v>9250</v>
      </c>
      <c r="W113" s="2">
        <f t="shared" si="42"/>
        <v>150000</v>
      </c>
      <c r="Y113" s="81">
        <f t="shared" si="43"/>
        <v>150000</v>
      </c>
      <c r="Z113" s="96">
        <v>0</v>
      </c>
      <c r="AA113" s="97"/>
      <c r="AB113" s="98"/>
      <c r="AC113" s="2">
        <v>7000</v>
      </c>
      <c r="AD113" s="2">
        <f>Z113+AC113</f>
        <v>7000</v>
      </c>
      <c r="AF113" s="28">
        <f t="shared" si="37"/>
        <v>7000</v>
      </c>
      <c r="AG113" s="55" t="s">
        <v>125</v>
      </c>
      <c r="AI113" s="20" t="s">
        <v>206</v>
      </c>
      <c r="AJ113" s="2">
        <f t="shared" si="44"/>
        <v>-143000</v>
      </c>
      <c r="AN113" s="29">
        <f t="shared" si="45"/>
        <v>-20.428571428571427</v>
      </c>
      <c r="AO113" s="29">
        <f>AN113-AB113</f>
        <v>-20.428571428571427</v>
      </c>
      <c r="AP113" s="3" t="s">
        <v>140</v>
      </c>
      <c r="AQ113" s="1" t="s">
        <v>191</v>
      </c>
      <c r="AR113" s="31">
        <f t="shared" si="46"/>
        <v>-228500</v>
      </c>
      <c r="AS113" s="31">
        <f t="shared" si="47"/>
        <v>-196526</v>
      </c>
      <c r="AT113" s="31">
        <f>IF(BX113&lt;&gt;"", AF113-BX113, 0)</f>
        <v>-211850</v>
      </c>
      <c r="AU113" s="31">
        <f t="shared" si="48"/>
        <v>-186320</v>
      </c>
      <c r="AV113" s="31">
        <f t="shared" si="49"/>
        <v>0</v>
      </c>
      <c r="AW113" s="31">
        <f t="shared" si="50"/>
        <v>-188563</v>
      </c>
      <c r="AX113" s="31">
        <f t="shared" si="51"/>
        <v>0</v>
      </c>
      <c r="AY113" s="31">
        <f t="shared" si="52"/>
        <v>-201180</v>
      </c>
      <c r="AZ113" s="31">
        <f t="shared" si="53"/>
        <v>-205800</v>
      </c>
      <c r="BA113" s="31">
        <f t="shared" si="54"/>
        <v>0</v>
      </c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41">
        <v>229500</v>
      </c>
      <c r="BM113" s="41">
        <v>6000</v>
      </c>
      <c r="BN113" s="41">
        <f>BL113+BM113</f>
        <v>235500</v>
      </c>
      <c r="BO113" s="37">
        <f>BN113-Y113</f>
        <v>85500</v>
      </c>
      <c r="BP113" s="38">
        <f>BO113/BL113</f>
        <v>0.37254901960784315</v>
      </c>
      <c r="BQ113" s="37">
        <f>AF113-BN113</f>
        <v>-228500</v>
      </c>
      <c r="BR113" s="40" t="s">
        <v>29</v>
      </c>
      <c r="BS113" s="39"/>
      <c r="BT113" s="39"/>
      <c r="BU113" s="39"/>
      <c r="BV113" s="39"/>
      <c r="BW113" s="39"/>
      <c r="BX113" s="36">
        <v>218850</v>
      </c>
      <c r="BY113" s="33">
        <v>6000</v>
      </c>
      <c r="BZ113" s="33">
        <f>BX113+BY113</f>
        <v>224850</v>
      </c>
      <c r="CA113" s="33">
        <f>BZ113-Y113</f>
        <v>74850</v>
      </c>
      <c r="CB113" s="34">
        <f>CA113/BX113</f>
        <v>0.34201507882111037</v>
      </c>
      <c r="CC113" s="33">
        <f>AF113-BZ113</f>
        <v>-217850</v>
      </c>
      <c r="CD113" s="35" t="s">
        <v>29</v>
      </c>
      <c r="CE113" s="48"/>
      <c r="CF113" s="48"/>
      <c r="CG113" s="48"/>
      <c r="CH113" s="48"/>
      <c r="CI113" s="48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36">
        <v>203526</v>
      </c>
      <c r="CW113" s="36">
        <f>CV113-Y113</f>
        <v>53526</v>
      </c>
      <c r="CX113" s="46">
        <f>CW113/CV113</f>
        <v>0.26299342590135905</v>
      </c>
      <c r="CY113" s="36">
        <f>AF113-CV113</f>
        <v>-196526</v>
      </c>
      <c r="CZ113" s="35" t="s">
        <v>29</v>
      </c>
      <c r="DA113" s="35"/>
      <c r="DB113" s="35"/>
      <c r="DC113" s="35"/>
      <c r="DD113" s="41">
        <v>193320</v>
      </c>
      <c r="DE113" s="37">
        <f>DD113-Y113</f>
        <v>43320</v>
      </c>
      <c r="DF113" s="38">
        <f>DE113/DD113</f>
        <v>0.22408441961514589</v>
      </c>
      <c r="DG113" s="37">
        <f>AF113-DD113</f>
        <v>-186320</v>
      </c>
      <c r="DH113" s="40" t="s">
        <v>29</v>
      </c>
      <c r="DI113" s="40"/>
      <c r="DJ113" s="40"/>
      <c r="DK113" s="40"/>
      <c r="DL113" s="36">
        <v>195563</v>
      </c>
      <c r="DM113" s="33">
        <f>DL113-Y113</f>
        <v>45563</v>
      </c>
      <c r="DN113" s="34">
        <f>DM113/DL113</f>
        <v>0.23298374436882233</v>
      </c>
      <c r="DO113" s="33">
        <f>AF113-DL113</f>
        <v>-188563</v>
      </c>
      <c r="DP113" s="35" t="s">
        <v>29</v>
      </c>
      <c r="DQ113" s="35"/>
      <c r="DR113" s="35"/>
      <c r="DS113" s="35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36">
        <v>201180</v>
      </c>
      <c r="EG113" s="33">
        <v>7000</v>
      </c>
      <c r="EH113" s="33">
        <f>EF113+EG113</f>
        <v>208180</v>
      </c>
      <c r="EI113" s="33">
        <f>EH113-Y113</f>
        <v>58180</v>
      </c>
      <c r="EJ113" s="44">
        <f>EI113/EH113</f>
        <v>0.27946968969161301</v>
      </c>
      <c r="EK113" s="45">
        <f>AF113-EH113</f>
        <v>-201180</v>
      </c>
      <c r="EL113" s="35" t="s">
        <v>29</v>
      </c>
      <c r="EM113" s="35"/>
      <c r="EN113" s="35"/>
      <c r="EO113" s="35"/>
      <c r="EP113" s="35"/>
      <c r="EQ113" s="35"/>
      <c r="ER113" s="41">
        <v>212800</v>
      </c>
      <c r="ES113" s="37">
        <f>ER113-Y113</f>
        <v>62800</v>
      </c>
      <c r="ET113" s="38">
        <f>ES113/ER113</f>
        <v>0.29511278195488722</v>
      </c>
      <c r="EU113" s="37">
        <f>AF113-ER113</f>
        <v>-205800</v>
      </c>
      <c r="EV113" s="40" t="s">
        <v>29</v>
      </c>
      <c r="EW113" s="40"/>
      <c r="EX113" s="40"/>
      <c r="EY113" s="40"/>
      <c r="EZ113" s="35"/>
      <c r="FA113" s="35"/>
      <c r="FB113" s="35"/>
      <c r="FC113" s="35"/>
      <c r="FD113" s="35"/>
      <c r="FE113" s="35"/>
      <c r="FF113" s="35"/>
      <c r="FG113" s="35"/>
    </row>
    <row r="114" spans="1:163">
      <c r="A114" s="62">
        <v>201</v>
      </c>
      <c r="E114" s="63" t="s">
        <v>217</v>
      </c>
      <c r="F114" s="56" t="s">
        <v>65</v>
      </c>
      <c r="G114" s="70" t="s">
        <v>581</v>
      </c>
      <c r="H114" s="66" t="str">
        <f t="shared" si="40"/>
        <v xml:space="preserve"> 253</v>
      </c>
      <c r="I114" s="67" t="s">
        <v>581</v>
      </c>
      <c r="J114" s="68">
        <f t="shared" si="41"/>
        <v>0</v>
      </c>
      <c r="K114" s="63" t="s">
        <v>244</v>
      </c>
      <c r="L114" s="1" t="s">
        <v>46</v>
      </c>
      <c r="O114" s="64" t="s">
        <v>789</v>
      </c>
      <c r="P114" s="82">
        <v>0</v>
      </c>
      <c r="Q114" s="74">
        <f t="shared" si="60"/>
        <v>74000</v>
      </c>
      <c r="R114" s="71">
        <v>74000</v>
      </c>
      <c r="S114" s="72">
        <f t="shared" si="56"/>
        <v>8250</v>
      </c>
      <c r="T114" s="68" t="s">
        <v>791</v>
      </c>
      <c r="U114" s="73">
        <f t="shared" si="57"/>
        <v>65750</v>
      </c>
      <c r="V114" s="75">
        <f>2000+600+200+250+5200</f>
        <v>8250</v>
      </c>
      <c r="W114" s="2">
        <f t="shared" si="42"/>
        <v>74000</v>
      </c>
      <c r="Y114" s="80">
        <f t="shared" si="43"/>
        <v>74000</v>
      </c>
      <c r="Z114" s="93"/>
      <c r="AA114" s="93"/>
      <c r="AB114" s="94"/>
      <c r="AE114" s="2">
        <v>115000</v>
      </c>
      <c r="AF114" s="28">
        <f t="shared" si="37"/>
        <v>115000</v>
      </c>
      <c r="AJ114" s="2">
        <f t="shared" si="44"/>
        <v>41000</v>
      </c>
      <c r="AN114" s="29">
        <f t="shared" si="45"/>
        <v>0.35652173913043478</v>
      </c>
      <c r="AP114" s="3" t="s">
        <v>158</v>
      </c>
      <c r="AR114" s="31">
        <f t="shared" si="46"/>
        <v>0</v>
      </c>
      <c r="AS114" s="31">
        <f t="shared" si="47"/>
        <v>0</v>
      </c>
      <c r="AT114" s="31">
        <f>IF(BX114&lt;&gt;"", AF114-BX114, 0)</f>
        <v>0</v>
      </c>
      <c r="AU114" s="31">
        <f t="shared" si="48"/>
        <v>0</v>
      </c>
      <c r="AV114" s="31">
        <f t="shared" si="49"/>
        <v>0</v>
      </c>
      <c r="AW114" s="31">
        <f t="shared" si="50"/>
        <v>0</v>
      </c>
      <c r="AX114" s="31">
        <f t="shared" si="51"/>
        <v>0</v>
      </c>
      <c r="AY114" s="31">
        <f t="shared" si="52"/>
        <v>0</v>
      </c>
      <c r="AZ114" s="31">
        <f t="shared" si="53"/>
        <v>0</v>
      </c>
      <c r="BA114" s="31">
        <f t="shared" si="54"/>
        <v>0</v>
      </c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41"/>
      <c r="BM114" s="41"/>
      <c r="BN114" s="41"/>
      <c r="BO114" s="37"/>
      <c r="BP114" s="38"/>
      <c r="BQ114" s="37"/>
      <c r="BR114" s="40"/>
      <c r="BS114" s="39"/>
      <c r="BT114" s="39"/>
      <c r="BU114" s="39"/>
      <c r="BV114" s="39"/>
      <c r="BW114" s="39"/>
      <c r="BX114" s="36"/>
      <c r="BY114" s="33"/>
      <c r="BZ114" s="33"/>
      <c r="CA114" s="33"/>
      <c r="CB114" s="34"/>
      <c r="CC114" s="33"/>
      <c r="CD114" s="35"/>
      <c r="CE114" s="48"/>
      <c r="CF114" s="48"/>
      <c r="CG114" s="48"/>
      <c r="CH114" s="48"/>
      <c r="CI114" s="48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35"/>
      <c r="CW114" s="35"/>
      <c r="CX114" s="35"/>
      <c r="CY114" s="35"/>
      <c r="CZ114" s="35"/>
      <c r="DA114" s="35"/>
      <c r="DB114" s="35"/>
      <c r="DC114" s="35"/>
      <c r="DD114" s="40"/>
      <c r="DE114" s="40"/>
      <c r="DF114" s="40"/>
      <c r="DG114" s="40"/>
      <c r="DH114" s="40"/>
      <c r="DI114" s="40"/>
      <c r="DJ114" s="40"/>
      <c r="DK114" s="40"/>
      <c r="DL114" s="35"/>
      <c r="DM114" s="35"/>
      <c r="DN114" s="35"/>
      <c r="DO114" s="35"/>
      <c r="DP114" s="35"/>
      <c r="DQ114" s="35"/>
      <c r="DR114" s="35"/>
      <c r="DS114" s="35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40"/>
      <c r="ES114" s="40"/>
      <c r="ET114" s="40"/>
      <c r="EU114" s="40"/>
      <c r="EV114" s="40"/>
      <c r="EW114" s="40"/>
      <c r="EX114" s="40"/>
      <c r="EY114" s="40"/>
      <c r="EZ114" s="35"/>
      <c r="FA114" s="35"/>
      <c r="FB114" s="35"/>
      <c r="FC114" s="35"/>
      <c r="FD114" s="35"/>
      <c r="FE114" s="35"/>
      <c r="FF114" s="35"/>
      <c r="FG114" s="35"/>
    </row>
    <row r="115" spans="1:163">
      <c r="A115" s="62">
        <v>198</v>
      </c>
      <c r="E115" s="63" t="s">
        <v>216</v>
      </c>
      <c r="F115" s="56" t="s">
        <v>65</v>
      </c>
      <c r="G115" s="70" t="s">
        <v>578</v>
      </c>
      <c r="H115" s="66" t="str">
        <f t="shared" si="40"/>
        <v xml:space="preserve"> 428</v>
      </c>
      <c r="I115" s="67" t="s">
        <v>578</v>
      </c>
      <c r="J115" s="68">
        <f t="shared" si="41"/>
        <v>0</v>
      </c>
      <c r="K115" s="63" t="s">
        <v>244</v>
      </c>
      <c r="L115" s="1" t="s">
        <v>46</v>
      </c>
      <c r="O115" s="88" t="s">
        <v>790</v>
      </c>
      <c r="P115" s="89">
        <v>0</v>
      </c>
      <c r="Q115" s="90">
        <f t="shared" si="60"/>
        <v>72000</v>
      </c>
      <c r="R115" s="71">
        <v>72000</v>
      </c>
      <c r="S115" s="72">
        <f t="shared" si="56"/>
        <v>8250</v>
      </c>
      <c r="T115" s="68" t="s">
        <v>791</v>
      </c>
      <c r="U115" s="73">
        <f t="shared" si="57"/>
        <v>63750</v>
      </c>
      <c r="V115" s="75">
        <f>2000+600+200+250+5200</f>
        <v>8250</v>
      </c>
      <c r="W115" s="2">
        <f t="shared" si="42"/>
        <v>72000</v>
      </c>
      <c r="Y115" s="81">
        <f t="shared" si="43"/>
        <v>72000</v>
      </c>
      <c r="Z115" s="96">
        <v>0</v>
      </c>
      <c r="AA115" s="97">
        <f>U115-Z115</f>
        <v>63750</v>
      </c>
      <c r="AB115" s="98" t="e">
        <f>AA115/Z115</f>
        <v>#DIV/0!</v>
      </c>
      <c r="AE115" s="2">
        <v>113000</v>
      </c>
      <c r="AF115" s="28">
        <f t="shared" si="37"/>
        <v>0</v>
      </c>
      <c r="AJ115" s="2">
        <f t="shared" si="44"/>
        <v>-72000</v>
      </c>
      <c r="AN115" s="29" t="e">
        <f t="shared" si="45"/>
        <v>#DIV/0!</v>
      </c>
      <c r="AP115" s="3" t="s">
        <v>140</v>
      </c>
      <c r="AQ115" s="57" t="s">
        <v>141</v>
      </c>
      <c r="AR115" s="31">
        <f t="shared" si="46"/>
        <v>0</v>
      </c>
      <c r="AS115" s="31">
        <f t="shared" si="47"/>
        <v>-109350</v>
      </c>
      <c r="AT115" s="31">
        <f>IF(BX115&lt;&gt;"", AF115-BX115, 0)</f>
        <v>0</v>
      </c>
      <c r="AU115" s="31">
        <f t="shared" si="48"/>
        <v>0</v>
      </c>
      <c r="AV115" s="31">
        <f t="shared" si="49"/>
        <v>0</v>
      </c>
      <c r="AW115" s="31">
        <f t="shared" si="50"/>
        <v>0</v>
      </c>
      <c r="AX115" s="31">
        <f t="shared" si="51"/>
        <v>0</v>
      </c>
      <c r="AY115" s="31">
        <f t="shared" si="52"/>
        <v>0</v>
      </c>
      <c r="AZ115" s="31">
        <f t="shared" si="53"/>
        <v>0</v>
      </c>
      <c r="BA115" s="31">
        <f t="shared" si="54"/>
        <v>0</v>
      </c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41"/>
      <c r="BM115" s="41"/>
      <c r="BN115" s="41"/>
      <c r="BO115" s="37"/>
      <c r="BP115" s="38"/>
      <c r="BQ115" s="37"/>
      <c r="BR115" s="40"/>
      <c r="BS115" s="39"/>
      <c r="BT115" s="39"/>
      <c r="BU115" s="39"/>
      <c r="BV115" s="39"/>
      <c r="BW115" s="39"/>
      <c r="BX115" s="36"/>
      <c r="BY115" s="33"/>
      <c r="BZ115" s="33"/>
      <c r="CA115" s="33"/>
      <c r="CB115" s="34"/>
      <c r="CC115" s="33"/>
      <c r="CD115" s="35"/>
      <c r="CE115" s="48"/>
      <c r="CF115" s="48"/>
      <c r="CG115" s="48"/>
      <c r="CH115" s="48"/>
      <c r="CI115" s="48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36">
        <v>109350</v>
      </c>
      <c r="CW115" s="36">
        <f>CV115-Y115</f>
        <v>37350</v>
      </c>
      <c r="CX115" s="46">
        <f>CW115/CV115</f>
        <v>0.34156378600823045</v>
      </c>
      <c r="CY115" s="36">
        <f>AF115-CV115</f>
        <v>-109350</v>
      </c>
      <c r="CZ115" s="35" t="s">
        <v>117</v>
      </c>
      <c r="DA115" s="35"/>
      <c r="DB115" s="35"/>
      <c r="DC115" s="35"/>
      <c r="DD115" s="40"/>
      <c r="DE115" s="40"/>
      <c r="DF115" s="40"/>
      <c r="DG115" s="40"/>
      <c r="DH115" s="40"/>
      <c r="DI115" s="40"/>
      <c r="DJ115" s="40"/>
      <c r="DK115" s="40"/>
      <c r="DL115" s="35"/>
      <c r="DM115" s="35"/>
      <c r="DN115" s="35"/>
      <c r="DO115" s="35"/>
      <c r="DP115" s="35"/>
      <c r="DQ115" s="35"/>
      <c r="DR115" s="35"/>
      <c r="DS115" s="35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40"/>
      <c r="ES115" s="40"/>
      <c r="ET115" s="40"/>
      <c r="EU115" s="40"/>
      <c r="EV115" s="40"/>
      <c r="EW115" s="40"/>
      <c r="EX115" s="40"/>
      <c r="EY115" s="40"/>
      <c r="EZ115" s="35"/>
      <c r="FA115" s="35"/>
      <c r="FB115" s="35"/>
      <c r="FC115" s="35"/>
      <c r="FD115" s="35"/>
      <c r="FE115" s="35"/>
      <c r="FF115" s="35"/>
      <c r="FG115" s="35"/>
    </row>
    <row r="116" spans="1:163">
      <c r="A116" s="61">
        <v>7</v>
      </c>
      <c r="E116" s="63" t="s">
        <v>211</v>
      </c>
      <c r="F116" s="56" t="s">
        <v>115</v>
      </c>
      <c r="G116" s="70" t="s">
        <v>389</v>
      </c>
      <c r="H116" s="66" t="str">
        <f t="shared" si="40"/>
        <v xml:space="preserve"> 565</v>
      </c>
      <c r="I116" s="67" t="s">
        <v>389</v>
      </c>
      <c r="J116" s="68">
        <f t="shared" si="41"/>
        <v>0</v>
      </c>
      <c r="K116" s="63" t="s">
        <v>244</v>
      </c>
      <c r="L116" s="1" t="s">
        <v>46</v>
      </c>
      <c r="O116" s="88" t="s">
        <v>790</v>
      </c>
      <c r="P116" s="89">
        <v>0</v>
      </c>
      <c r="Q116" s="90">
        <f t="shared" si="60"/>
        <v>72000</v>
      </c>
      <c r="R116" s="76">
        <v>72000</v>
      </c>
      <c r="S116" s="72">
        <f t="shared" si="56"/>
        <v>8250</v>
      </c>
      <c r="T116" s="68" t="s">
        <v>791</v>
      </c>
      <c r="U116" s="73">
        <f t="shared" si="57"/>
        <v>63750</v>
      </c>
      <c r="V116" s="76">
        <f>2000+600+200+250+5200</f>
        <v>8250</v>
      </c>
      <c r="W116" s="2">
        <f t="shared" si="42"/>
        <v>72000</v>
      </c>
      <c r="Y116" s="81">
        <f t="shared" si="43"/>
        <v>72000</v>
      </c>
      <c r="Z116" s="96">
        <v>0</v>
      </c>
      <c r="AA116" s="97">
        <f>U116-Z116</f>
        <v>63750</v>
      </c>
      <c r="AB116" s="98" t="e">
        <f>AA116/Z116</f>
        <v>#DIV/0!</v>
      </c>
      <c r="AE116" s="2">
        <v>108000</v>
      </c>
      <c r="AF116" s="28">
        <f t="shared" si="37"/>
        <v>0</v>
      </c>
      <c r="AG116" s="55" t="s">
        <v>125</v>
      </c>
      <c r="AI116" s="20" t="s">
        <v>45</v>
      </c>
      <c r="AJ116" s="2">
        <f t="shared" si="44"/>
        <v>-72000</v>
      </c>
      <c r="AN116" s="29" t="e">
        <f t="shared" si="45"/>
        <v>#DIV/0!</v>
      </c>
      <c r="AP116" s="3" t="s">
        <v>29</v>
      </c>
      <c r="AQ116" s="1" t="s">
        <v>153</v>
      </c>
      <c r="AR116" s="31">
        <f t="shared" si="46"/>
        <v>0</v>
      </c>
      <c r="AS116" s="31">
        <f t="shared" si="47"/>
        <v>0</v>
      </c>
      <c r="AT116" s="31">
        <f t="shared" ref="AT116:AT124" si="63">IF(BZ116&lt;&gt;"", AF116-BZ116, 0)</f>
        <v>0</v>
      </c>
      <c r="AU116" s="31">
        <f t="shared" si="48"/>
        <v>0</v>
      </c>
      <c r="AV116" s="31">
        <f t="shared" si="49"/>
        <v>0</v>
      </c>
      <c r="AW116" s="31">
        <f t="shared" si="50"/>
        <v>0</v>
      </c>
      <c r="AX116" s="31">
        <f t="shared" si="51"/>
        <v>0</v>
      </c>
      <c r="AY116" s="31">
        <f t="shared" si="52"/>
        <v>0</v>
      </c>
      <c r="AZ116" s="31">
        <f t="shared" si="53"/>
        <v>0</v>
      </c>
      <c r="BA116" s="31">
        <f t="shared" si="54"/>
        <v>0</v>
      </c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41"/>
      <c r="BM116" s="41"/>
      <c r="BN116" s="41"/>
      <c r="BO116" s="37"/>
      <c r="BP116" s="38"/>
      <c r="BQ116" s="37"/>
      <c r="BR116" s="40"/>
      <c r="BS116" s="39"/>
      <c r="BT116" s="39"/>
      <c r="BU116" s="39"/>
      <c r="BV116" s="39"/>
      <c r="BW116" s="39"/>
      <c r="BX116" s="36"/>
      <c r="BY116" s="33"/>
      <c r="BZ116" s="33"/>
      <c r="CA116" s="33"/>
      <c r="CB116" s="34"/>
      <c r="CC116" s="33"/>
      <c r="CD116" s="35"/>
      <c r="CE116" s="48"/>
      <c r="CF116" s="48"/>
      <c r="CG116" s="48"/>
      <c r="CH116" s="48"/>
      <c r="CI116" s="48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35"/>
      <c r="CW116" s="35"/>
      <c r="CX116" s="35"/>
      <c r="CY116" s="35"/>
      <c r="CZ116" s="35"/>
      <c r="DA116" s="35"/>
      <c r="DB116" s="35"/>
      <c r="DC116" s="35"/>
      <c r="DD116" s="40"/>
      <c r="DE116" s="40"/>
      <c r="DF116" s="40"/>
      <c r="DG116" s="40"/>
      <c r="DH116" s="40"/>
      <c r="DI116" s="40"/>
      <c r="DJ116" s="40"/>
      <c r="DK116" s="40"/>
      <c r="DL116" s="35"/>
      <c r="DM116" s="35"/>
      <c r="DN116" s="35"/>
      <c r="DO116" s="35"/>
      <c r="DP116" s="35"/>
      <c r="DQ116" s="35"/>
      <c r="DR116" s="35"/>
      <c r="DS116" s="35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40"/>
      <c r="ES116" s="40"/>
      <c r="ET116" s="40"/>
      <c r="EU116" s="40"/>
      <c r="EV116" s="40"/>
      <c r="EW116" s="40"/>
      <c r="EX116" s="40"/>
      <c r="EY116" s="40"/>
      <c r="EZ116" s="35"/>
      <c r="FA116" s="35"/>
      <c r="FB116" s="35"/>
      <c r="FC116" s="35"/>
      <c r="FD116" s="35"/>
      <c r="FE116" s="35"/>
      <c r="FF116" s="35"/>
      <c r="FG116" s="35"/>
    </row>
    <row r="117" spans="1:163">
      <c r="A117" s="60">
        <v>156</v>
      </c>
      <c r="E117" s="63" t="s">
        <v>64</v>
      </c>
      <c r="F117" s="56" t="s">
        <v>62</v>
      </c>
      <c r="G117" s="70" t="s">
        <v>535</v>
      </c>
      <c r="H117" s="66" t="str">
        <f t="shared" si="40"/>
        <v xml:space="preserve"> 437</v>
      </c>
      <c r="I117" s="67" t="s">
        <v>535</v>
      </c>
      <c r="J117" s="68">
        <f t="shared" si="41"/>
        <v>0</v>
      </c>
      <c r="K117" s="63" t="s">
        <v>299</v>
      </c>
      <c r="L117" s="1" t="s">
        <v>46</v>
      </c>
      <c r="O117" s="88" t="s">
        <v>790</v>
      </c>
      <c r="P117" s="89">
        <v>0</v>
      </c>
      <c r="Q117" s="90">
        <f t="shared" si="60"/>
        <v>0</v>
      </c>
      <c r="R117" s="76"/>
      <c r="S117" s="72">
        <f t="shared" si="56"/>
        <v>0</v>
      </c>
      <c r="T117" s="68"/>
      <c r="U117" s="73">
        <f t="shared" si="57"/>
        <v>0</v>
      </c>
      <c r="V117" s="76"/>
      <c r="W117" s="2">
        <f t="shared" si="42"/>
        <v>0</v>
      </c>
      <c r="Y117" s="81">
        <f t="shared" si="43"/>
        <v>0</v>
      </c>
      <c r="Z117" s="96">
        <v>0</v>
      </c>
      <c r="AA117" s="97">
        <f>U117-Z117</f>
        <v>0</v>
      </c>
      <c r="AB117" s="98" t="e">
        <f>AA117/Z117</f>
        <v>#DIV/0!</v>
      </c>
      <c r="AC117" s="2">
        <v>3000</v>
      </c>
      <c r="AD117" s="2">
        <f>Z117+AC117</f>
        <v>3000</v>
      </c>
      <c r="AF117" s="28">
        <f t="shared" si="37"/>
        <v>3000</v>
      </c>
      <c r="AG117" s="55" t="s">
        <v>125</v>
      </c>
      <c r="AI117" s="20" t="s">
        <v>45</v>
      </c>
      <c r="AJ117" s="2">
        <f t="shared" si="44"/>
        <v>3000</v>
      </c>
      <c r="AN117" s="29">
        <f t="shared" si="45"/>
        <v>1</v>
      </c>
      <c r="AO117" s="29" t="e">
        <f>AN117-AB117</f>
        <v>#DIV/0!</v>
      </c>
      <c r="AP117" s="3" t="s">
        <v>29</v>
      </c>
      <c r="AQ117" s="1" t="s">
        <v>155</v>
      </c>
      <c r="AR117" s="31">
        <f t="shared" si="46"/>
        <v>0</v>
      </c>
      <c r="AS117" s="31">
        <f t="shared" si="47"/>
        <v>0</v>
      </c>
      <c r="AT117" s="31">
        <f t="shared" si="63"/>
        <v>0</v>
      </c>
      <c r="AU117" s="31">
        <f t="shared" si="48"/>
        <v>0</v>
      </c>
      <c r="AV117" s="31">
        <f t="shared" si="49"/>
        <v>0</v>
      </c>
      <c r="AW117" s="31">
        <f t="shared" si="50"/>
        <v>0</v>
      </c>
      <c r="AX117" s="31">
        <f t="shared" si="51"/>
        <v>0</v>
      </c>
      <c r="AY117" s="31">
        <f t="shared" si="52"/>
        <v>0</v>
      </c>
      <c r="AZ117" s="31">
        <f t="shared" si="53"/>
        <v>0</v>
      </c>
      <c r="BA117" s="31">
        <f t="shared" si="54"/>
        <v>0</v>
      </c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35"/>
      <c r="CW117" s="35"/>
      <c r="CX117" s="35"/>
      <c r="CY117" s="35"/>
      <c r="CZ117" s="35"/>
      <c r="DA117" s="35"/>
      <c r="DB117" s="35"/>
      <c r="DC117" s="35"/>
      <c r="DD117" s="40"/>
      <c r="DE117" s="40"/>
      <c r="DF117" s="40"/>
      <c r="DG117" s="40"/>
      <c r="DH117" s="40"/>
      <c r="DI117" s="40"/>
      <c r="DJ117" s="40"/>
      <c r="DK117" s="40"/>
      <c r="DL117" s="35"/>
      <c r="DM117" s="35"/>
      <c r="DN117" s="35"/>
      <c r="DO117" s="35"/>
      <c r="DP117" s="35"/>
      <c r="DQ117" s="35"/>
      <c r="DR117" s="35"/>
      <c r="DS117" s="35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40"/>
      <c r="ES117" s="40"/>
      <c r="ET117" s="40"/>
      <c r="EU117" s="40"/>
      <c r="EV117" s="40"/>
      <c r="EW117" s="40"/>
      <c r="EX117" s="40"/>
      <c r="EY117" s="40"/>
      <c r="EZ117" s="35"/>
      <c r="FA117" s="35"/>
      <c r="FB117" s="35"/>
      <c r="FC117" s="35"/>
      <c r="FD117" s="35"/>
      <c r="FE117" s="35"/>
      <c r="FF117" s="35"/>
      <c r="FG117" s="35"/>
    </row>
    <row r="118" spans="1:163">
      <c r="A118" s="62">
        <v>356</v>
      </c>
      <c r="E118" s="63" t="s">
        <v>228</v>
      </c>
      <c r="F118" s="56" t="s">
        <v>85</v>
      </c>
      <c r="G118" s="65" t="s">
        <v>725</v>
      </c>
      <c r="H118" s="66" t="str">
        <f t="shared" si="40"/>
        <v xml:space="preserve"> 187</v>
      </c>
      <c r="I118" s="67" t="s">
        <v>725</v>
      </c>
      <c r="J118" s="68">
        <f t="shared" si="41"/>
        <v>0</v>
      </c>
      <c r="K118" s="63" t="s">
        <v>342</v>
      </c>
      <c r="L118" s="1" t="s">
        <v>46</v>
      </c>
      <c r="O118" s="64" t="s">
        <v>789</v>
      </c>
      <c r="P118" s="82">
        <v>0</v>
      </c>
      <c r="Q118" s="74">
        <f t="shared" si="60"/>
        <v>72500</v>
      </c>
      <c r="R118" s="71">
        <v>72500</v>
      </c>
      <c r="S118" s="72">
        <f t="shared" si="56"/>
        <v>10050</v>
      </c>
      <c r="T118" s="68" t="s">
        <v>791</v>
      </c>
      <c r="U118" s="73">
        <f t="shared" si="57"/>
        <v>62450</v>
      </c>
      <c r="V118" s="73">
        <f>2000+5100+600+200+250+1000+900</f>
        <v>10050</v>
      </c>
      <c r="W118" s="2">
        <f t="shared" si="42"/>
        <v>72500</v>
      </c>
      <c r="Y118" s="80">
        <f t="shared" si="43"/>
        <v>72500</v>
      </c>
      <c r="Z118" s="93"/>
      <c r="AA118" s="93"/>
      <c r="AB118" s="94"/>
      <c r="AE118" s="2">
        <v>93000</v>
      </c>
      <c r="AF118" s="28">
        <f t="shared" si="37"/>
        <v>93000</v>
      </c>
      <c r="AG118" s="55" t="s">
        <v>125</v>
      </c>
      <c r="AI118" s="20" t="s">
        <v>45</v>
      </c>
      <c r="AJ118" s="2">
        <f t="shared" si="44"/>
        <v>20500</v>
      </c>
      <c r="AN118" s="3">
        <f t="shared" si="45"/>
        <v>0.22043010752688172</v>
      </c>
      <c r="AP118" s="3" t="s">
        <v>29</v>
      </c>
      <c r="AQ118" s="1" t="s">
        <v>203</v>
      </c>
      <c r="AR118" s="31">
        <f t="shared" si="46"/>
        <v>0</v>
      </c>
      <c r="AS118" s="31">
        <f t="shared" si="47"/>
        <v>0</v>
      </c>
      <c r="AT118" s="31">
        <f t="shared" si="63"/>
        <v>0</v>
      </c>
      <c r="AU118" s="31">
        <f t="shared" si="48"/>
        <v>0</v>
      </c>
      <c r="AV118" s="31">
        <f t="shared" si="49"/>
        <v>0</v>
      </c>
      <c r="AW118" s="31">
        <f t="shared" si="50"/>
        <v>0</v>
      </c>
      <c r="AX118" s="31">
        <f t="shared" si="51"/>
        <v>0</v>
      </c>
      <c r="AY118" s="31">
        <f t="shared" si="52"/>
        <v>0</v>
      </c>
      <c r="AZ118" s="31">
        <f t="shared" si="53"/>
        <v>0</v>
      </c>
      <c r="BA118" s="31">
        <f t="shared" si="54"/>
        <v>0</v>
      </c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35"/>
      <c r="CW118" s="35"/>
      <c r="CX118" s="35"/>
      <c r="CY118" s="35"/>
      <c r="CZ118" s="35"/>
      <c r="DA118" s="35"/>
      <c r="DB118" s="35"/>
      <c r="DC118" s="35"/>
      <c r="DD118" s="40"/>
      <c r="DE118" s="40"/>
      <c r="DF118" s="40"/>
      <c r="DG118" s="40"/>
      <c r="DH118" s="40"/>
      <c r="DI118" s="40"/>
      <c r="DJ118" s="40"/>
      <c r="DK118" s="40"/>
      <c r="DL118" s="35"/>
      <c r="DM118" s="35"/>
      <c r="DN118" s="35"/>
      <c r="DO118" s="35"/>
      <c r="DP118" s="35"/>
      <c r="DQ118" s="35"/>
      <c r="DR118" s="35"/>
      <c r="DS118" s="35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40"/>
      <c r="ES118" s="40"/>
      <c r="ET118" s="40"/>
      <c r="EU118" s="40"/>
      <c r="EV118" s="40"/>
      <c r="EW118" s="40"/>
      <c r="EX118" s="40"/>
      <c r="EY118" s="40"/>
    </row>
    <row r="119" spans="1:163">
      <c r="A119" s="62">
        <v>386</v>
      </c>
      <c r="E119" s="63" t="s">
        <v>234</v>
      </c>
      <c r="F119" s="56" t="s">
        <v>87</v>
      </c>
      <c r="G119" s="65" t="s">
        <v>754</v>
      </c>
      <c r="H119" s="66" t="str">
        <f t="shared" si="40"/>
        <v xml:space="preserve"> 686</v>
      </c>
      <c r="I119" s="67" t="s">
        <v>754</v>
      </c>
      <c r="J119" s="68">
        <f t="shared" si="41"/>
        <v>0</v>
      </c>
      <c r="K119" s="63" t="s">
        <v>342</v>
      </c>
      <c r="L119" s="1" t="s">
        <v>46</v>
      </c>
      <c r="O119" s="64" t="s">
        <v>789</v>
      </c>
      <c r="P119" s="82">
        <v>0</v>
      </c>
      <c r="Q119" s="74">
        <f t="shared" si="60"/>
        <v>72500</v>
      </c>
      <c r="R119" s="71">
        <v>72500</v>
      </c>
      <c r="S119" s="72">
        <f t="shared" si="56"/>
        <v>9050</v>
      </c>
      <c r="T119" s="68" t="s">
        <v>791</v>
      </c>
      <c r="U119" s="73">
        <f t="shared" si="57"/>
        <v>63450</v>
      </c>
      <c r="V119" s="73">
        <f>2000+5100+600+200+250+900</f>
        <v>9050</v>
      </c>
      <c r="W119" s="2">
        <f t="shared" si="42"/>
        <v>72500</v>
      </c>
      <c r="Y119" s="80">
        <f t="shared" si="43"/>
        <v>72500</v>
      </c>
      <c r="Z119" s="93"/>
      <c r="AA119" s="93"/>
      <c r="AB119" s="94"/>
      <c r="AE119" s="2">
        <v>92000</v>
      </c>
      <c r="AF119" s="28">
        <f t="shared" si="37"/>
        <v>92000</v>
      </c>
      <c r="AG119" s="55" t="s">
        <v>125</v>
      </c>
      <c r="AI119" s="20" t="s">
        <v>206</v>
      </c>
      <c r="AJ119" s="2">
        <f t="shared" si="44"/>
        <v>19500</v>
      </c>
      <c r="AN119" s="29">
        <f t="shared" si="45"/>
        <v>0.21195652173913043</v>
      </c>
      <c r="AP119" s="3" t="s">
        <v>140</v>
      </c>
      <c r="AQ119" s="1" t="s">
        <v>199</v>
      </c>
      <c r="AR119" s="31">
        <f t="shared" si="46"/>
        <v>0</v>
      </c>
      <c r="AS119" s="31">
        <f t="shared" si="47"/>
        <v>0</v>
      </c>
      <c r="AT119" s="31">
        <f t="shared" si="63"/>
        <v>0</v>
      </c>
      <c r="AU119" s="31">
        <f t="shared" si="48"/>
        <v>0</v>
      </c>
      <c r="AV119" s="31">
        <f t="shared" si="49"/>
        <v>0</v>
      </c>
      <c r="AW119" s="31">
        <f t="shared" si="50"/>
        <v>0</v>
      </c>
      <c r="AX119" s="31">
        <f t="shared" si="51"/>
        <v>0</v>
      </c>
      <c r="AY119" s="31">
        <f t="shared" si="52"/>
        <v>0</v>
      </c>
      <c r="AZ119" s="31">
        <f t="shared" si="53"/>
        <v>0</v>
      </c>
      <c r="BA119" s="31">
        <f t="shared" si="54"/>
        <v>0</v>
      </c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35"/>
      <c r="CW119" s="35"/>
      <c r="CX119" s="35"/>
      <c r="CY119" s="35"/>
      <c r="CZ119" s="35"/>
      <c r="DA119" s="35"/>
      <c r="DB119" s="35"/>
      <c r="DC119" s="35"/>
      <c r="DD119" s="40"/>
      <c r="DE119" s="40"/>
      <c r="DF119" s="40"/>
      <c r="DG119" s="40"/>
      <c r="DH119" s="40"/>
      <c r="DI119" s="40"/>
      <c r="DJ119" s="40"/>
      <c r="DK119" s="40"/>
      <c r="DL119" s="35"/>
      <c r="DM119" s="35"/>
      <c r="DN119" s="35"/>
      <c r="DO119" s="35"/>
      <c r="DP119" s="35"/>
      <c r="DQ119" s="35"/>
      <c r="DR119" s="35"/>
      <c r="DS119" s="35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40"/>
      <c r="ES119" s="40"/>
      <c r="ET119" s="40"/>
      <c r="EU119" s="40"/>
      <c r="EV119" s="40"/>
      <c r="EW119" s="40"/>
      <c r="EX119" s="40"/>
      <c r="EY119" s="40"/>
      <c r="EZ119" s="35"/>
      <c r="FA119" s="35"/>
      <c r="FB119" s="35"/>
      <c r="FC119" s="35"/>
      <c r="FD119" s="35"/>
      <c r="FE119" s="35"/>
      <c r="FF119" s="35"/>
      <c r="FG119" s="35"/>
    </row>
    <row r="120" spans="1:163">
      <c r="A120" s="62">
        <v>257</v>
      </c>
      <c r="E120" s="63" t="s">
        <v>218</v>
      </c>
      <c r="F120" s="56" t="s">
        <v>52</v>
      </c>
      <c r="G120" s="65" t="s">
        <v>631</v>
      </c>
      <c r="H120" s="66" t="str">
        <f t="shared" si="40"/>
        <v xml:space="preserve"> 306</v>
      </c>
      <c r="I120" s="67" t="s">
        <v>631</v>
      </c>
      <c r="J120" s="68">
        <f t="shared" si="41"/>
        <v>0</v>
      </c>
      <c r="K120" s="63" t="s">
        <v>342</v>
      </c>
      <c r="L120" s="1" t="s">
        <v>46</v>
      </c>
      <c r="O120" s="88" t="s">
        <v>790</v>
      </c>
      <c r="P120" s="89">
        <v>0</v>
      </c>
      <c r="Q120" s="90">
        <f t="shared" si="60"/>
        <v>85000</v>
      </c>
      <c r="R120" s="71">
        <v>85000</v>
      </c>
      <c r="S120" s="72">
        <f t="shared" si="56"/>
        <v>8550</v>
      </c>
      <c r="T120" s="68" t="s">
        <v>791</v>
      </c>
      <c r="U120" s="73">
        <f t="shared" si="57"/>
        <v>76450</v>
      </c>
      <c r="V120" s="73">
        <f>2000+5500+600+200+250</f>
        <v>8550</v>
      </c>
      <c r="W120" s="2">
        <f t="shared" si="42"/>
        <v>85000</v>
      </c>
      <c r="Y120" s="81">
        <f t="shared" si="43"/>
        <v>85000</v>
      </c>
      <c r="Z120" s="96">
        <v>0</v>
      </c>
      <c r="AA120" s="97">
        <f>U120-Z120</f>
        <v>76450</v>
      </c>
      <c r="AB120" s="98" t="e">
        <f>AA120/Z120</f>
        <v>#DIV/0!</v>
      </c>
      <c r="AC120" s="2">
        <v>14000</v>
      </c>
      <c r="AD120" s="2">
        <f>Z120+AC120</f>
        <v>14000</v>
      </c>
      <c r="AF120" s="28">
        <f t="shared" si="37"/>
        <v>14000</v>
      </c>
      <c r="AG120" s="55" t="s">
        <v>125</v>
      </c>
      <c r="AI120" s="20" t="s">
        <v>45</v>
      </c>
      <c r="AJ120" s="2">
        <f t="shared" si="44"/>
        <v>-71000</v>
      </c>
      <c r="AN120" s="29">
        <f t="shared" si="45"/>
        <v>-5.0714285714285712</v>
      </c>
      <c r="AO120" s="29" t="e">
        <f>AN120-AB120</f>
        <v>#DIV/0!</v>
      </c>
      <c r="AP120" s="3" t="s">
        <v>140</v>
      </c>
      <c r="AQ120" s="1" t="s">
        <v>188</v>
      </c>
      <c r="AR120" s="31">
        <f t="shared" si="46"/>
        <v>-254300</v>
      </c>
      <c r="AS120" s="31">
        <f t="shared" si="47"/>
        <v>0</v>
      </c>
      <c r="AT120" s="31">
        <f t="shared" si="63"/>
        <v>0</v>
      </c>
      <c r="AU120" s="31">
        <f t="shared" si="48"/>
        <v>0</v>
      </c>
      <c r="AV120" s="31">
        <f t="shared" si="49"/>
        <v>0</v>
      </c>
      <c r="AW120" s="31">
        <f t="shared" si="50"/>
        <v>-255588</v>
      </c>
      <c r="AX120" s="31">
        <f t="shared" si="51"/>
        <v>0</v>
      </c>
      <c r="AY120" s="31">
        <f t="shared" si="52"/>
        <v>-254352</v>
      </c>
      <c r="AZ120" s="31">
        <f t="shared" si="53"/>
        <v>0</v>
      </c>
      <c r="BA120" s="31">
        <f t="shared" si="54"/>
        <v>0</v>
      </c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41">
        <v>258300</v>
      </c>
      <c r="BM120" s="41">
        <v>10000</v>
      </c>
      <c r="BN120" s="41">
        <f>BL120+BM120</f>
        <v>268300</v>
      </c>
      <c r="BO120" s="41">
        <f>BN120-Y120</f>
        <v>183300</v>
      </c>
      <c r="BP120" s="41">
        <f>BO120/BL120</f>
        <v>0.70963995354239262</v>
      </c>
      <c r="BQ120" s="41">
        <f>AF120-BN120</f>
        <v>-254300</v>
      </c>
      <c r="BR120" s="40" t="s">
        <v>97</v>
      </c>
      <c r="BS120" s="39"/>
      <c r="BT120" s="39"/>
      <c r="BU120" s="39"/>
      <c r="BV120" s="39"/>
      <c r="BW120" s="39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35"/>
      <c r="CW120" s="35"/>
      <c r="CX120" s="35"/>
      <c r="CY120" s="35"/>
      <c r="CZ120" s="35"/>
      <c r="DA120" s="35"/>
      <c r="DB120" s="35"/>
      <c r="DC120" s="35"/>
      <c r="DD120" s="40"/>
      <c r="DE120" s="40"/>
      <c r="DF120" s="40"/>
      <c r="DG120" s="40"/>
      <c r="DH120" s="40"/>
      <c r="DI120" s="40"/>
      <c r="DJ120" s="40"/>
      <c r="DK120" s="40"/>
      <c r="DL120" s="36">
        <v>269588</v>
      </c>
      <c r="DM120" s="33">
        <f>DL120-Y120</f>
        <v>184588</v>
      </c>
      <c r="DN120" s="34">
        <f>DM120/DL120</f>
        <v>0.68470406694660002</v>
      </c>
      <c r="DO120" s="33">
        <f>AF120-DL120</f>
        <v>-255588</v>
      </c>
      <c r="DP120" s="35" t="s">
        <v>106</v>
      </c>
      <c r="DQ120" s="35"/>
      <c r="DR120" s="35"/>
      <c r="DS120" s="35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36">
        <v>258352</v>
      </c>
      <c r="EG120" s="33">
        <v>10000</v>
      </c>
      <c r="EH120" s="33">
        <f>EF120+EG120</f>
        <v>268352</v>
      </c>
      <c r="EI120" s="33">
        <f>EH120-Y120</f>
        <v>183352</v>
      </c>
      <c r="EJ120" s="44">
        <f>EI120/EH120</f>
        <v>0.68325184831862629</v>
      </c>
      <c r="EK120" s="45">
        <f>AF120-EH120</f>
        <v>-254352</v>
      </c>
      <c r="EL120" s="35" t="s">
        <v>108</v>
      </c>
      <c r="EM120" s="35"/>
      <c r="EN120" s="35"/>
      <c r="EO120" s="35"/>
      <c r="EP120" s="35"/>
      <c r="EQ120" s="35"/>
      <c r="ER120" s="40"/>
      <c r="ES120" s="40"/>
      <c r="ET120" s="40"/>
      <c r="EU120" s="40"/>
      <c r="EV120" s="40"/>
      <c r="EW120" s="40"/>
      <c r="EX120" s="40"/>
      <c r="EY120" s="40"/>
      <c r="EZ120" s="35"/>
      <c r="FA120" s="35"/>
      <c r="FB120" s="35"/>
      <c r="FC120" s="35"/>
      <c r="FD120" s="35"/>
      <c r="FE120" s="35"/>
      <c r="FF120" s="35"/>
      <c r="FG120" s="35"/>
    </row>
    <row r="121" spans="1:163">
      <c r="A121" s="62">
        <v>364</v>
      </c>
      <c r="E121" s="63" t="s">
        <v>231</v>
      </c>
      <c r="F121" s="56" t="s">
        <v>85</v>
      </c>
      <c r="G121" s="70" t="s">
        <v>733</v>
      </c>
      <c r="H121" s="66" t="str">
        <f t="shared" si="40"/>
        <v xml:space="preserve"> 328</v>
      </c>
      <c r="I121" s="67" t="s">
        <v>733</v>
      </c>
      <c r="J121" s="68">
        <f t="shared" si="41"/>
        <v>0</v>
      </c>
      <c r="K121" s="63" t="s">
        <v>374</v>
      </c>
      <c r="L121" s="1" t="s">
        <v>46</v>
      </c>
      <c r="O121" s="88" t="s">
        <v>790</v>
      </c>
      <c r="P121" s="89">
        <v>52500</v>
      </c>
      <c r="Q121" s="90">
        <f t="shared" si="60"/>
        <v>0</v>
      </c>
      <c r="R121" s="71"/>
      <c r="S121" s="72">
        <f t="shared" si="56"/>
        <v>0</v>
      </c>
      <c r="T121" s="68"/>
      <c r="U121" s="73">
        <f t="shared" si="57"/>
        <v>0</v>
      </c>
      <c r="V121" s="73"/>
      <c r="W121" s="2">
        <f t="shared" si="42"/>
        <v>-52500</v>
      </c>
      <c r="Y121" s="81">
        <f t="shared" si="43"/>
        <v>0</v>
      </c>
      <c r="Z121" s="96">
        <v>0</v>
      </c>
      <c r="AA121" s="97"/>
      <c r="AB121" s="98"/>
      <c r="AE121" s="2">
        <v>99000</v>
      </c>
      <c r="AF121" s="28">
        <f t="shared" si="37"/>
        <v>0</v>
      </c>
      <c r="AG121" s="55" t="s">
        <v>125</v>
      </c>
      <c r="AI121" s="20" t="s">
        <v>45</v>
      </c>
      <c r="AJ121" s="2">
        <f t="shared" si="44"/>
        <v>0</v>
      </c>
      <c r="AN121" s="29" t="e">
        <f t="shared" si="45"/>
        <v>#DIV/0!</v>
      </c>
      <c r="AP121" s="3" t="s">
        <v>29</v>
      </c>
      <c r="AQ121" s="1" t="s">
        <v>203</v>
      </c>
      <c r="AR121" s="31">
        <f t="shared" si="46"/>
        <v>0</v>
      </c>
      <c r="AS121" s="31">
        <f t="shared" si="47"/>
        <v>0</v>
      </c>
      <c r="AT121" s="31">
        <f t="shared" si="63"/>
        <v>0</v>
      </c>
      <c r="AU121" s="31">
        <f t="shared" si="48"/>
        <v>0</v>
      </c>
      <c r="AV121" s="31">
        <f t="shared" si="49"/>
        <v>0</v>
      </c>
      <c r="AW121" s="31">
        <f t="shared" si="50"/>
        <v>0</v>
      </c>
      <c r="AX121" s="31">
        <f t="shared" si="51"/>
        <v>0</v>
      </c>
      <c r="AY121" s="31">
        <f t="shared" si="52"/>
        <v>0</v>
      </c>
      <c r="AZ121" s="31">
        <f t="shared" si="53"/>
        <v>0</v>
      </c>
      <c r="BA121" s="31">
        <f t="shared" si="54"/>
        <v>0</v>
      </c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35"/>
      <c r="CW121" s="35"/>
      <c r="CX121" s="35"/>
      <c r="CY121" s="35"/>
      <c r="CZ121" s="35"/>
      <c r="DA121" s="35"/>
      <c r="DB121" s="35"/>
      <c r="DC121" s="35"/>
      <c r="DD121" s="40"/>
      <c r="DE121" s="40"/>
      <c r="DF121" s="40"/>
      <c r="DG121" s="40"/>
      <c r="DH121" s="40"/>
      <c r="DI121" s="40"/>
      <c r="DJ121" s="40"/>
      <c r="DK121" s="40"/>
      <c r="DL121" s="35"/>
      <c r="DM121" s="35"/>
      <c r="DN121" s="35"/>
      <c r="DO121" s="35"/>
      <c r="DP121" s="35"/>
      <c r="DQ121" s="35"/>
      <c r="DR121" s="35"/>
      <c r="DS121" s="35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40"/>
      <c r="ES121" s="40"/>
      <c r="ET121" s="40"/>
      <c r="EU121" s="40"/>
      <c r="EV121" s="40"/>
      <c r="EW121" s="40"/>
      <c r="EX121" s="40"/>
      <c r="EY121" s="40"/>
    </row>
    <row r="122" spans="1:163">
      <c r="A122" s="62">
        <v>366</v>
      </c>
      <c r="E122" s="63" t="s">
        <v>231</v>
      </c>
      <c r="F122" s="56" t="s">
        <v>85</v>
      </c>
      <c r="G122" s="70" t="s">
        <v>735</v>
      </c>
      <c r="H122" s="66" t="str">
        <f t="shared" si="40"/>
        <v xml:space="preserve"> 613</v>
      </c>
      <c r="I122" s="67" t="s">
        <v>735</v>
      </c>
      <c r="J122" s="68">
        <f t="shared" si="41"/>
        <v>0</v>
      </c>
      <c r="K122" s="63" t="s">
        <v>374</v>
      </c>
      <c r="L122" s="1" t="s">
        <v>46</v>
      </c>
      <c r="O122" s="88" t="s">
        <v>790</v>
      </c>
      <c r="P122" s="89">
        <v>52500</v>
      </c>
      <c r="Q122" s="90">
        <f t="shared" si="60"/>
        <v>0</v>
      </c>
      <c r="R122" s="71"/>
      <c r="S122" s="72">
        <f t="shared" si="56"/>
        <v>0</v>
      </c>
      <c r="T122" s="68"/>
      <c r="U122" s="73">
        <f t="shared" si="57"/>
        <v>0</v>
      </c>
      <c r="V122" s="73"/>
      <c r="W122" s="2">
        <f t="shared" si="42"/>
        <v>-52500</v>
      </c>
      <c r="Y122" s="81">
        <f t="shared" si="43"/>
        <v>0</v>
      </c>
      <c r="Z122" s="96">
        <v>0</v>
      </c>
      <c r="AA122" s="97">
        <f>U122-Z122</f>
        <v>0</v>
      </c>
      <c r="AB122" s="98" t="e">
        <f>AA122/Z122</f>
        <v>#DIV/0!</v>
      </c>
      <c r="AC122" s="2">
        <v>3000</v>
      </c>
      <c r="AD122" s="2">
        <f>Z122+AC122</f>
        <v>3000</v>
      </c>
      <c r="AF122" s="28">
        <f t="shared" si="37"/>
        <v>3000</v>
      </c>
      <c r="AG122" s="55" t="s">
        <v>125</v>
      </c>
      <c r="AI122" s="20" t="s">
        <v>45</v>
      </c>
      <c r="AJ122" s="2">
        <f t="shared" si="44"/>
        <v>3000</v>
      </c>
      <c r="AN122" s="29">
        <f t="shared" si="45"/>
        <v>1</v>
      </c>
      <c r="AO122" s="29" t="e">
        <f>AN122-AB122</f>
        <v>#DIV/0!</v>
      </c>
      <c r="AP122" s="3" t="s">
        <v>29</v>
      </c>
      <c r="AQ122" s="1" t="s">
        <v>203</v>
      </c>
      <c r="AR122" s="31">
        <f t="shared" si="46"/>
        <v>0</v>
      </c>
      <c r="AS122" s="31">
        <f t="shared" si="47"/>
        <v>0</v>
      </c>
      <c r="AT122" s="31">
        <f t="shared" si="63"/>
        <v>0</v>
      </c>
      <c r="AU122" s="31">
        <f t="shared" si="48"/>
        <v>0</v>
      </c>
      <c r="AV122" s="31">
        <f t="shared" si="49"/>
        <v>0</v>
      </c>
      <c r="AW122" s="31">
        <f t="shared" si="50"/>
        <v>0</v>
      </c>
      <c r="AX122" s="31">
        <f t="shared" si="51"/>
        <v>0</v>
      </c>
      <c r="AY122" s="31">
        <f t="shared" si="52"/>
        <v>0</v>
      </c>
      <c r="AZ122" s="31">
        <f t="shared" si="53"/>
        <v>0</v>
      </c>
      <c r="BA122" s="31">
        <f t="shared" si="54"/>
        <v>0</v>
      </c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35"/>
      <c r="CW122" s="35"/>
      <c r="CX122" s="35"/>
      <c r="CY122" s="35"/>
      <c r="CZ122" s="35"/>
      <c r="DA122" s="35"/>
      <c r="DB122" s="35"/>
      <c r="DC122" s="35"/>
      <c r="DD122" s="40"/>
      <c r="DE122" s="40"/>
      <c r="DF122" s="40"/>
      <c r="DG122" s="40"/>
      <c r="DH122" s="40"/>
      <c r="DI122" s="40"/>
      <c r="DJ122" s="40"/>
      <c r="DK122" s="40"/>
      <c r="DL122" s="35"/>
      <c r="DM122" s="35"/>
      <c r="DN122" s="35"/>
      <c r="DO122" s="35"/>
      <c r="DP122" s="35"/>
      <c r="DQ122" s="35"/>
      <c r="DR122" s="35"/>
      <c r="DS122" s="35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40"/>
      <c r="ES122" s="40"/>
      <c r="ET122" s="40"/>
      <c r="EU122" s="40"/>
      <c r="EV122" s="40"/>
      <c r="EW122" s="40"/>
      <c r="EX122" s="40"/>
      <c r="EY122" s="40"/>
    </row>
    <row r="123" spans="1:163">
      <c r="A123" s="62">
        <v>264</v>
      </c>
      <c r="E123" s="63" t="s">
        <v>218</v>
      </c>
      <c r="F123" s="56" t="s">
        <v>95</v>
      </c>
      <c r="G123" s="70" t="s">
        <v>638</v>
      </c>
      <c r="H123" s="66" t="str">
        <f t="shared" si="40"/>
        <v xml:space="preserve"> 631</v>
      </c>
      <c r="I123" s="67" t="s">
        <v>638</v>
      </c>
      <c r="J123" s="68">
        <f t="shared" si="41"/>
        <v>0</v>
      </c>
      <c r="K123" s="63" t="s">
        <v>324</v>
      </c>
      <c r="L123" s="1" t="s">
        <v>46</v>
      </c>
      <c r="O123" s="64" t="s">
        <v>789</v>
      </c>
      <c r="P123" s="82">
        <v>0</v>
      </c>
      <c r="Q123" s="74">
        <f t="shared" si="60"/>
        <v>92500</v>
      </c>
      <c r="R123" s="71">
        <v>92500</v>
      </c>
      <c r="S123" s="72">
        <f t="shared" si="56"/>
        <v>8550</v>
      </c>
      <c r="T123" s="68" t="s">
        <v>791</v>
      </c>
      <c r="U123" s="73">
        <f t="shared" si="57"/>
        <v>83950</v>
      </c>
      <c r="V123" s="75">
        <f t="shared" ref="V123:V129" si="64">2000+5500+600+200+250</f>
        <v>8550</v>
      </c>
      <c r="W123" s="2">
        <f t="shared" si="42"/>
        <v>92500</v>
      </c>
      <c r="Y123" s="80">
        <f t="shared" si="43"/>
        <v>92500</v>
      </c>
      <c r="Z123" s="93"/>
      <c r="AA123" s="93"/>
      <c r="AB123" s="94"/>
      <c r="AC123" s="2">
        <v>4000</v>
      </c>
      <c r="AD123" s="2">
        <f>Z123+AC123</f>
        <v>4000</v>
      </c>
      <c r="AF123" s="28">
        <f t="shared" si="37"/>
        <v>0</v>
      </c>
      <c r="AG123" s="55" t="s">
        <v>125</v>
      </c>
      <c r="AI123" s="20" t="s">
        <v>45</v>
      </c>
      <c r="AJ123" s="2">
        <f t="shared" si="44"/>
        <v>-92500</v>
      </c>
      <c r="AN123" s="29" t="e">
        <f t="shared" si="45"/>
        <v>#DIV/0!</v>
      </c>
      <c r="AO123" s="29" t="e">
        <f>AN123-AB123</f>
        <v>#DIV/0!</v>
      </c>
      <c r="AP123" s="3" t="s">
        <v>29</v>
      </c>
      <c r="AQ123" s="1" t="s">
        <v>190</v>
      </c>
      <c r="AR123" s="31">
        <f t="shared" si="46"/>
        <v>0</v>
      </c>
      <c r="AS123" s="31">
        <f t="shared" si="47"/>
        <v>0</v>
      </c>
      <c r="AT123" s="31">
        <f t="shared" si="63"/>
        <v>0</v>
      </c>
      <c r="AU123" s="31">
        <f t="shared" si="48"/>
        <v>0</v>
      </c>
      <c r="AV123" s="31">
        <f t="shared" si="49"/>
        <v>0</v>
      </c>
      <c r="AW123" s="31">
        <f t="shared" si="50"/>
        <v>0</v>
      </c>
      <c r="AX123" s="31">
        <f t="shared" si="51"/>
        <v>0</v>
      </c>
      <c r="AY123" s="31">
        <f t="shared" si="52"/>
        <v>0</v>
      </c>
      <c r="AZ123" s="31">
        <f t="shared" si="53"/>
        <v>0</v>
      </c>
      <c r="BA123" s="31">
        <f t="shared" si="54"/>
        <v>0</v>
      </c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35"/>
      <c r="CW123" s="35"/>
      <c r="CX123" s="35"/>
      <c r="CY123" s="35"/>
      <c r="CZ123" s="35"/>
      <c r="DA123" s="35"/>
      <c r="DB123" s="35"/>
      <c r="DC123" s="35"/>
      <c r="DD123" s="40"/>
      <c r="DE123" s="40"/>
      <c r="DF123" s="40"/>
      <c r="DG123" s="40"/>
      <c r="DH123" s="40"/>
      <c r="DI123" s="40"/>
      <c r="DJ123" s="40"/>
      <c r="DK123" s="40"/>
      <c r="DL123" s="35"/>
      <c r="DM123" s="35"/>
      <c r="DN123" s="35"/>
      <c r="DO123" s="35"/>
      <c r="DP123" s="35"/>
      <c r="DQ123" s="35"/>
      <c r="DR123" s="35"/>
      <c r="DS123" s="35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40"/>
      <c r="ES123" s="40"/>
      <c r="ET123" s="40"/>
      <c r="EU123" s="40"/>
      <c r="EV123" s="40"/>
      <c r="EW123" s="40"/>
      <c r="EX123" s="40"/>
      <c r="EY123" s="40"/>
      <c r="EZ123" s="35"/>
      <c r="FA123" s="35"/>
      <c r="FB123" s="35"/>
      <c r="FC123" s="35"/>
      <c r="FD123" s="35"/>
      <c r="FE123" s="35"/>
      <c r="FF123" s="35"/>
      <c r="FG123" s="35"/>
    </row>
    <row r="124" spans="1:163">
      <c r="A124" s="62">
        <v>280</v>
      </c>
      <c r="E124" s="63" t="s">
        <v>218</v>
      </c>
      <c r="F124" s="56" t="s">
        <v>95</v>
      </c>
      <c r="G124" s="70" t="s">
        <v>655</v>
      </c>
      <c r="H124" s="66" t="str">
        <f t="shared" si="40"/>
        <v xml:space="preserve"> 264</v>
      </c>
      <c r="I124" s="67" t="s">
        <v>655</v>
      </c>
      <c r="J124" s="68">
        <f t="shared" si="41"/>
        <v>0</v>
      </c>
      <c r="K124" s="63" t="s">
        <v>324</v>
      </c>
      <c r="L124" s="1" t="s">
        <v>46</v>
      </c>
      <c r="O124" s="64" t="s">
        <v>789</v>
      </c>
      <c r="P124" s="82">
        <v>0</v>
      </c>
      <c r="Q124" s="74">
        <f t="shared" si="60"/>
        <v>90000</v>
      </c>
      <c r="R124" s="71">
        <v>90000</v>
      </c>
      <c r="S124" s="72">
        <f t="shared" si="56"/>
        <v>8550</v>
      </c>
      <c r="T124" s="68" t="s">
        <v>791</v>
      </c>
      <c r="U124" s="73">
        <f t="shared" si="57"/>
        <v>81450</v>
      </c>
      <c r="V124" s="75">
        <f t="shared" si="64"/>
        <v>8550</v>
      </c>
      <c r="W124" s="2">
        <f t="shared" si="42"/>
        <v>90000</v>
      </c>
      <c r="Y124" s="80">
        <f t="shared" si="43"/>
        <v>90000</v>
      </c>
      <c r="Z124" s="93"/>
      <c r="AA124" s="93"/>
      <c r="AB124" s="94"/>
      <c r="AC124" s="2">
        <v>3000</v>
      </c>
      <c r="AD124" s="2">
        <f>Z124+AC124</f>
        <v>3000</v>
      </c>
      <c r="AF124" s="28">
        <f t="shared" si="37"/>
        <v>0</v>
      </c>
      <c r="AG124" s="55" t="s">
        <v>125</v>
      </c>
      <c r="AI124" s="20" t="s">
        <v>45</v>
      </c>
      <c r="AJ124" s="2">
        <f t="shared" si="44"/>
        <v>-90000</v>
      </c>
      <c r="AN124" s="29" t="e">
        <f t="shared" si="45"/>
        <v>#DIV/0!</v>
      </c>
      <c r="AO124" s="29" t="e">
        <f>AN124-AB124</f>
        <v>#DIV/0!</v>
      </c>
      <c r="AP124" s="3" t="s">
        <v>29</v>
      </c>
      <c r="AQ124" s="1" t="s">
        <v>190</v>
      </c>
      <c r="AR124" s="31">
        <f t="shared" si="46"/>
        <v>0</v>
      </c>
      <c r="AS124" s="31">
        <f t="shared" si="47"/>
        <v>0</v>
      </c>
      <c r="AT124" s="31">
        <f t="shared" si="63"/>
        <v>0</v>
      </c>
      <c r="AU124" s="31">
        <f t="shared" si="48"/>
        <v>0</v>
      </c>
      <c r="AV124" s="31">
        <f t="shared" si="49"/>
        <v>0</v>
      </c>
      <c r="AW124" s="31">
        <f t="shared" si="50"/>
        <v>0</v>
      </c>
      <c r="AX124" s="31">
        <f t="shared" si="51"/>
        <v>0</v>
      </c>
      <c r="AY124" s="31">
        <f t="shared" si="52"/>
        <v>0</v>
      </c>
      <c r="AZ124" s="31">
        <f t="shared" si="53"/>
        <v>0</v>
      </c>
      <c r="BA124" s="31">
        <f t="shared" si="54"/>
        <v>0</v>
      </c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35"/>
      <c r="CW124" s="35"/>
      <c r="CX124" s="35"/>
      <c r="CY124" s="35"/>
      <c r="CZ124" s="35"/>
      <c r="DA124" s="35"/>
      <c r="DB124" s="35"/>
      <c r="DC124" s="35"/>
      <c r="DD124" s="40"/>
      <c r="DE124" s="40"/>
      <c r="DF124" s="40"/>
      <c r="DG124" s="40"/>
      <c r="DH124" s="40"/>
      <c r="DI124" s="40"/>
      <c r="DJ124" s="40"/>
      <c r="DK124" s="40"/>
      <c r="DL124" s="35"/>
      <c r="DM124" s="35"/>
      <c r="DN124" s="35"/>
      <c r="DO124" s="35"/>
      <c r="DP124" s="35"/>
      <c r="DQ124" s="35"/>
      <c r="DR124" s="35"/>
      <c r="DS124" s="35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40"/>
      <c r="ES124" s="40"/>
      <c r="ET124" s="40"/>
      <c r="EU124" s="40"/>
      <c r="EV124" s="40"/>
      <c r="EW124" s="40"/>
      <c r="EX124" s="40"/>
      <c r="EY124" s="40"/>
      <c r="EZ124" s="35"/>
      <c r="FA124" s="35"/>
      <c r="FB124" s="35"/>
      <c r="FC124" s="35"/>
      <c r="FD124" s="35"/>
      <c r="FE124" s="35"/>
      <c r="FF124" s="35"/>
      <c r="FG124" s="35"/>
    </row>
    <row r="125" spans="1:163">
      <c r="A125" s="62">
        <v>213</v>
      </c>
      <c r="E125" s="63" t="s">
        <v>173</v>
      </c>
      <c r="F125" s="56" t="s">
        <v>67</v>
      </c>
      <c r="G125" s="70" t="s">
        <v>593</v>
      </c>
      <c r="H125" s="66" t="str">
        <f t="shared" si="40"/>
        <v xml:space="preserve"> 043</v>
      </c>
      <c r="I125" s="67" t="s">
        <v>593</v>
      </c>
      <c r="J125" s="68">
        <f t="shared" si="41"/>
        <v>0</v>
      </c>
      <c r="K125" s="63" t="s">
        <v>324</v>
      </c>
      <c r="L125" s="1" t="s">
        <v>46</v>
      </c>
      <c r="O125" s="88" t="s">
        <v>790</v>
      </c>
      <c r="P125" s="89">
        <v>0</v>
      </c>
      <c r="Q125" s="90">
        <f t="shared" si="60"/>
        <v>107500</v>
      </c>
      <c r="R125" s="71">
        <v>107500</v>
      </c>
      <c r="S125" s="72">
        <f t="shared" si="56"/>
        <v>8550</v>
      </c>
      <c r="T125" s="68" t="s">
        <v>791</v>
      </c>
      <c r="U125" s="73">
        <f t="shared" si="57"/>
        <v>98950</v>
      </c>
      <c r="V125" s="73">
        <f t="shared" si="64"/>
        <v>8550</v>
      </c>
      <c r="W125" s="2">
        <f t="shared" si="42"/>
        <v>107500</v>
      </c>
      <c r="Y125" s="81">
        <f t="shared" si="43"/>
        <v>107500</v>
      </c>
      <c r="Z125" s="96">
        <v>0</v>
      </c>
      <c r="AA125" s="97"/>
      <c r="AB125" s="98"/>
      <c r="AC125" s="2">
        <v>7000</v>
      </c>
      <c r="AD125" s="2">
        <f>Z125+AC125</f>
        <v>7000</v>
      </c>
      <c r="AF125" s="28">
        <f t="shared" si="37"/>
        <v>7000</v>
      </c>
      <c r="AG125" s="55" t="s">
        <v>125</v>
      </c>
      <c r="AI125" s="20" t="s">
        <v>204</v>
      </c>
      <c r="AJ125" s="2">
        <f t="shared" si="44"/>
        <v>-100500</v>
      </c>
      <c r="AN125" s="29">
        <f t="shared" si="45"/>
        <v>-14.357142857142858</v>
      </c>
      <c r="AO125" s="29">
        <f>AN125-AB125</f>
        <v>-14.357142857142858</v>
      </c>
      <c r="AP125" s="3" t="s">
        <v>158</v>
      </c>
      <c r="AR125" s="31">
        <f t="shared" si="46"/>
        <v>0</v>
      </c>
      <c r="AS125" s="31">
        <f t="shared" si="47"/>
        <v>0</v>
      </c>
      <c r="AT125" s="31">
        <f>IF(BX125&lt;&gt;"", AF125-BX125, 0)</f>
        <v>0</v>
      </c>
      <c r="AU125" s="31">
        <f t="shared" si="48"/>
        <v>0</v>
      </c>
      <c r="AV125" s="31">
        <f t="shared" si="49"/>
        <v>0</v>
      </c>
      <c r="AW125" s="31">
        <f t="shared" si="50"/>
        <v>0</v>
      </c>
      <c r="AX125" s="31">
        <f t="shared" si="51"/>
        <v>0</v>
      </c>
      <c r="AY125" s="31">
        <f t="shared" si="52"/>
        <v>0</v>
      </c>
      <c r="AZ125" s="31">
        <f t="shared" si="53"/>
        <v>0</v>
      </c>
      <c r="BA125" s="31">
        <f t="shared" si="54"/>
        <v>0</v>
      </c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41"/>
      <c r="BM125" s="41"/>
      <c r="BN125" s="41"/>
      <c r="BO125" s="37"/>
      <c r="BP125" s="38"/>
      <c r="BQ125" s="37"/>
      <c r="BR125" s="40"/>
      <c r="BS125" s="39"/>
      <c r="BT125" s="39"/>
      <c r="BU125" s="39"/>
      <c r="BV125" s="39"/>
      <c r="BW125" s="39"/>
      <c r="BX125" s="36"/>
      <c r="BY125" s="33"/>
      <c r="BZ125" s="33"/>
      <c r="CA125" s="33"/>
      <c r="CB125" s="34"/>
      <c r="CC125" s="33"/>
      <c r="CD125" s="35"/>
      <c r="CE125" s="48"/>
      <c r="CF125" s="48"/>
      <c r="CG125" s="48"/>
      <c r="CH125" s="48"/>
      <c r="CI125" s="48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35"/>
      <c r="CW125" s="35"/>
      <c r="CX125" s="35"/>
      <c r="CY125" s="35"/>
      <c r="CZ125" s="35"/>
      <c r="DA125" s="35"/>
      <c r="DB125" s="35"/>
      <c r="DC125" s="35"/>
      <c r="DD125" s="40"/>
      <c r="DE125" s="40"/>
      <c r="DF125" s="40"/>
      <c r="DG125" s="40"/>
      <c r="DH125" s="40"/>
      <c r="DI125" s="40"/>
      <c r="DJ125" s="40"/>
      <c r="DK125" s="40"/>
      <c r="DL125" s="35"/>
      <c r="DM125" s="35"/>
      <c r="DN125" s="35"/>
      <c r="DO125" s="35"/>
      <c r="DP125" s="35"/>
      <c r="DQ125" s="35"/>
      <c r="DR125" s="35"/>
      <c r="DS125" s="35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40"/>
      <c r="ES125" s="40"/>
      <c r="ET125" s="40"/>
      <c r="EU125" s="40"/>
      <c r="EV125" s="40"/>
      <c r="EW125" s="40"/>
      <c r="EX125" s="40"/>
      <c r="EY125" s="40"/>
      <c r="EZ125" s="35"/>
      <c r="FA125" s="35"/>
      <c r="FB125" s="35"/>
      <c r="FC125" s="35"/>
      <c r="FD125" s="35"/>
      <c r="FE125" s="35"/>
      <c r="FF125" s="35"/>
      <c r="FG125" s="35"/>
    </row>
    <row r="126" spans="1:163">
      <c r="A126" s="62">
        <v>287</v>
      </c>
      <c r="E126" s="63" t="s">
        <v>218</v>
      </c>
      <c r="F126" s="56" t="s">
        <v>96</v>
      </c>
      <c r="G126" s="70" t="s">
        <v>661</v>
      </c>
      <c r="H126" s="66" t="str">
        <f t="shared" si="40"/>
        <v xml:space="preserve"> 256</v>
      </c>
      <c r="I126" s="67" t="s">
        <v>661</v>
      </c>
      <c r="J126" s="68">
        <f t="shared" si="41"/>
        <v>0</v>
      </c>
      <c r="K126" s="63" t="s">
        <v>324</v>
      </c>
      <c r="L126" s="1" t="s">
        <v>46</v>
      </c>
      <c r="O126" s="88" t="s">
        <v>790</v>
      </c>
      <c r="P126" s="89">
        <v>0</v>
      </c>
      <c r="Q126" s="90">
        <f t="shared" si="60"/>
        <v>99000</v>
      </c>
      <c r="R126" s="71">
        <v>99000</v>
      </c>
      <c r="S126" s="72">
        <f t="shared" si="56"/>
        <v>8550</v>
      </c>
      <c r="T126" s="68" t="s">
        <v>791</v>
      </c>
      <c r="U126" s="73">
        <f t="shared" si="57"/>
        <v>90450</v>
      </c>
      <c r="V126" s="73">
        <f t="shared" si="64"/>
        <v>8550</v>
      </c>
      <c r="W126" s="2">
        <f t="shared" si="42"/>
        <v>99000</v>
      </c>
      <c r="Y126" s="81">
        <f t="shared" si="43"/>
        <v>99000</v>
      </c>
      <c r="Z126" s="96">
        <v>0</v>
      </c>
      <c r="AA126" s="97">
        <f>U126-Z126</f>
        <v>90450</v>
      </c>
      <c r="AB126" s="98" t="e">
        <f>AA126/Z126</f>
        <v>#DIV/0!</v>
      </c>
      <c r="AE126" s="2">
        <v>250000</v>
      </c>
      <c r="AF126" s="28">
        <f t="shared" si="37"/>
        <v>0</v>
      </c>
      <c r="AG126" s="55" t="s">
        <v>125</v>
      </c>
      <c r="AI126" s="20" t="s">
        <v>45</v>
      </c>
      <c r="AJ126" s="2">
        <f t="shared" si="44"/>
        <v>-99000</v>
      </c>
      <c r="AN126" s="29" t="e">
        <f t="shared" si="45"/>
        <v>#DIV/0!</v>
      </c>
      <c r="AP126" s="3" t="s">
        <v>158</v>
      </c>
      <c r="AR126" s="31">
        <f t="shared" si="46"/>
        <v>0</v>
      </c>
      <c r="AS126" s="31">
        <f t="shared" si="47"/>
        <v>0</v>
      </c>
      <c r="AT126" s="31">
        <f>IF(BZ126&lt;&gt;"", AF126-BZ126, 0)</f>
        <v>0</v>
      </c>
      <c r="AU126" s="31">
        <f t="shared" si="48"/>
        <v>0</v>
      </c>
      <c r="AV126" s="31">
        <f t="shared" si="49"/>
        <v>0</v>
      </c>
      <c r="AW126" s="31">
        <f t="shared" si="50"/>
        <v>0</v>
      </c>
      <c r="AX126" s="31">
        <f t="shared" si="51"/>
        <v>0</v>
      </c>
      <c r="AY126" s="31">
        <f t="shared" si="52"/>
        <v>0</v>
      </c>
      <c r="AZ126" s="31">
        <f t="shared" si="53"/>
        <v>0</v>
      </c>
      <c r="BA126" s="31">
        <f t="shared" si="54"/>
        <v>0</v>
      </c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41"/>
      <c r="BM126" s="41"/>
      <c r="BN126" s="41"/>
      <c r="BO126" s="37"/>
      <c r="BP126" s="38"/>
      <c r="BQ126" s="37"/>
      <c r="BR126" s="40"/>
      <c r="BS126" s="39"/>
      <c r="BT126" s="39"/>
      <c r="BU126" s="39"/>
      <c r="BV126" s="39"/>
      <c r="BW126" s="39"/>
      <c r="BX126" s="36"/>
      <c r="BY126" s="33"/>
      <c r="BZ126" s="33"/>
      <c r="CA126" s="33"/>
      <c r="CB126" s="34"/>
      <c r="CC126" s="33"/>
      <c r="CD126" s="35"/>
      <c r="CE126" s="48"/>
      <c r="CF126" s="48"/>
      <c r="CG126" s="48"/>
      <c r="CH126" s="48"/>
      <c r="CI126" s="48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35"/>
      <c r="CW126" s="35"/>
      <c r="CX126" s="35"/>
      <c r="CY126" s="35"/>
      <c r="CZ126" s="35"/>
      <c r="DA126" s="35"/>
      <c r="DB126" s="35"/>
      <c r="DC126" s="35"/>
      <c r="DD126" s="40"/>
      <c r="DE126" s="40"/>
      <c r="DF126" s="40"/>
      <c r="DG126" s="40"/>
      <c r="DH126" s="40"/>
      <c r="DI126" s="40"/>
      <c r="DJ126" s="40"/>
      <c r="DK126" s="40"/>
      <c r="DL126" s="35"/>
      <c r="DM126" s="35"/>
      <c r="DN126" s="35"/>
      <c r="DO126" s="35"/>
      <c r="DP126" s="35"/>
      <c r="DQ126" s="35"/>
      <c r="DR126" s="35"/>
      <c r="DS126" s="35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40"/>
      <c r="ES126" s="40"/>
      <c r="ET126" s="40"/>
      <c r="EU126" s="40"/>
      <c r="EV126" s="40"/>
      <c r="EW126" s="40"/>
      <c r="EX126" s="40"/>
      <c r="EY126" s="40"/>
      <c r="EZ126" s="35"/>
      <c r="FA126" s="35"/>
      <c r="FB126" s="35"/>
      <c r="FC126" s="35"/>
      <c r="FD126" s="35"/>
      <c r="FE126" s="35"/>
      <c r="FF126" s="35"/>
      <c r="FG126" s="35"/>
    </row>
    <row r="127" spans="1:163">
      <c r="A127" s="62">
        <v>217</v>
      </c>
      <c r="E127" s="63" t="s">
        <v>71</v>
      </c>
      <c r="F127" s="56" t="s">
        <v>95</v>
      </c>
      <c r="G127" s="70" t="s">
        <v>597</v>
      </c>
      <c r="H127" s="66" t="str">
        <f t="shared" si="40"/>
        <v xml:space="preserve"> 851</v>
      </c>
      <c r="I127" s="67" t="s">
        <v>597</v>
      </c>
      <c r="J127" s="68">
        <f t="shared" si="41"/>
        <v>0</v>
      </c>
      <c r="K127" s="63" t="s">
        <v>324</v>
      </c>
      <c r="L127" s="1" t="s">
        <v>46</v>
      </c>
      <c r="O127" s="88" t="s">
        <v>790</v>
      </c>
      <c r="P127" s="89">
        <v>0</v>
      </c>
      <c r="Q127" s="90">
        <f t="shared" si="60"/>
        <v>84000</v>
      </c>
      <c r="R127" s="71">
        <v>84000</v>
      </c>
      <c r="S127" s="72">
        <f t="shared" si="56"/>
        <v>8550</v>
      </c>
      <c r="T127" s="68" t="s">
        <v>791</v>
      </c>
      <c r="U127" s="73">
        <f t="shared" si="57"/>
        <v>75450</v>
      </c>
      <c r="V127" s="73">
        <f t="shared" si="64"/>
        <v>8550</v>
      </c>
      <c r="W127" s="2">
        <f t="shared" si="42"/>
        <v>84000</v>
      </c>
      <c r="Y127" s="81">
        <f t="shared" si="43"/>
        <v>84000</v>
      </c>
      <c r="Z127" s="96">
        <v>0</v>
      </c>
      <c r="AA127" s="97"/>
      <c r="AB127" s="98"/>
      <c r="AE127" s="2">
        <v>120000</v>
      </c>
      <c r="AF127" s="28">
        <f t="shared" si="37"/>
        <v>0</v>
      </c>
      <c r="AG127" s="55" t="s">
        <v>125</v>
      </c>
      <c r="AI127" s="20" t="s">
        <v>45</v>
      </c>
      <c r="AJ127" s="2">
        <f t="shared" si="44"/>
        <v>-84000</v>
      </c>
      <c r="AN127" s="29" t="e">
        <f t="shared" si="45"/>
        <v>#DIV/0!</v>
      </c>
      <c r="AP127" s="3" t="s">
        <v>29</v>
      </c>
      <c r="AQ127" s="1" t="s">
        <v>190</v>
      </c>
      <c r="AR127" s="31">
        <f t="shared" si="46"/>
        <v>0</v>
      </c>
      <c r="AS127" s="31">
        <f t="shared" si="47"/>
        <v>0</v>
      </c>
      <c r="AT127" s="31">
        <f>IF(BZ127&lt;&gt;"", AF127-BZ127, 0)</f>
        <v>0</v>
      </c>
      <c r="AU127" s="31">
        <f t="shared" si="48"/>
        <v>0</v>
      </c>
      <c r="AV127" s="31">
        <f t="shared" si="49"/>
        <v>0</v>
      </c>
      <c r="AW127" s="31">
        <f t="shared" si="50"/>
        <v>0</v>
      </c>
      <c r="AX127" s="31">
        <f t="shared" si="51"/>
        <v>0</v>
      </c>
      <c r="AY127" s="31">
        <f t="shared" si="52"/>
        <v>0</v>
      </c>
      <c r="AZ127" s="31">
        <f t="shared" si="53"/>
        <v>0</v>
      </c>
      <c r="BA127" s="31">
        <f t="shared" si="54"/>
        <v>0</v>
      </c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35"/>
      <c r="CW127" s="35"/>
      <c r="CX127" s="35"/>
      <c r="CY127" s="35"/>
      <c r="CZ127" s="35"/>
      <c r="DA127" s="35"/>
      <c r="DB127" s="35"/>
      <c r="DC127" s="35"/>
      <c r="DD127" s="40"/>
      <c r="DE127" s="40"/>
      <c r="DF127" s="40"/>
      <c r="DG127" s="40"/>
      <c r="DH127" s="40"/>
      <c r="DI127" s="40"/>
      <c r="DJ127" s="40"/>
      <c r="DK127" s="40"/>
      <c r="DL127" s="35"/>
      <c r="DM127" s="35"/>
      <c r="DN127" s="35"/>
      <c r="DO127" s="35"/>
      <c r="DP127" s="35"/>
      <c r="DQ127" s="35"/>
      <c r="DR127" s="35"/>
      <c r="DS127" s="35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40"/>
      <c r="ES127" s="40"/>
      <c r="ET127" s="40"/>
      <c r="EU127" s="40"/>
      <c r="EV127" s="40"/>
      <c r="EW127" s="40"/>
      <c r="EX127" s="40"/>
      <c r="EY127" s="40"/>
      <c r="EZ127" s="35"/>
      <c r="FA127" s="35"/>
      <c r="FB127" s="35"/>
      <c r="FC127" s="35"/>
      <c r="FD127" s="35"/>
      <c r="FE127" s="35"/>
      <c r="FF127" s="35"/>
      <c r="FG127" s="35"/>
    </row>
    <row r="128" spans="1:163">
      <c r="A128" s="62">
        <v>304</v>
      </c>
      <c r="E128" s="63" t="s">
        <v>76</v>
      </c>
      <c r="F128" s="56" t="s">
        <v>72</v>
      </c>
      <c r="G128" s="70" t="s">
        <v>675</v>
      </c>
      <c r="H128" s="66" t="str">
        <f t="shared" si="40"/>
        <v xml:space="preserve"> 173</v>
      </c>
      <c r="I128" s="67" t="s">
        <v>675</v>
      </c>
      <c r="J128" s="68">
        <f t="shared" si="41"/>
        <v>0</v>
      </c>
      <c r="K128" s="63" t="s">
        <v>354</v>
      </c>
      <c r="L128" s="1" t="s">
        <v>46</v>
      </c>
      <c r="O128" s="64" t="s">
        <v>789</v>
      </c>
      <c r="P128" s="82">
        <v>0</v>
      </c>
      <c r="Q128" s="74">
        <f t="shared" si="60"/>
        <v>69000</v>
      </c>
      <c r="R128" s="71">
        <v>69000</v>
      </c>
      <c r="S128" s="72">
        <f t="shared" si="56"/>
        <v>8550</v>
      </c>
      <c r="T128" s="68" t="s">
        <v>791</v>
      </c>
      <c r="U128" s="73">
        <f t="shared" si="57"/>
        <v>60450</v>
      </c>
      <c r="V128" s="73">
        <f t="shared" si="64"/>
        <v>8550</v>
      </c>
      <c r="W128" s="2">
        <f t="shared" si="42"/>
        <v>69000</v>
      </c>
      <c r="Y128" s="80">
        <f t="shared" si="43"/>
        <v>69000</v>
      </c>
      <c r="Z128" s="93"/>
      <c r="AA128" s="93"/>
      <c r="AB128" s="94"/>
      <c r="AC128" s="2">
        <v>3000</v>
      </c>
      <c r="AD128" s="2">
        <f>Z128+AC128</f>
        <v>3000</v>
      </c>
      <c r="AF128" s="28">
        <f t="shared" ref="AF128:AF191" si="65">IF(O128="Baru",AE128,AD128)</f>
        <v>0</v>
      </c>
      <c r="AG128" s="55" t="s">
        <v>125</v>
      </c>
      <c r="AI128" s="20" t="s">
        <v>45</v>
      </c>
      <c r="AJ128" s="2">
        <f t="shared" si="44"/>
        <v>-69000</v>
      </c>
      <c r="AN128" s="29" t="e">
        <f t="shared" si="45"/>
        <v>#DIV/0!</v>
      </c>
      <c r="AP128" s="3" t="s">
        <v>140</v>
      </c>
      <c r="AQ128" s="1" t="s">
        <v>196</v>
      </c>
      <c r="AR128" s="31">
        <f t="shared" si="46"/>
        <v>-121575</v>
      </c>
      <c r="AS128" s="31">
        <f t="shared" si="47"/>
        <v>-120381</v>
      </c>
      <c r="AT128" s="31">
        <f>IF(BX128&lt;&gt;"", AF128-BX128, 0)</f>
        <v>-115800</v>
      </c>
      <c r="AU128" s="31">
        <f t="shared" si="48"/>
        <v>-107460</v>
      </c>
      <c r="AV128" s="31">
        <f t="shared" si="49"/>
        <v>0</v>
      </c>
      <c r="AW128" s="31">
        <f t="shared" si="50"/>
        <v>-121392</v>
      </c>
      <c r="AX128" s="31">
        <f t="shared" si="51"/>
        <v>-122248</v>
      </c>
      <c r="AY128" s="31">
        <f t="shared" si="52"/>
        <v>-122687</v>
      </c>
      <c r="AZ128" s="31">
        <f t="shared" si="53"/>
        <v>-142500</v>
      </c>
      <c r="BA128" s="31">
        <f t="shared" si="54"/>
        <v>0</v>
      </c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41">
        <v>118575</v>
      </c>
      <c r="BM128" s="41">
        <v>3000</v>
      </c>
      <c r="BN128" s="41">
        <f>BL128+BM128</f>
        <v>121575</v>
      </c>
      <c r="BO128" s="37">
        <f>BN128-Y128</f>
        <v>52575</v>
      </c>
      <c r="BP128" s="38">
        <f>BO128/BL128</f>
        <v>0.44339025932953829</v>
      </c>
      <c r="BQ128" s="37">
        <f>AF128-BN128</f>
        <v>-121575</v>
      </c>
      <c r="BR128" s="40" t="s">
        <v>29</v>
      </c>
      <c r="BS128" s="39"/>
      <c r="BT128" s="39"/>
      <c r="BU128" s="39"/>
      <c r="BV128" s="39"/>
      <c r="BW128" s="39"/>
      <c r="BX128" s="36">
        <v>115800</v>
      </c>
      <c r="BY128" s="33">
        <v>3000</v>
      </c>
      <c r="BZ128" s="33">
        <f>BX128+BY128</f>
        <v>118800</v>
      </c>
      <c r="CA128" s="33">
        <f>BZ128-Y128</f>
        <v>49800</v>
      </c>
      <c r="CB128" s="34">
        <f>CA128/BX128</f>
        <v>0.43005181347150256</v>
      </c>
      <c r="CC128" s="33">
        <f>AF128-BZ128</f>
        <v>-118800</v>
      </c>
      <c r="CD128" s="35" t="s">
        <v>29</v>
      </c>
      <c r="CE128" s="48"/>
      <c r="CF128" s="48"/>
      <c r="CG128" s="48"/>
      <c r="CH128" s="48"/>
      <c r="CI128" s="48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36">
        <v>120381</v>
      </c>
      <c r="CW128" s="36">
        <v>3000</v>
      </c>
      <c r="CX128" s="46">
        <f>CW128/CV128</f>
        <v>2.4920876218007825E-2</v>
      </c>
      <c r="CY128" s="36">
        <f>AF128-CV128</f>
        <v>-120381</v>
      </c>
      <c r="CZ128" s="35" t="s">
        <v>29</v>
      </c>
      <c r="DA128" s="35"/>
      <c r="DB128" s="35"/>
      <c r="DC128" s="35"/>
      <c r="DD128" s="41">
        <v>107460</v>
      </c>
      <c r="DE128" s="37">
        <f>DD128-Y128</f>
        <v>38460</v>
      </c>
      <c r="DF128" s="38">
        <f>DE128/DD128</f>
        <v>0.35790061418202124</v>
      </c>
      <c r="DG128" s="37">
        <f>AF128-DD128</f>
        <v>-107460</v>
      </c>
      <c r="DH128" s="42" t="s">
        <v>29</v>
      </c>
      <c r="DI128" s="40"/>
      <c r="DJ128" s="40"/>
      <c r="DK128" s="40"/>
      <c r="DL128" s="36">
        <v>121392</v>
      </c>
      <c r="DM128" s="33">
        <f>DL128-Y128</f>
        <v>52392</v>
      </c>
      <c r="DN128" s="34">
        <f>DM128/DL128</f>
        <v>0.43159351522340844</v>
      </c>
      <c r="DO128" s="33">
        <f>AF128-DL128</f>
        <v>-121392</v>
      </c>
      <c r="DP128" s="35" t="s">
        <v>29</v>
      </c>
      <c r="DQ128" s="35"/>
      <c r="DR128" s="35"/>
      <c r="DS128" s="35"/>
      <c r="DT128" s="41">
        <v>119248</v>
      </c>
      <c r="DU128" s="37">
        <v>3000</v>
      </c>
      <c r="DV128" s="41">
        <f>DT128+DU128</f>
        <v>122248</v>
      </c>
      <c r="DW128" s="37">
        <f>DV128-Y128</f>
        <v>53248</v>
      </c>
      <c r="DX128" s="38">
        <f>DW128/DV128</f>
        <v>0.43557358811596097</v>
      </c>
      <c r="DY128" s="37">
        <f>AF128-DV128</f>
        <v>-122248</v>
      </c>
      <c r="DZ128" s="40" t="s">
        <v>29</v>
      </c>
      <c r="EA128" s="40"/>
      <c r="EB128" s="40"/>
      <c r="EC128" s="40"/>
      <c r="ED128" s="40"/>
      <c r="EE128" s="40"/>
      <c r="EF128" s="36">
        <v>119687</v>
      </c>
      <c r="EG128" s="33">
        <v>3000</v>
      </c>
      <c r="EH128" s="33">
        <f>EF128+EG128</f>
        <v>122687</v>
      </c>
      <c r="EI128" s="33">
        <f>EH128-Y128</f>
        <v>53687</v>
      </c>
      <c r="EJ128" s="44">
        <f>EI128/EH128</f>
        <v>0.4375932250360674</v>
      </c>
      <c r="EK128" s="45">
        <f>AF128-EH128</f>
        <v>-122687</v>
      </c>
      <c r="EL128" s="43" t="s">
        <v>29</v>
      </c>
      <c r="EM128" s="35"/>
      <c r="EN128" s="35"/>
      <c r="EO128" s="35"/>
      <c r="EP128" s="35"/>
      <c r="EQ128" s="35"/>
      <c r="ER128" s="41">
        <v>142500</v>
      </c>
      <c r="ES128" s="37">
        <f>ER128-Y128</f>
        <v>73500</v>
      </c>
      <c r="ET128" s="38">
        <f>ES128/ER128</f>
        <v>0.51578947368421058</v>
      </c>
      <c r="EU128" s="37">
        <f>AF128-ER128</f>
        <v>-142500</v>
      </c>
      <c r="EV128" s="40" t="s">
        <v>29</v>
      </c>
      <c r="EW128" s="40"/>
      <c r="EX128" s="40"/>
      <c r="EY128" s="40"/>
      <c r="EZ128" s="35"/>
      <c r="FA128" s="35"/>
      <c r="FB128" s="35"/>
      <c r="FC128" s="35"/>
      <c r="FD128" s="35"/>
      <c r="FE128" s="35"/>
      <c r="FF128" s="35"/>
      <c r="FG128" s="35"/>
    </row>
    <row r="129" spans="1:163">
      <c r="A129" s="62">
        <v>320</v>
      </c>
      <c r="E129" s="63" t="s">
        <v>76</v>
      </c>
      <c r="F129" s="56" t="s">
        <v>74</v>
      </c>
      <c r="G129" s="70" t="s">
        <v>691</v>
      </c>
      <c r="H129" s="66" t="str">
        <f t="shared" si="40"/>
        <v xml:space="preserve"> 063</v>
      </c>
      <c r="I129" s="67" t="s">
        <v>691</v>
      </c>
      <c r="J129" s="68">
        <f t="shared" si="41"/>
        <v>0</v>
      </c>
      <c r="K129" s="63" t="s">
        <v>354</v>
      </c>
      <c r="L129" s="1" t="s">
        <v>46</v>
      </c>
      <c r="O129" s="88" t="s">
        <v>790</v>
      </c>
      <c r="P129" s="89">
        <v>0</v>
      </c>
      <c r="Q129" s="90">
        <f t="shared" si="60"/>
        <v>69000</v>
      </c>
      <c r="R129" s="71">
        <v>69000</v>
      </c>
      <c r="S129" s="72">
        <f t="shared" si="56"/>
        <v>8550</v>
      </c>
      <c r="T129" s="68" t="s">
        <v>791</v>
      </c>
      <c r="U129" s="73">
        <f t="shared" si="57"/>
        <v>60450</v>
      </c>
      <c r="V129" s="73">
        <f t="shared" si="64"/>
        <v>8550</v>
      </c>
      <c r="W129" s="2">
        <f t="shared" si="42"/>
        <v>69000</v>
      </c>
      <c r="Y129" s="81">
        <f t="shared" si="43"/>
        <v>69000</v>
      </c>
      <c r="Z129" s="96">
        <v>0</v>
      </c>
      <c r="AA129" s="97">
        <f>U129-Z129</f>
        <v>60450</v>
      </c>
      <c r="AB129" s="98" t="e">
        <f>AA129/Z129</f>
        <v>#DIV/0!</v>
      </c>
      <c r="AE129" s="2">
        <v>108000</v>
      </c>
      <c r="AF129" s="28">
        <f t="shared" si="65"/>
        <v>0</v>
      </c>
      <c r="AG129" s="55" t="s">
        <v>125</v>
      </c>
      <c r="AI129" s="20" t="s">
        <v>45</v>
      </c>
      <c r="AJ129" s="2">
        <f t="shared" si="44"/>
        <v>-69000</v>
      </c>
      <c r="AN129" s="29" t="e">
        <f t="shared" si="45"/>
        <v>#DIV/0!</v>
      </c>
      <c r="AP129" s="3" t="s">
        <v>29</v>
      </c>
      <c r="AQ129" s="1" t="s">
        <v>185</v>
      </c>
      <c r="AR129" s="31">
        <f t="shared" si="46"/>
        <v>0</v>
      </c>
      <c r="AS129" s="31">
        <f t="shared" si="47"/>
        <v>0</v>
      </c>
      <c r="AT129" s="31">
        <f t="shared" ref="AT129:AT139" si="66">IF(BZ129&lt;&gt;"", AF129-BZ129, 0)</f>
        <v>0</v>
      </c>
      <c r="AU129" s="31">
        <f t="shared" si="48"/>
        <v>0</v>
      </c>
      <c r="AV129" s="31">
        <f t="shared" si="49"/>
        <v>0</v>
      </c>
      <c r="AW129" s="31">
        <f t="shared" si="50"/>
        <v>0</v>
      </c>
      <c r="AX129" s="31">
        <f t="shared" si="51"/>
        <v>0</v>
      </c>
      <c r="AY129" s="31">
        <f t="shared" si="52"/>
        <v>0</v>
      </c>
      <c r="AZ129" s="31">
        <f t="shared" si="53"/>
        <v>0</v>
      </c>
      <c r="BA129" s="31">
        <f t="shared" si="54"/>
        <v>0</v>
      </c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41"/>
      <c r="BM129" s="41"/>
      <c r="BN129" s="41"/>
      <c r="BO129" s="37"/>
      <c r="BP129" s="38"/>
      <c r="BQ129" s="37"/>
      <c r="BR129" s="40"/>
      <c r="BS129" s="39"/>
      <c r="BT129" s="39"/>
      <c r="BU129" s="39"/>
      <c r="BV129" s="39"/>
      <c r="BW129" s="39"/>
      <c r="BX129" s="36"/>
      <c r="BY129" s="33"/>
      <c r="BZ129" s="33"/>
      <c r="CA129" s="33"/>
      <c r="CB129" s="34"/>
      <c r="CC129" s="33"/>
      <c r="CD129" s="35"/>
      <c r="CE129" s="48"/>
      <c r="CF129" s="48"/>
      <c r="CG129" s="48"/>
      <c r="CH129" s="48"/>
      <c r="CI129" s="48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35"/>
      <c r="CW129" s="35"/>
      <c r="CX129" s="35"/>
      <c r="CY129" s="35"/>
      <c r="CZ129" s="35"/>
      <c r="DA129" s="35"/>
      <c r="DB129" s="35"/>
      <c r="DC129" s="35"/>
      <c r="DD129" s="40"/>
      <c r="DE129" s="40"/>
      <c r="DF129" s="40"/>
      <c r="DG129" s="40"/>
      <c r="DH129" s="40"/>
      <c r="DI129" s="40"/>
      <c r="DJ129" s="40"/>
      <c r="DK129" s="40"/>
      <c r="DL129" s="35"/>
      <c r="DM129" s="35"/>
      <c r="DN129" s="35"/>
      <c r="DO129" s="35"/>
      <c r="DP129" s="35"/>
      <c r="DQ129" s="35"/>
      <c r="DR129" s="35"/>
      <c r="DS129" s="35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40"/>
      <c r="ES129" s="40"/>
      <c r="ET129" s="40"/>
      <c r="EU129" s="40"/>
      <c r="EV129" s="40"/>
      <c r="EW129" s="40"/>
      <c r="EX129" s="40"/>
      <c r="EY129" s="40"/>
      <c r="EZ129" s="35"/>
      <c r="FA129" s="35"/>
      <c r="FB129" s="35"/>
      <c r="FC129" s="35"/>
      <c r="FD129" s="35"/>
      <c r="FE129" s="35"/>
      <c r="FF129" s="35"/>
      <c r="FG129" s="35"/>
    </row>
    <row r="130" spans="1:163">
      <c r="A130" s="62">
        <v>395</v>
      </c>
      <c r="E130" s="63" t="s">
        <v>234</v>
      </c>
      <c r="F130" s="56" t="s">
        <v>87</v>
      </c>
      <c r="G130" s="65" t="s">
        <v>763</v>
      </c>
      <c r="H130" s="66" t="str">
        <f t="shared" si="40"/>
        <v xml:space="preserve"> 684</v>
      </c>
      <c r="I130" s="67" t="s">
        <v>763</v>
      </c>
      <c r="J130" s="68">
        <f t="shared" si="41"/>
        <v>0</v>
      </c>
      <c r="K130" s="63" t="s">
        <v>364</v>
      </c>
      <c r="L130" s="1" t="s">
        <v>46</v>
      </c>
      <c r="O130" s="64" t="s">
        <v>789</v>
      </c>
      <c r="P130" s="82">
        <v>0</v>
      </c>
      <c r="Q130" s="74">
        <f t="shared" si="60"/>
        <v>67500</v>
      </c>
      <c r="R130" s="71">
        <v>67500</v>
      </c>
      <c r="S130" s="72">
        <f t="shared" si="56"/>
        <v>8900</v>
      </c>
      <c r="T130" s="68" t="s">
        <v>791</v>
      </c>
      <c r="U130" s="73">
        <f t="shared" si="57"/>
        <v>58600</v>
      </c>
      <c r="V130" s="75">
        <f>2000+4850+600+200+250+1000</f>
        <v>8900</v>
      </c>
      <c r="W130" s="2">
        <f t="shared" si="42"/>
        <v>67500</v>
      </c>
      <c r="Y130" s="80">
        <f t="shared" si="43"/>
        <v>67500</v>
      </c>
      <c r="Z130" s="93"/>
      <c r="AA130" s="93"/>
      <c r="AB130" s="94"/>
      <c r="AE130" s="2">
        <v>100000</v>
      </c>
      <c r="AF130" s="28">
        <f t="shared" si="65"/>
        <v>100000</v>
      </c>
      <c r="AG130" s="55" t="s">
        <v>125</v>
      </c>
      <c r="AI130" s="20" t="s">
        <v>206</v>
      </c>
      <c r="AJ130" s="2">
        <f t="shared" si="44"/>
        <v>32500</v>
      </c>
      <c r="AN130" s="29">
        <f t="shared" si="45"/>
        <v>0.32500000000000001</v>
      </c>
      <c r="AP130" s="3" t="s">
        <v>140</v>
      </c>
      <c r="AQ130" s="1" t="s">
        <v>199</v>
      </c>
      <c r="AR130" s="31">
        <f t="shared" si="46"/>
        <v>0</v>
      </c>
      <c r="AS130" s="31">
        <f t="shared" si="47"/>
        <v>0</v>
      </c>
      <c r="AT130" s="31">
        <f t="shared" si="66"/>
        <v>0</v>
      </c>
      <c r="AU130" s="31">
        <f t="shared" si="48"/>
        <v>0</v>
      </c>
      <c r="AV130" s="31">
        <f t="shared" si="49"/>
        <v>0</v>
      </c>
      <c r="AW130" s="31">
        <f t="shared" si="50"/>
        <v>0</v>
      </c>
      <c r="AX130" s="31">
        <f t="shared" si="51"/>
        <v>0</v>
      </c>
      <c r="AY130" s="31">
        <f t="shared" si="52"/>
        <v>0</v>
      </c>
      <c r="AZ130" s="31">
        <f t="shared" si="53"/>
        <v>0</v>
      </c>
      <c r="BA130" s="31">
        <f t="shared" si="54"/>
        <v>0</v>
      </c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35"/>
      <c r="CW130" s="35"/>
      <c r="CX130" s="35"/>
      <c r="CY130" s="35"/>
      <c r="CZ130" s="35"/>
      <c r="DA130" s="35"/>
      <c r="DB130" s="35"/>
      <c r="DC130" s="35"/>
      <c r="DD130" s="40"/>
      <c r="DE130" s="40"/>
      <c r="DF130" s="40"/>
      <c r="DG130" s="40"/>
      <c r="DH130" s="40"/>
      <c r="DI130" s="40"/>
      <c r="DJ130" s="40"/>
      <c r="DK130" s="40"/>
      <c r="DL130" s="35"/>
      <c r="DM130" s="35"/>
      <c r="DN130" s="35"/>
      <c r="DO130" s="35"/>
      <c r="DP130" s="35"/>
      <c r="DQ130" s="35"/>
      <c r="DR130" s="35"/>
      <c r="DS130" s="35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40"/>
      <c r="ES130" s="40"/>
      <c r="ET130" s="40"/>
      <c r="EU130" s="40"/>
      <c r="EV130" s="40"/>
      <c r="EW130" s="40"/>
      <c r="EX130" s="40"/>
      <c r="EY130" s="40"/>
      <c r="EZ130" s="35"/>
      <c r="FA130" s="35"/>
      <c r="FB130" s="35"/>
      <c r="FC130" s="35"/>
      <c r="FD130" s="35"/>
      <c r="FE130" s="35"/>
      <c r="FF130" s="35"/>
      <c r="FG130" s="35"/>
    </row>
    <row r="131" spans="1:163">
      <c r="A131" s="62">
        <v>351</v>
      </c>
      <c r="E131" s="63" t="s">
        <v>226</v>
      </c>
      <c r="F131" s="56" t="s">
        <v>85</v>
      </c>
      <c r="G131" s="65" t="s">
        <v>721</v>
      </c>
      <c r="H131" s="66" t="str">
        <f t="shared" si="40"/>
        <v xml:space="preserve"> 122</v>
      </c>
      <c r="I131" s="67" t="s">
        <v>721</v>
      </c>
      <c r="J131" s="68">
        <f t="shared" si="41"/>
        <v>0</v>
      </c>
      <c r="K131" s="63" t="s">
        <v>364</v>
      </c>
      <c r="L131" s="1" t="s">
        <v>46</v>
      </c>
      <c r="O131" s="88" t="s">
        <v>790</v>
      </c>
      <c r="P131" s="89">
        <v>0</v>
      </c>
      <c r="Q131" s="90">
        <f t="shared" si="60"/>
        <v>70000</v>
      </c>
      <c r="R131" s="71">
        <v>70000</v>
      </c>
      <c r="S131" s="72">
        <f t="shared" si="56"/>
        <v>8400</v>
      </c>
      <c r="T131" s="68" t="s">
        <v>791</v>
      </c>
      <c r="U131" s="73">
        <f t="shared" si="57"/>
        <v>61600</v>
      </c>
      <c r="V131" s="75">
        <f>2000+4850+600+200+250+500</f>
        <v>8400</v>
      </c>
      <c r="W131" s="2">
        <f t="shared" si="42"/>
        <v>70000</v>
      </c>
      <c r="Y131" s="81">
        <f t="shared" si="43"/>
        <v>70000</v>
      </c>
      <c r="Z131" s="96">
        <v>0</v>
      </c>
      <c r="AA131" s="97">
        <f>U131-Z131</f>
        <v>61600</v>
      </c>
      <c r="AB131" s="98" t="e">
        <f>AA131/Z131</f>
        <v>#DIV/0!</v>
      </c>
      <c r="AE131" s="2">
        <v>94000</v>
      </c>
      <c r="AF131" s="28">
        <f t="shared" si="65"/>
        <v>0</v>
      </c>
      <c r="AG131" s="55" t="s">
        <v>125</v>
      </c>
      <c r="AI131" s="20" t="s">
        <v>45</v>
      </c>
      <c r="AJ131" s="2">
        <f t="shared" si="44"/>
        <v>-70000</v>
      </c>
      <c r="AN131" s="29" t="e">
        <f t="shared" si="45"/>
        <v>#DIV/0!</v>
      </c>
      <c r="AP131" s="3" t="s">
        <v>29</v>
      </c>
      <c r="AQ131" s="1" t="s">
        <v>203</v>
      </c>
      <c r="AR131" s="31">
        <f t="shared" si="46"/>
        <v>0</v>
      </c>
      <c r="AS131" s="31">
        <f t="shared" si="47"/>
        <v>0</v>
      </c>
      <c r="AT131" s="31">
        <f t="shared" si="66"/>
        <v>0</v>
      </c>
      <c r="AU131" s="31">
        <f t="shared" si="48"/>
        <v>0</v>
      </c>
      <c r="AV131" s="31">
        <f t="shared" si="49"/>
        <v>0</v>
      </c>
      <c r="AW131" s="31">
        <f t="shared" si="50"/>
        <v>0</v>
      </c>
      <c r="AX131" s="31">
        <f t="shared" si="51"/>
        <v>0</v>
      </c>
      <c r="AY131" s="31">
        <f t="shared" si="52"/>
        <v>0</v>
      </c>
      <c r="AZ131" s="31">
        <f t="shared" si="53"/>
        <v>0</v>
      </c>
      <c r="BA131" s="31">
        <f t="shared" si="54"/>
        <v>0</v>
      </c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35"/>
      <c r="CW131" s="35"/>
      <c r="CX131" s="35"/>
      <c r="CY131" s="35"/>
      <c r="CZ131" s="35"/>
      <c r="DA131" s="35"/>
      <c r="DB131" s="35"/>
      <c r="DC131" s="35"/>
      <c r="DD131" s="40"/>
      <c r="DE131" s="40"/>
      <c r="DF131" s="40"/>
      <c r="DG131" s="40"/>
      <c r="DH131" s="40"/>
      <c r="DI131" s="40"/>
      <c r="DJ131" s="40"/>
      <c r="DK131" s="40"/>
      <c r="DL131" s="35"/>
      <c r="DM131" s="35"/>
      <c r="DN131" s="35"/>
      <c r="DO131" s="35"/>
      <c r="DP131" s="35"/>
      <c r="DQ131" s="35"/>
      <c r="DR131" s="35"/>
      <c r="DS131" s="35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40"/>
      <c r="ES131" s="40"/>
      <c r="ET131" s="40"/>
      <c r="EU131" s="40"/>
      <c r="EV131" s="40"/>
      <c r="EW131" s="40"/>
      <c r="EX131" s="40"/>
      <c r="EY131" s="40"/>
    </row>
    <row r="132" spans="1:163">
      <c r="A132" s="62">
        <v>347</v>
      </c>
      <c r="E132" s="63" t="s">
        <v>226</v>
      </c>
      <c r="F132" s="56" t="s">
        <v>77</v>
      </c>
      <c r="G132" s="65" t="s">
        <v>717</v>
      </c>
      <c r="H132" s="66" t="str">
        <f t="shared" si="40"/>
        <v xml:space="preserve"> 288</v>
      </c>
      <c r="I132" s="67" t="s">
        <v>717</v>
      </c>
      <c r="J132" s="68">
        <f t="shared" si="41"/>
        <v>0</v>
      </c>
      <c r="K132" s="63" t="s">
        <v>364</v>
      </c>
      <c r="L132" s="1" t="s">
        <v>46</v>
      </c>
      <c r="O132" s="88" t="s">
        <v>790</v>
      </c>
      <c r="P132" s="89">
        <v>0</v>
      </c>
      <c r="Q132" s="90">
        <f t="shared" si="60"/>
        <v>65000</v>
      </c>
      <c r="R132" s="71">
        <v>65000</v>
      </c>
      <c r="S132" s="72">
        <f t="shared" si="56"/>
        <v>8400</v>
      </c>
      <c r="T132" s="68" t="s">
        <v>791</v>
      </c>
      <c r="U132" s="73">
        <f t="shared" si="57"/>
        <v>56600</v>
      </c>
      <c r="V132" s="75">
        <f>2000+4850+600+200+250+500</f>
        <v>8400</v>
      </c>
      <c r="W132" s="2">
        <f t="shared" si="42"/>
        <v>65000</v>
      </c>
      <c r="Y132" s="81">
        <f t="shared" si="43"/>
        <v>65000</v>
      </c>
      <c r="Z132" s="96">
        <v>0</v>
      </c>
      <c r="AA132" s="97">
        <f>U132-Z132</f>
        <v>56600</v>
      </c>
      <c r="AB132" s="98" t="e">
        <f>AA132/Z132</f>
        <v>#DIV/0!</v>
      </c>
      <c r="AE132" s="2">
        <v>79000</v>
      </c>
      <c r="AF132" s="28">
        <f t="shared" si="65"/>
        <v>0</v>
      </c>
      <c r="AG132" s="55" t="s">
        <v>125</v>
      </c>
      <c r="AI132" s="20" t="s">
        <v>45</v>
      </c>
      <c r="AJ132" s="2">
        <f t="shared" si="44"/>
        <v>-65000</v>
      </c>
      <c r="AN132" s="29" t="e">
        <f t="shared" si="45"/>
        <v>#DIV/0!</v>
      </c>
      <c r="AP132" s="3" t="s">
        <v>29</v>
      </c>
      <c r="AQ132" s="1" t="s">
        <v>176</v>
      </c>
      <c r="AR132" s="31">
        <f t="shared" si="46"/>
        <v>0</v>
      </c>
      <c r="AS132" s="31">
        <f t="shared" si="47"/>
        <v>0</v>
      </c>
      <c r="AT132" s="31">
        <f t="shared" si="66"/>
        <v>0</v>
      </c>
      <c r="AU132" s="31">
        <f t="shared" si="48"/>
        <v>0</v>
      </c>
      <c r="AV132" s="31">
        <f t="shared" si="49"/>
        <v>0</v>
      </c>
      <c r="AW132" s="31">
        <f t="shared" si="50"/>
        <v>0</v>
      </c>
      <c r="AX132" s="31">
        <f t="shared" si="51"/>
        <v>0</v>
      </c>
      <c r="AY132" s="31">
        <f t="shared" si="52"/>
        <v>0</v>
      </c>
      <c r="AZ132" s="31">
        <f t="shared" si="53"/>
        <v>0</v>
      </c>
      <c r="BA132" s="31">
        <f t="shared" si="54"/>
        <v>0</v>
      </c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35"/>
      <c r="CW132" s="35"/>
      <c r="CX132" s="35"/>
      <c r="CY132" s="35"/>
      <c r="CZ132" s="35"/>
      <c r="DA132" s="35"/>
      <c r="DB132" s="35"/>
      <c r="DC132" s="35"/>
      <c r="DD132" s="40"/>
      <c r="DE132" s="40"/>
      <c r="DF132" s="40"/>
      <c r="DG132" s="40"/>
      <c r="DH132" s="40"/>
      <c r="DI132" s="40"/>
      <c r="DJ132" s="40"/>
      <c r="DK132" s="40"/>
      <c r="DL132" s="35"/>
      <c r="DM132" s="35"/>
      <c r="DN132" s="35"/>
      <c r="DO132" s="35"/>
      <c r="DP132" s="35"/>
      <c r="DQ132" s="35"/>
      <c r="DR132" s="35"/>
      <c r="DS132" s="35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40"/>
      <c r="ES132" s="40"/>
      <c r="ET132" s="40"/>
      <c r="EU132" s="40"/>
      <c r="EV132" s="40"/>
      <c r="EW132" s="40"/>
      <c r="EX132" s="40"/>
      <c r="EY132" s="40"/>
      <c r="EZ132" s="35"/>
      <c r="FA132" s="35"/>
      <c r="FB132" s="35"/>
      <c r="FC132" s="35"/>
      <c r="FD132" s="35"/>
      <c r="FE132" s="35"/>
      <c r="FF132" s="35"/>
      <c r="FG132" s="35"/>
    </row>
    <row r="133" spans="1:163">
      <c r="A133" s="60">
        <v>113</v>
      </c>
      <c r="E133" s="63" t="s">
        <v>56</v>
      </c>
      <c r="F133" s="56" t="s">
        <v>59</v>
      </c>
      <c r="G133" s="70" t="s">
        <v>492</v>
      </c>
      <c r="H133" s="66" t="str">
        <f t="shared" si="40"/>
        <v xml:space="preserve"> 517</v>
      </c>
      <c r="I133" s="67" t="s">
        <v>492</v>
      </c>
      <c r="J133" s="68">
        <f t="shared" si="41"/>
        <v>0</v>
      </c>
      <c r="K133" s="63" t="s">
        <v>281</v>
      </c>
      <c r="L133" s="1" t="s">
        <v>46</v>
      </c>
      <c r="O133" s="64" t="s">
        <v>789</v>
      </c>
      <c r="P133" s="82">
        <v>0</v>
      </c>
      <c r="Q133" s="74">
        <f t="shared" si="60"/>
        <v>0</v>
      </c>
      <c r="R133" s="71"/>
      <c r="S133" s="72">
        <f t="shared" si="56"/>
        <v>0</v>
      </c>
      <c r="T133" s="68"/>
      <c r="U133" s="73">
        <f t="shared" si="57"/>
        <v>0</v>
      </c>
      <c r="V133" s="73"/>
      <c r="W133" s="2">
        <f t="shared" si="42"/>
        <v>0</v>
      </c>
      <c r="Y133" s="80">
        <f t="shared" si="43"/>
        <v>0</v>
      </c>
      <c r="Z133" s="93"/>
      <c r="AA133" s="93"/>
      <c r="AB133" s="94"/>
      <c r="AC133" s="2">
        <v>3000</v>
      </c>
      <c r="AD133" s="2">
        <f>Z133+AC133</f>
        <v>3000</v>
      </c>
      <c r="AF133" s="28">
        <f t="shared" si="65"/>
        <v>0</v>
      </c>
      <c r="AG133" s="55" t="s">
        <v>125</v>
      </c>
      <c r="AI133" s="20" t="s">
        <v>206</v>
      </c>
      <c r="AJ133" s="2">
        <f t="shared" si="44"/>
        <v>0</v>
      </c>
      <c r="AN133" s="29" t="e">
        <f t="shared" si="45"/>
        <v>#DIV/0!</v>
      </c>
      <c r="AO133" s="29" t="e">
        <f>AN133-AB133</f>
        <v>#DIV/0!</v>
      </c>
      <c r="AP133" s="3" t="s">
        <v>140</v>
      </c>
      <c r="AQ133" s="1" t="s">
        <v>139</v>
      </c>
      <c r="AR133" s="31">
        <f t="shared" si="46"/>
        <v>0</v>
      </c>
      <c r="AS133" s="31">
        <f t="shared" si="47"/>
        <v>-93420</v>
      </c>
      <c r="AT133" s="31">
        <f t="shared" si="66"/>
        <v>0</v>
      </c>
      <c r="AU133" s="31">
        <f t="shared" si="48"/>
        <v>0</v>
      </c>
      <c r="AV133" s="31">
        <f t="shared" si="49"/>
        <v>0</v>
      </c>
      <c r="AW133" s="31">
        <f t="shared" si="50"/>
        <v>0</v>
      </c>
      <c r="AX133" s="31">
        <f t="shared" si="51"/>
        <v>0</v>
      </c>
      <c r="AY133" s="31">
        <f t="shared" si="52"/>
        <v>0</v>
      </c>
      <c r="AZ133" s="31">
        <f t="shared" si="53"/>
        <v>0</v>
      </c>
      <c r="BA133" s="31">
        <f t="shared" si="54"/>
        <v>0</v>
      </c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41"/>
      <c r="BM133" s="41"/>
      <c r="BN133" s="41"/>
      <c r="BO133" s="37"/>
      <c r="BP133" s="38"/>
      <c r="BQ133" s="37"/>
      <c r="BR133" s="40"/>
      <c r="BS133" s="39"/>
      <c r="BT133" s="39"/>
      <c r="BU133" s="39"/>
      <c r="BV133" s="39"/>
      <c r="BW133" s="39"/>
      <c r="BX133" s="36"/>
      <c r="BY133" s="33"/>
      <c r="BZ133" s="33"/>
      <c r="CA133" s="33"/>
      <c r="CB133" s="34"/>
      <c r="CC133" s="33"/>
      <c r="CD133" s="35"/>
      <c r="CE133" s="48"/>
      <c r="CF133" s="48"/>
      <c r="CG133" s="48"/>
      <c r="CH133" s="48"/>
      <c r="CI133" s="48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36">
        <v>93420</v>
      </c>
      <c r="CW133" s="36">
        <f>CV133-Y133</f>
        <v>93420</v>
      </c>
      <c r="CX133" s="46">
        <f>CW133/CV133</f>
        <v>1</v>
      </c>
      <c r="CY133" s="36">
        <f>AF133-CV133</f>
        <v>-93420</v>
      </c>
      <c r="CZ133" s="35" t="s">
        <v>128</v>
      </c>
      <c r="DA133" s="35"/>
      <c r="DB133" s="35"/>
      <c r="DC133" s="35"/>
      <c r="DD133" s="40"/>
      <c r="DE133" s="40"/>
      <c r="DF133" s="40"/>
      <c r="DG133" s="40"/>
      <c r="DH133" s="40"/>
      <c r="DI133" s="40"/>
      <c r="DJ133" s="40"/>
      <c r="DK133" s="40"/>
      <c r="DL133" s="35"/>
      <c r="DM133" s="35"/>
      <c r="DN133" s="35"/>
      <c r="DO133" s="35"/>
      <c r="DP133" s="35"/>
      <c r="DQ133" s="35"/>
      <c r="DR133" s="35"/>
      <c r="DS133" s="35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40"/>
      <c r="ES133" s="40"/>
      <c r="ET133" s="40"/>
      <c r="EU133" s="40"/>
      <c r="EV133" s="40"/>
      <c r="EW133" s="40"/>
      <c r="EX133" s="40"/>
      <c r="EY133" s="40"/>
      <c r="EZ133" s="35"/>
      <c r="FA133" s="35"/>
      <c r="FB133" s="35"/>
      <c r="FC133" s="35"/>
      <c r="FD133" s="35"/>
      <c r="FE133" s="35"/>
      <c r="FF133" s="35"/>
      <c r="FG133" s="35"/>
    </row>
    <row r="134" spans="1:163">
      <c r="A134" s="60">
        <v>2</v>
      </c>
      <c r="E134" s="63" t="s">
        <v>210</v>
      </c>
      <c r="F134" s="56" t="s">
        <v>115</v>
      </c>
      <c r="G134" s="65" t="s">
        <v>237</v>
      </c>
      <c r="H134" s="66" t="str">
        <f t="shared" si="40"/>
        <v xml:space="preserve"> 204</v>
      </c>
      <c r="I134" s="67" t="s">
        <v>237</v>
      </c>
      <c r="J134" s="68">
        <f t="shared" si="41"/>
        <v>0</v>
      </c>
      <c r="K134" s="63" t="s">
        <v>241</v>
      </c>
      <c r="L134" s="1" t="s">
        <v>46</v>
      </c>
      <c r="O134" s="64" t="s">
        <v>789</v>
      </c>
      <c r="P134" s="82">
        <v>0</v>
      </c>
      <c r="Q134" s="74">
        <f t="shared" si="60"/>
        <v>87000</v>
      </c>
      <c r="R134" s="71">
        <v>87000</v>
      </c>
      <c r="S134" s="72">
        <f t="shared" si="56"/>
        <v>8550</v>
      </c>
      <c r="T134" s="68" t="s">
        <v>791</v>
      </c>
      <c r="U134" s="73">
        <f t="shared" si="57"/>
        <v>78450</v>
      </c>
      <c r="V134" s="75">
        <f>2000+5500+600+200+250</f>
        <v>8550</v>
      </c>
      <c r="W134" s="2">
        <f t="shared" si="42"/>
        <v>87000</v>
      </c>
      <c r="Y134" s="80">
        <f t="shared" si="43"/>
        <v>87000</v>
      </c>
      <c r="Z134" s="91"/>
      <c r="AA134" s="91"/>
      <c r="AB134" s="92"/>
      <c r="AC134" s="2">
        <v>3000</v>
      </c>
      <c r="AD134" s="2">
        <f>Z134+AC134</f>
        <v>3000</v>
      </c>
      <c r="AF134" s="28">
        <f t="shared" si="65"/>
        <v>0</v>
      </c>
      <c r="AG134" s="55" t="s">
        <v>125</v>
      </c>
      <c r="AI134" s="20" t="s">
        <v>45</v>
      </c>
      <c r="AJ134" s="2">
        <f t="shared" si="44"/>
        <v>-87000</v>
      </c>
      <c r="AN134" s="29" t="e">
        <f t="shared" si="45"/>
        <v>#DIV/0!</v>
      </c>
      <c r="AO134" s="29" t="e">
        <f>AN134-AB134</f>
        <v>#DIV/0!</v>
      </c>
      <c r="AP134" s="3" t="s">
        <v>29</v>
      </c>
      <c r="AQ134" s="1" t="s">
        <v>153</v>
      </c>
      <c r="AR134" s="31">
        <f t="shared" si="46"/>
        <v>0</v>
      </c>
      <c r="AS134" s="31">
        <f t="shared" si="47"/>
        <v>0</v>
      </c>
      <c r="AT134" s="31">
        <f t="shared" si="66"/>
        <v>0</v>
      </c>
      <c r="AU134" s="31">
        <f t="shared" si="48"/>
        <v>0</v>
      </c>
      <c r="AV134" s="31">
        <f t="shared" si="49"/>
        <v>0</v>
      </c>
      <c r="AW134" s="31">
        <f t="shared" si="50"/>
        <v>0</v>
      </c>
      <c r="AX134" s="31">
        <f t="shared" si="51"/>
        <v>0</v>
      </c>
      <c r="AY134" s="31">
        <f t="shared" si="52"/>
        <v>0</v>
      </c>
      <c r="AZ134" s="31">
        <f t="shared" si="53"/>
        <v>0</v>
      </c>
      <c r="BA134" s="31">
        <f t="shared" si="54"/>
        <v>0</v>
      </c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41"/>
      <c r="BM134" s="41"/>
      <c r="BN134" s="41"/>
      <c r="BO134" s="37"/>
      <c r="BP134" s="38"/>
      <c r="BQ134" s="37"/>
      <c r="BR134" s="40"/>
      <c r="BS134" s="39"/>
      <c r="BT134" s="39"/>
      <c r="BU134" s="39"/>
      <c r="BV134" s="39"/>
      <c r="BW134" s="39"/>
      <c r="BX134" s="36"/>
      <c r="BY134" s="33"/>
      <c r="BZ134" s="33"/>
      <c r="CA134" s="33"/>
      <c r="CB134" s="34"/>
      <c r="CC134" s="33"/>
      <c r="CD134" s="35"/>
      <c r="CE134" s="48"/>
      <c r="CF134" s="48"/>
      <c r="CG134" s="48"/>
      <c r="CH134" s="48"/>
      <c r="CI134" s="48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35"/>
      <c r="CW134" s="35"/>
      <c r="CX134" s="35"/>
      <c r="CY134" s="35"/>
      <c r="CZ134" s="35"/>
      <c r="DA134" s="35"/>
      <c r="DB134" s="35"/>
      <c r="DC134" s="35"/>
      <c r="DD134" s="40"/>
      <c r="DE134" s="40"/>
      <c r="DF134" s="40"/>
      <c r="DG134" s="40"/>
      <c r="DH134" s="40"/>
      <c r="DI134" s="40"/>
      <c r="DJ134" s="40"/>
      <c r="DK134" s="40"/>
      <c r="DL134" s="35"/>
      <c r="DM134" s="35"/>
      <c r="DN134" s="35"/>
      <c r="DO134" s="35"/>
      <c r="DP134" s="35"/>
      <c r="DQ134" s="35"/>
      <c r="DR134" s="35"/>
      <c r="DS134" s="35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40"/>
      <c r="ES134" s="40"/>
      <c r="ET134" s="40"/>
      <c r="EU134" s="40"/>
      <c r="EV134" s="40"/>
      <c r="EW134" s="40"/>
      <c r="EX134" s="40"/>
      <c r="EY134" s="40"/>
      <c r="EZ134" s="35"/>
      <c r="FA134" s="35"/>
      <c r="FB134" s="35"/>
      <c r="FC134" s="35"/>
      <c r="FD134" s="35"/>
      <c r="FE134" s="35"/>
      <c r="FF134" s="35"/>
      <c r="FG134" s="35"/>
    </row>
    <row r="135" spans="1:163">
      <c r="A135" s="60">
        <v>33</v>
      </c>
      <c r="E135" s="63" t="s">
        <v>114</v>
      </c>
      <c r="F135" s="56" t="s">
        <v>113</v>
      </c>
      <c r="G135" s="65" t="s">
        <v>239</v>
      </c>
      <c r="H135" s="66" t="str">
        <f t="shared" ref="H135:H198" si="67">REPLACE(G135,1,3, )</f>
        <v xml:space="preserve"> 372</v>
      </c>
      <c r="I135" s="67" t="s">
        <v>239</v>
      </c>
      <c r="J135" s="68">
        <f t="shared" ref="J135:J198" si="68">IF(G135=I135,0,1)</f>
        <v>0</v>
      </c>
      <c r="K135" s="63" t="s">
        <v>241</v>
      </c>
      <c r="L135" s="1" t="s">
        <v>46</v>
      </c>
      <c r="O135" s="64" t="s">
        <v>789</v>
      </c>
      <c r="P135" s="82">
        <v>0</v>
      </c>
      <c r="Q135" s="74">
        <f t="shared" si="60"/>
        <v>80000</v>
      </c>
      <c r="R135" s="71">
        <v>80000</v>
      </c>
      <c r="S135" s="72">
        <f t="shared" si="56"/>
        <v>8250</v>
      </c>
      <c r="T135" s="68" t="s">
        <v>791</v>
      </c>
      <c r="U135" s="73">
        <f t="shared" si="57"/>
        <v>71750</v>
      </c>
      <c r="V135" s="75">
        <f>2000+5200+600+200+250</f>
        <v>8250</v>
      </c>
      <c r="W135" s="2">
        <f t="shared" ref="W135:W198" si="69">Q135-P135</f>
        <v>80000</v>
      </c>
      <c r="Y135" s="80">
        <f t="shared" ref="Y135:Y198" si="70">Q135</f>
        <v>80000</v>
      </c>
      <c r="Z135" s="93"/>
      <c r="AA135" s="93"/>
      <c r="AB135" s="94"/>
      <c r="AC135" s="2">
        <v>4000</v>
      </c>
      <c r="AD135" s="2">
        <f>Z135+AC135</f>
        <v>4000</v>
      </c>
      <c r="AF135" s="28">
        <f t="shared" si="65"/>
        <v>0</v>
      </c>
      <c r="AG135" s="55" t="s">
        <v>125</v>
      </c>
      <c r="AI135" s="20" t="s">
        <v>45</v>
      </c>
      <c r="AJ135" s="2">
        <f t="shared" ref="AJ135:AJ198" si="71">AF135-Y135</f>
        <v>-80000</v>
      </c>
      <c r="AN135" s="29" t="e">
        <f t="shared" ref="AN135:AN198" si="72">AJ135/AF135</f>
        <v>#DIV/0!</v>
      </c>
      <c r="AO135" s="29" t="e">
        <f>AN135-AB135</f>
        <v>#DIV/0!</v>
      </c>
      <c r="AP135" s="3" t="s">
        <v>29</v>
      </c>
      <c r="AQ135" s="1" t="s">
        <v>148</v>
      </c>
      <c r="AR135" s="31">
        <f t="shared" ref="AR135:AR198" si="73">IF(BN135&lt;&gt;"", AF135-BN135, 0)</f>
        <v>0</v>
      </c>
      <c r="AS135" s="31">
        <f t="shared" ref="AS135:AS198" si="74">IF(CV135&lt;&gt;"", AF135-CV135, 0)</f>
        <v>0</v>
      </c>
      <c r="AT135" s="31">
        <f t="shared" si="66"/>
        <v>0</v>
      </c>
      <c r="AU135" s="31">
        <f t="shared" ref="AU135:AU198" si="75">IF(DD135&lt;&gt;"", AF135-DD135, 0)</f>
        <v>0</v>
      </c>
      <c r="AV135" s="31">
        <f t="shared" ref="AV135:AV198" si="76">IF(CL135&lt;&gt;"", AF135-CL135, 0)</f>
        <v>0</v>
      </c>
      <c r="AW135" s="31">
        <f t="shared" ref="AW135:AW198" si="77">IF(DL135&lt;&gt;"", AF135-DL135, 0)</f>
        <v>0</v>
      </c>
      <c r="AX135" s="31">
        <f t="shared" ref="AX135:AX198" si="78">IF(DV135&lt;&gt;"",AF135-DV135, 0)</f>
        <v>0</v>
      </c>
      <c r="AY135" s="31">
        <f t="shared" ref="AY135:AY198" si="79">IF(EH135&lt;&gt;"",AF135-EH135, 0)</f>
        <v>0</v>
      </c>
      <c r="AZ135" s="31">
        <f t="shared" ref="AZ135:AZ198" si="80">IF(ER135&lt;&gt;"", AF135-ER135, 0)</f>
        <v>0</v>
      </c>
      <c r="BA135" s="31">
        <f t="shared" ref="BA135:BA198" si="81">IF(EZ135&lt;&gt;"", AF135-EZ135, 0)</f>
        <v>0</v>
      </c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41"/>
      <c r="BM135" s="41"/>
      <c r="BN135" s="41"/>
      <c r="BO135" s="37"/>
      <c r="BP135" s="38"/>
      <c r="BQ135" s="37"/>
      <c r="BR135" s="40"/>
      <c r="BS135" s="39"/>
      <c r="BT135" s="39"/>
      <c r="BU135" s="39"/>
      <c r="BV135" s="39"/>
      <c r="BW135" s="39"/>
      <c r="BX135" s="36"/>
      <c r="BY135" s="33"/>
      <c r="BZ135" s="33"/>
      <c r="CA135" s="33"/>
      <c r="CB135" s="34"/>
      <c r="CC135" s="33"/>
      <c r="CD135" s="35"/>
      <c r="CE135" s="48"/>
      <c r="CF135" s="48"/>
      <c r="CG135" s="48"/>
      <c r="CH135" s="48"/>
      <c r="CI135" s="48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35"/>
      <c r="CW135" s="35"/>
      <c r="CX135" s="35"/>
      <c r="CY135" s="35"/>
      <c r="CZ135" s="35"/>
      <c r="DA135" s="35"/>
      <c r="DB135" s="35"/>
      <c r="DC135" s="35"/>
      <c r="DD135" s="40"/>
      <c r="DE135" s="40"/>
      <c r="DF135" s="40"/>
      <c r="DG135" s="40"/>
      <c r="DH135" s="40"/>
      <c r="DI135" s="40"/>
      <c r="DJ135" s="40"/>
      <c r="DK135" s="40"/>
      <c r="DL135" s="35"/>
      <c r="DM135" s="35"/>
      <c r="DN135" s="35"/>
      <c r="DO135" s="35"/>
      <c r="DP135" s="35"/>
      <c r="DQ135" s="35"/>
      <c r="DR135" s="35"/>
      <c r="DS135" s="35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40"/>
      <c r="ES135" s="40"/>
      <c r="ET135" s="40"/>
      <c r="EU135" s="40"/>
      <c r="EV135" s="40"/>
      <c r="EW135" s="40"/>
      <c r="EX135" s="40"/>
      <c r="EY135" s="40"/>
      <c r="EZ135" s="35"/>
      <c r="FA135" s="35"/>
      <c r="FB135" s="35"/>
      <c r="FC135" s="35"/>
      <c r="FD135" s="35"/>
      <c r="FE135" s="35"/>
      <c r="FF135" s="35"/>
      <c r="FG135" s="35"/>
    </row>
    <row r="136" spans="1:163">
      <c r="A136" s="62">
        <v>78</v>
      </c>
      <c r="E136" s="63" t="s">
        <v>113</v>
      </c>
      <c r="F136" s="56" t="s">
        <v>56</v>
      </c>
      <c r="G136" s="65" t="s">
        <v>459</v>
      </c>
      <c r="H136" s="66" t="str">
        <f t="shared" si="67"/>
        <v xml:space="preserve"> 553</v>
      </c>
      <c r="I136" s="67" t="s">
        <v>459</v>
      </c>
      <c r="J136" s="68">
        <f t="shared" si="68"/>
        <v>0</v>
      </c>
      <c r="K136" s="63" t="s">
        <v>241</v>
      </c>
      <c r="L136" s="1" t="s">
        <v>46</v>
      </c>
      <c r="O136" s="64" t="s">
        <v>789</v>
      </c>
      <c r="P136" s="82">
        <v>0</v>
      </c>
      <c r="Q136" s="74">
        <f t="shared" ref="Q136:Q168" si="82">U136+V136</f>
        <v>76000</v>
      </c>
      <c r="R136" s="71">
        <v>76000</v>
      </c>
      <c r="S136" s="72">
        <f t="shared" si="56"/>
        <v>8150</v>
      </c>
      <c r="T136" s="68" t="s">
        <v>791</v>
      </c>
      <c r="U136" s="73">
        <f t="shared" si="57"/>
        <v>67850</v>
      </c>
      <c r="V136" s="75">
        <f>2000+5100+600+200+250</f>
        <v>8150</v>
      </c>
      <c r="W136" s="2">
        <f t="shared" si="69"/>
        <v>76000</v>
      </c>
      <c r="Y136" s="80">
        <f t="shared" si="70"/>
        <v>76000</v>
      </c>
      <c r="Z136" s="93"/>
      <c r="AA136" s="93"/>
      <c r="AB136" s="94"/>
      <c r="AE136" s="2">
        <v>110000</v>
      </c>
      <c r="AF136" s="28">
        <f t="shared" si="65"/>
        <v>110000</v>
      </c>
      <c r="AG136" s="55" t="s">
        <v>125</v>
      </c>
      <c r="AI136" s="20" t="s">
        <v>204</v>
      </c>
      <c r="AJ136" s="2">
        <f t="shared" si="71"/>
        <v>34000</v>
      </c>
      <c r="AN136" s="29">
        <f t="shared" si="72"/>
        <v>0.30909090909090908</v>
      </c>
      <c r="AP136" s="3" t="s">
        <v>29</v>
      </c>
      <c r="AQ136" s="1" t="s">
        <v>145</v>
      </c>
      <c r="AR136" s="31">
        <f t="shared" si="73"/>
        <v>0</v>
      </c>
      <c r="AS136" s="31">
        <f t="shared" si="74"/>
        <v>0</v>
      </c>
      <c r="AT136" s="31">
        <f t="shared" si="66"/>
        <v>0</v>
      </c>
      <c r="AU136" s="31">
        <f t="shared" si="75"/>
        <v>0</v>
      </c>
      <c r="AV136" s="31">
        <f t="shared" si="76"/>
        <v>0</v>
      </c>
      <c r="AW136" s="31">
        <f t="shared" si="77"/>
        <v>0</v>
      </c>
      <c r="AX136" s="31">
        <f t="shared" si="78"/>
        <v>0</v>
      </c>
      <c r="AY136" s="31">
        <f t="shared" si="79"/>
        <v>0</v>
      </c>
      <c r="AZ136" s="31">
        <f t="shared" si="80"/>
        <v>0</v>
      </c>
      <c r="BA136" s="31">
        <f t="shared" si="81"/>
        <v>0</v>
      </c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41"/>
      <c r="BM136" s="41"/>
      <c r="BN136" s="41"/>
      <c r="BO136" s="37"/>
      <c r="BP136" s="38"/>
      <c r="BQ136" s="37"/>
      <c r="BR136" s="40"/>
      <c r="BS136" s="39"/>
      <c r="BT136" s="39"/>
      <c r="BU136" s="39"/>
      <c r="BV136" s="39"/>
      <c r="BW136" s="39"/>
      <c r="BX136" s="36"/>
      <c r="BY136" s="33"/>
      <c r="BZ136" s="33"/>
      <c r="CA136" s="33"/>
      <c r="CB136" s="34"/>
      <c r="CC136" s="33"/>
      <c r="CD136" s="35"/>
      <c r="CE136" s="48"/>
      <c r="CF136" s="48"/>
      <c r="CG136" s="48"/>
      <c r="CH136" s="48"/>
      <c r="CI136" s="48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35"/>
      <c r="CW136" s="35"/>
      <c r="CX136" s="35"/>
      <c r="CY136" s="35"/>
      <c r="CZ136" s="35"/>
      <c r="DA136" s="35"/>
      <c r="DB136" s="35"/>
      <c r="DC136" s="35"/>
      <c r="DD136" s="40"/>
      <c r="DE136" s="40"/>
      <c r="DF136" s="40"/>
      <c r="DG136" s="40"/>
      <c r="DH136" s="40"/>
      <c r="DI136" s="40"/>
      <c r="DJ136" s="40"/>
      <c r="DK136" s="40"/>
      <c r="DL136" s="35"/>
      <c r="DM136" s="35"/>
      <c r="DN136" s="35"/>
      <c r="DO136" s="35"/>
      <c r="DP136" s="35"/>
      <c r="DQ136" s="35"/>
      <c r="DR136" s="35"/>
      <c r="DS136" s="35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40"/>
      <c r="ES136" s="40"/>
      <c r="ET136" s="40"/>
      <c r="EU136" s="40"/>
      <c r="EV136" s="40"/>
      <c r="EW136" s="40"/>
      <c r="EX136" s="40"/>
      <c r="EY136" s="40"/>
      <c r="EZ136" s="35"/>
      <c r="FA136" s="35"/>
      <c r="FB136" s="35"/>
      <c r="FC136" s="35"/>
      <c r="FD136" s="35"/>
      <c r="FE136" s="35"/>
      <c r="FF136" s="35"/>
      <c r="FG136" s="35"/>
    </row>
    <row r="137" spans="1:163">
      <c r="A137" s="62">
        <v>176</v>
      </c>
      <c r="E137" s="63" t="s">
        <v>215</v>
      </c>
      <c r="F137" s="56" t="s">
        <v>64</v>
      </c>
      <c r="G137" s="65" t="s">
        <v>556</v>
      </c>
      <c r="H137" s="66" t="str">
        <f t="shared" si="67"/>
        <v xml:space="preserve"> 570</v>
      </c>
      <c r="I137" s="67" t="s">
        <v>556</v>
      </c>
      <c r="J137" s="68">
        <f t="shared" si="68"/>
        <v>0</v>
      </c>
      <c r="K137" s="63" t="s">
        <v>310</v>
      </c>
      <c r="L137" s="1" t="s">
        <v>46</v>
      </c>
      <c r="O137" s="64" t="s">
        <v>789</v>
      </c>
      <c r="P137" s="82">
        <v>0</v>
      </c>
      <c r="Q137" s="74">
        <f t="shared" si="82"/>
        <v>70000</v>
      </c>
      <c r="R137" s="71">
        <v>70000</v>
      </c>
      <c r="S137" s="72">
        <f t="shared" si="56"/>
        <v>7900</v>
      </c>
      <c r="T137" s="68" t="s">
        <v>791</v>
      </c>
      <c r="U137" s="73">
        <f t="shared" si="57"/>
        <v>62100</v>
      </c>
      <c r="V137" s="73">
        <f>2000+4850+600+200+250</f>
        <v>7900</v>
      </c>
      <c r="W137" s="2">
        <f t="shared" si="69"/>
        <v>70000</v>
      </c>
      <c r="Y137" s="80">
        <f t="shared" si="70"/>
        <v>70000</v>
      </c>
      <c r="Z137" s="93"/>
      <c r="AA137" s="93"/>
      <c r="AB137" s="94"/>
      <c r="AE137" s="2">
        <v>105000</v>
      </c>
      <c r="AF137" s="28">
        <f t="shared" si="65"/>
        <v>105000</v>
      </c>
      <c r="AG137" s="55" t="s">
        <v>125</v>
      </c>
      <c r="AI137" s="20" t="s">
        <v>206</v>
      </c>
      <c r="AJ137" s="2">
        <f t="shared" si="71"/>
        <v>35000</v>
      </c>
      <c r="AN137" s="29">
        <f t="shared" si="72"/>
        <v>0.33333333333333331</v>
      </c>
      <c r="AP137" s="3" t="s">
        <v>29</v>
      </c>
      <c r="AQ137" s="1" t="s">
        <v>165</v>
      </c>
      <c r="AR137" s="31">
        <f t="shared" si="73"/>
        <v>0</v>
      </c>
      <c r="AS137" s="31">
        <f t="shared" si="74"/>
        <v>0</v>
      </c>
      <c r="AT137" s="31">
        <f t="shared" si="66"/>
        <v>0</v>
      </c>
      <c r="AU137" s="31">
        <f t="shared" si="75"/>
        <v>0</v>
      </c>
      <c r="AV137" s="31">
        <f t="shared" si="76"/>
        <v>0</v>
      </c>
      <c r="AW137" s="31">
        <f t="shared" si="77"/>
        <v>0</v>
      </c>
      <c r="AX137" s="31">
        <f t="shared" si="78"/>
        <v>0</v>
      </c>
      <c r="AY137" s="31">
        <f t="shared" si="79"/>
        <v>0</v>
      </c>
      <c r="AZ137" s="31">
        <f t="shared" si="80"/>
        <v>0</v>
      </c>
      <c r="BA137" s="31">
        <f t="shared" si="81"/>
        <v>0</v>
      </c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41"/>
      <c r="BM137" s="41"/>
      <c r="BN137" s="41"/>
      <c r="BO137" s="37"/>
      <c r="BP137" s="38"/>
      <c r="BQ137" s="37"/>
      <c r="BR137" s="40"/>
      <c r="BS137" s="39"/>
      <c r="BT137" s="39"/>
      <c r="BU137" s="39"/>
      <c r="BV137" s="39"/>
      <c r="BW137" s="39"/>
      <c r="BX137" s="36"/>
      <c r="BY137" s="33"/>
      <c r="BZ137" s="33"/>
      <c r="CA137" s="33"/>
      <c r="CB137" s="34"/>
      <c r="CC137" s="33"/>
      <c r="CD137" s="35"/>
      <c r="CE137" s="48"/>
      <c r="CF137" s="48"/>
      <c r="CG137" s="48"/>
      <c r="CH137" s="48"/>
      <c r="CI137" s="48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35"/>
      <c r="CW137" s="35"/>
      <c r="CX137" s="35"/>
      <c r="CY137" s="35"/>
      <c r="CZ137" s="35"/>
      <c r="DA137" s="35"/>
      <c r="DB137" s="35"/>
      <c r="DC137" s="35"/>
      <c r="DD137" s="40"/>
      <c r="DE137" s="40"/>
      <c r="DF137" s="40"/>
      <c r="DG137" s="40"/>
      <c r="DH137" s="40"/>
      <c r="DI137" s="40"/>
      <c r="DJ137" s="40"/>
      <c r="DK137" s="40"/>
      <c r="DL137" s="35"/>
      <c r="DM137" s="35"/>
      <c r="DN137" s="35"/>
      <c r="DO137" s="35"/>
      <c r="DP137" s="35"/>
      <c r="DQ137" s="35"/>
      <c r="DR137" s="35"/>
      <c r="DS137" s="35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40"/>
      <c r="ES137" s="40"/>
      <c r="ET137" s="40"/>
      <c r="EU137" s="40"/>
      <c r="EV137" s="40"/>
      <c r="EW137" s="40"/>
      <c r="EX137" s="40"/>
      <c r="EY137" s="40"/>
      <c r="EZ137" s="35"/>
      <c r="FA137" s="35"/>
      <c r="FB137" s="35"/>
      <c r="FC137" s="35"/>
      <c r="FD137" s="35"/>
      <c r="FE137" s="35"/>
      <c r="FF137" s="35"/>
      <c r="FG137" s="35"/>
    </row>
    <row r="138" spans="1:163">
      <c r="A138" s="62">
        <v>178</v>
      </c>
      <c r="E138" s="63" t="s">
        <v>62</v>
      </c>
      <c r="F138" s="56" t="s">
        <v>63</v>
      </c>
      <c r="G138" s="65" t="s">
        <v>558</v>
      </c>
      <c r="H138" s="66" t="str">
        <f t="shared" si="67"/>
        <v xml:space="preserve"> 790</v>
      </c>
      <c r="I138" s="67" t="s">
        <v>558</v>
      </c>
      <c r="J138" s="68">
        <f t="shared" si="68"/>
        <v>0</v>
      </c>
      <c r="K138" s="63" t="s">
        <v>310</v>
      </c>
      <c r="L138" s="1" t="s">
        <v>46</v>
      </c>
      <c r="O138" s="88" t="s">
        <v>790</v>
      </c>
      <c r="P138" s="89">
        <v>0</v>
      </c>
      <c r="Q138" s="90">
        <f t="shared" si="82"/>
        <v>77500</v>
      </c>
      <c r="R138" s="71">
        <v>77500</v>
      </c>
      <c r="S138" s="72">
        <f t="shared" si="56"/>
        <v>7900</v>
      </c>
      <c r="T138" s="68" t="s">
        <v>791</v>
      </c>
      <c r="U138" s="73">
        <f t="shared" si="57"/>
        <v>69600</v>
      </c>
      <c r="V138" s="73">
        <f>2000+4850+600+200+250</f>
        <v>7900</v>
      </c>
      <c r="W138" s="2">
        <f t="shared" si="69"/>
        <v>77500</v>
      </c>
      <c r="Y138" s="81">
        <f t="shared" si="70"/>
        <v>77500</v>
      </c>
      <c r="Z138" s="96">
        <v>0</v>
      </c>
      <c r="AA138" s="97">
        <f>U138-Z138</f>
        <v>69600</v>
      </c>
      <c r="AB138" s="98" t="e">
        <f>AA138/Z138</f>
        <v>#DIV/0!</v>
      </c>
      <c r="AE138" s="2">
        <v>119000</v>
      </c>
      <c r="AF138" s="28">
        <f t="shared" si="65"/>
        <v>0</v>
      </c>
      <c r="AG138" s="55" t="s">
        <v>125</v>
      </c>
      <c r="AI138" s="20" t="s">
        <v>206</v>
      </c>
      <c r="AJ138" s="2">
        <f t="shared" si="71"/>
        <v>-77500</v>
      </c>
      <c r="AN138" s="29" t="e">
        <f t="shared" si="72"/>
        <v>#DIV/0!</v>
      </c>
      <c r="AP138" s="3" t="s">
        <v>29</v>
      </c>
      <c r="AQ138" s="1" t="s">
        <v>165</v>
      </c>
      <c r="AR138" s="31">
        <f t="shared" si="73"/>
        <v>0</v>
      </c>
      <c r="AS138" s="31">
        <f t="shared" si="74"/>
        <v>0</v>
      </c>
      <c r="AT138" s="31">
        <f t="shared" si="66"/>
        <v>0</v>
      </c>
      <c r="AU138" s="31">
        <f t="shared" si="75"/>
        <v>0</v>
      </c>
      <c r="AV138" s="31">
        <f t="shared" si="76"/>
        <v>0</v>
      </c>
      <c r="AW138" s="31">
        <f t="shared" si="77"/>
        <v>0</v>
      </c>
      <c r="AX138" s="31">
        <f t="shared" si="78"/>
        <v>0</v>
      </c>
      <c r="AY138" s="31">
        <f t="shared" si="79"/>
        <v>0</v>
      </c>
      <c r="AZ138" s="31">
        <f t="shared" si="80"/>
        <v>0</v>
      </c>
      <c r="BA138" s="31">
        <f t="shared" si="81"/>
        <v>0</v>
      </c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41"/>
      <c r="BM138" s="41"/>
      <c r="BN138" s="41"/>
      <c r="BO138" s="37"/>
      <c r="BP138" s="38"/>
      <c r="BQ138" s="37"/>
      <c r="BR138" s="40"/>
      <c r="BS138" s="39"/>
      <c r="BT138" s="39"/>
      <c r="BU138" s="39"/>
      <c r="BV138" s="39"/>
      <c r="BW138" s="39"/>
      <c r="BX138" s="36"/>
      <c r="BY138" s="33"/>
      <c r="BZ138" s="33"/>
      <c r="CA138" s="33"/>
      <c r="CB138" s="34"/>
      <c r="CC138" s="33"/>
      <c r="CD138" s="35"/>
      <c r="CE138" s="48"/>
      <c r="CF138" s="48"/>
      <c r="CG138" s="48"/>
      <c r="CH138" s="48"/>
      <c r="CI138" s="48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35"/>
      <c r="CW138" s="35"/>
      <c r="CX138" s="35"/>
      <c r="CY138" s="35"/>
      <c r="CZ138" s="35"/>
      <c r="DA138" s="35"/>
      <c r="DB138" s="35"/>
      <c r="DC138" s="35"/>
      <c r="DD138" s="40"/>
      <c r="DE138" s="40"/>
      <c r="DF138" s="40"/>
      <c r="DG138" s="40"/>
      <c r="DH138" s="40"/>
      <c r="DI138" s="40"/>
      <c r="DJ138" s="40"/>
      <c r="DK138" s="40"/>
      <c r="DL138" s="35"/>
      <c r="DM138" s="35"/>
      <c r="DN138" s="35"/>
      <c r="DO138" s="35"/>
      <c r="DP138" s="35"/>
      <c r="DQ138" s="35"/>
      <c r="DR138" s="35"/>
      <c r="DS138" s="35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40"/>
      <c r="ES138" s="40"/>
      <c r="ET138" s="40"/>
      <c r="EU138" s="40"/>
      <c r="EV138" s="40"/>
      <c r="EW138" s="40"/>
      <c r="EX138" s="40"/>
      <c r="EY138" s="40"/>
      <c r="EZ138" s="35"/>
      <c r="FA138" s="35"/>
      <c r="FB138" s="35"/>
      <c r="FC138" s="35"/>
      <c r="FD138" s="35"/>
      <c r="FE138" s="35"/>
      <c r="FF138" s="35"/>
      <c r="FG138" s="35"/>
    </row>
    <row r="139" spans="1:163">
      <c r="A139" s="60">
        <v>89</v>
      </c>
      <c r="E139" s="63" t="s">
        <v>113</v>
      </c>
      <c r="F139" s="56" t="s">
        <v>56</v>
      </c>
      <c r="G139" s="70" t="s">
        <v>470</v>
      </c>
      <c r="H139" s="66" t="str">
        <f t="shared" si="67"/>
        <v xml:space="preserve"> 726</v>
      </c>
      <c r="I139" s="67" t="s">
        <v>470</v>
      </c>
      <c r="J139" s="68">
        <f t="shared" si="68"/>
        <v>0</v>
      </c>
      <c r="K139" s="63" t="s">
        <v>274</v>
      </c>
      <c r="L139" s="1" t="s">
        <v>46</v>
      </c>
      <c r="O139" s="64" t="s">
        <v>789</v>
      </c>
      <c r="P139" s="82">
        <v>0</v>
      </c>
      <c r="Q139" s="74">
        <f t="shared" si="82"/>
        <v>0</v>
      </c>
      <c r="R139" s="71"/>
      <c r="S139" s="72">
        <f t="shared" si="56"/>
        <v>0</v>
      </c>
      <c r="T139" s="68"/>
      <c r="U139" s="73">
        <f t="shared" si="57"/>
        <v>0</v>
      </c>
      <c r="V139" s="73"/>
      <c r="W139" s="2">
        <f t="shared" si="69"/>
        <v>0</v>
      </c>
      <c r="Y139" s="80">
        <f t="shared" si="70"/>
        <v>0</v>
      </c>
      <c r="Z139" s="93"/>
      <c r="AA139" s="93"/>
      <c r="AB139" s="94"/>
      <c r="AE139" s="2">
        <v>94000</v>
      </c>
      <c r="AF139" s="28">
        <f t="shared" si="65"/>
        <v>94000</v>
      </c>
      <c r="AG139" s="55" t="s">
        <v>125</v>
      </c>
      <c r="AI139" s="20" t="s">
        <v>204</v>
      </c>
      <c r="AJ139" s="2">
        <f t="shared" si="71"/>
        <v>94000</v>
      </c>
      <c r="AN139" s="29">
        <f t="shared" si="72"/>
        <v>1</v>
      </c>
      <c r="AP139" s="3" t="s">
        <v>140</v>
      </c>
      <c r="AQ139" s="1" t="s">
        <v>144</v>
      </c>
      <c r="AR139" s="31">
        <f t="shared" si="73"/>
        <v>0</v>
      </c>
      <c r="AS139" s="31">
        <f t="shared" si="74"/>
        <v>-770</v>
      </c>
      <c r="AT139" s="31">
        <f t="shared" si="66"/>
        <v>0</v>
      </c>
      <c r="AU139" s="31">
        <f t="shared" si="75"/>
        <v>4630</v>
      </c>
      <c r="AV139" s="31">
        <f t="shared" si="76"/>
        <v>0</v>
      </c>
      <c r="AW139" s="31">
        <f t="shared" si="77"/>
        <v>-1812</v>
      </c>
      <c r="AX139" s="31">
        <f t="shared" si="78"/>
        <v>0</v>
      </c>
      <c r="AY139" s="31">
        <f t="shared" si="79"/>
        <v>0</v>
      </c>
      <c r="AZ139" s="31">
        <f t="shared" si="80"/>
        <v>0</v>
      </c>
      <c r="BA139" s="31">
        <f t="shared" si="81"/>
        <v>0</v>
      </c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41"/>
      <c r="BM139" s="41"/>
      <c r="BN139" s="41"/>
      <c r="BO139" s="37"/>
      <c r="BP139" s="38"/>
      <c r="BQ139" s="37"/>
      <c r="BR139" s="40"/>
      <c r="BS139" s="39"/>
      <c r="BT139" s="39"/>
      <c r="BU139" s="39"/>
      <c r="BV139" s="39"/>
      <c r="BW139" s="39"/>
      <c r="BX139" s="36"/>
      <c r="BY139" s="33"/>
      <c r="BZ139" s="33"/>
      <c r="CA139" s="33"/>
      <c r="CB139" s="34"/>
      <c r="CC139" s="33"/>
      <c r="CD139" s="35"/>
      <c r="CE139" s="48"/>
      <c r="CF139" s="48"/>
      <c r="CG139" s="48"/>
      <c r="CH139" s="48"/>
      <c r="CI139" s="48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36">
        <v>94770</v>
      </c>
      <c r="CW139" s="36">
        <f>CV139-Y139</f>
        <v>94770</v>
      </c>
      <c r="CX139" s="46">
        <f>CW139/CV139</f>
        <v>1</v>
      </c>
      <c r="CY139" s="36">
        <f>AF139-CV139</f>
        <v>-770</v>
      </c>
      <c r="CZ139" s="35" t="s">
        <v>129</v>
      </c>
      <c r="DA139" s="35"/>
      <c r="DB139" s="35"/>
      <c r="DC139" s="35"/>
      <c r="DD139" s="41">
        <v>89370</v>
      </c>
      <c r="DE139" s="37">
        <f>DD139-Y139</f>
        <v>89370</v>
      </c>
      <c r="DF139" s="38">
        <f>DE139/DD139</f>
        <v>1</v>
      </c>
      <c r="DG139" s="37">
        <f>AF139-DD139</f>
        <v>4630</v>
      </c>
      <c r="DH139" s="42" t="s">
        <v>134</v>
      </c>
      <c r="DI139" s="40"/>
      <c r="DJ139" s="40"/>
      <c r="DK139" s="40"/>
      <c r="DL139" s="36">
        <v>95812</v>
      </c>
      <c r="DM139" s="33">
        <f>DL139-Y139</f>
        <v>95812</v>
      </c>
      <c r="DN139" s="34">
        <f>DM139/DL139</f>
        <v>1</v>
      </c>
      <c r="DO139" s="33">
        <f>AF139-DL139</f>
        <v>-1812</v>
      </c>
      <c r="DP139" s="35" t="s">
        <v>136</v>
      </c>
      <c r="DQ139" s="35"/>
      <c r="DR139" s="35"/>
      <c r="DS139" s="35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40"/>
      <c r="ES139" s="40"/>
      <c r="ET139" s="40"/>
      <c r="EU139" s="40"/>
      <c r="EV139" s="40"/>
      <c r="EW139" s="40"/>
      <c r="EX139" s="40"/>
      <c r="EY139" s="40"/>
      <c r="EZ139" s="35"/>
      <c r="FA139" s="35"/>
      <c r="FB139" s="35"/>
      <c r="FC139" s="35"/>
      <c r="FD139" s="35"/>
      <c r="FE139" s="35"/>
      <c r="FF139" s="35"/>
      <c r="FG139" s="35"/>
    </row>
    <row r="140" spans="1:163">
      <c r="A140" s="60">
        <v>191</v>
      </c>
      <c r="E140" s="63" t="s">
        <v>173</v>
      </c>
      <c r="F140" s="56" t="s">
        <v>65</v>
      </c>
      <c r="G140" s="70" t="s">
        <v>571</v>
      </c>
      <c r="H140" s="66" t="str">
        <f t="shared" si="67"/>
        <v xml:space="preserve"> 142</v>
      </c>
      <c r="I140" s="67" t="s">
        <v>571</v>
      </c>
      <c r="J140" s="68">
        <f t="shared" si="68"/>
        <v>0</v>
      </c>
      <c r="K140" s="63" t="s">
        <v>314</v>
      </c>
      <c r="L140" s="1" t="s">
        <v>46</v>
      </c>
      <c r="O140" s="88" t="s">
        <v>790</v>
      </c>
      <c r="P140" s="89">
        <v>113000</v>
      </c>
      <c r="Q140" s="90">
        <f t="shared" si="82"/>
        <v>0</v>
      </c>
      <c r="R140" s="71"/>
      <c r="S140" s="72">
        <f t="shared" si="56"/>
        <v>0</v>
      </c>
      <c r="T140" s="68"/>
      <c r="U140" s="73">
        <f t="shared" si="57"/>
        <v>0</v>
      </c>
      <c r="V140" s="73"/>
      <c r="W140" s="2">
        <f t="shared" si="69"/>
        <v>-113000</v>
      </c>
      <c r="Y140" s="81">
        <f t="shared" si="70"/>
        <v>0</v>
      </c>
      <c r="Z140" s="96">
        <v>0</v>
      </c>
      <c r="AA140" s="97">
        <f>U140-Z140</f>
        <v>0</v>
      </c>
      <c r="AB140" s="98" t="e">
        <f>AA140/Z140</f>
        <v>#DIV/0!</v>
      </c>
      <c r="AC140" s="2">
        <v>4000</v>
      </c>
      <c r="AD140" s="2">
        <f>Z140+AC140</f>
        <v>4000</v>
      </c>
      <c r="AF140" s="28">
        <f t="shared" si="65"/>
        <v>4000</v>
      </c>
      <c r="AJ140" s="2">
        <f t="shared" si="71"/>
        <v>4000</v>
      </c>
      <c r="AN140" s="29">
        <f t="shared" si="72"/>
        <v>1</v>
      </c>
      <c r="AO140" s="29" t="e">
        <f>AN140-AB140</f>
        <v>#DIV/0!</v>
      </c>
      <c r="AP140" s="3" t="s">
        <v>158</v>
      </c>
      <c r="AR140" s="31">
        <f t="shared" si="73"/>
        <v>0</v>
      </c>
      <c r="AS140" s="31">
        <f t="shared" si="74"/>
        <v>0</v>
      </c>
      <c r="AT140" s="31">
        <f>IF(BX140&lt;&gt;"", AF140-BX140, 0)</f>
        <v>0</v>
      </c>
      <c r="AU140" s="31">
        <f t="shared" si="75"/>
        <v>0</v>
      </c>
      <c r="AV140" s="31">
        <f t="shared" si="76"/>
        <v>0</v>
      </c>
      <c r="AW140" s="31">
        <f t="shared" si="77"/>
        <v>0</v>
      </c>
      <c r="AX140" s="31">
        <f t="shared" si="78"/>
        <v>0</v>
      </c>
      <c r="AY140" s="31">
        <f t="shared" si="79"/>
        <v>0</v>
      </c>
      <c r="AZ140" s="31">
        <f t="shared" si="80"/>
        <v>0</v>
      </c>
      <c r="BA140" s="31">
        <f t="shared" si="81"/>
        <v>0</v>
      </c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41"/>
      <c r="BM140" s="41"/>
      <c r="BN140" s="41"/>
      <c r="BO140" s="37"/>
      <c r="BP140" s="38"/>
      <c r="BQ140" s="37"/>
      <c r="BR140" s="40"/>
      <c r="BS140" s="39"/>
      <c r="BT140" s="39"/>
      <c r="BU140" s="39"/>
      <c r="BV140" s="39"/>
      <c r="BW140" s="39"/>
      <c r="BX140" s="36"/>
      <c r="BY140" s="33"/>
      <c r="BZ140" s="33"/>
      <c r="CA140" s="33"/>
      <c r="CB140" s="34"/>
      <c r="CC140" s="33"/>
      <c r="CD140" s="35"/>
      <c r="CE140" s="48"/>
      <c r="CF140" s="48"/>
      <c r="CG140" s="48"/>
      <c r="CH140" s="48"/>
      <c r="CI140" s="48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35"/>
      <c r="CW140" s="35"/>
      <c r="CX140" s="35"/>
      <c r="CY140" s="35"/>
      <c r="CZ140" s="35"/>
      <c r="DA140" s="35"/>
      <c r="DB140" s="35"/>
      <c r="DC140" s="35"/>
      <c r="DD140" s="40"/>
      <c r="DE140" s="40"/>
      <c r="DF140" s="40"/>
      <c r="DG140" s="40"/>
      <c r="DH140" s="40"/>
      <c r="DI140" s="40"/>
      <c r="DJ140" s="40"/>
      <c r="DK140" s="40"/>
      <c r="DL140" s="35"/>
      <c r="DM140" s="35"/>
      <c r="DN140" s="35"/>
      <c r="DO140" s="35"/>
      <c r="DP140" s="35"/>
      <c r="DQ140" s="35"/>
      <c r="DR140" s="35"/>
      <c r="DS140" s="35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40"/>
      <c r="ES140" s="40"/>
      <c r="ET140" s="40"/>
      <c r="EU140" s="40"/>
      <c r="EV140" s="40"/>
      <c r="EW140" s="40"/>
      <c r="EX140" s="40"/>
      <c r="EY140" s="40"/>
      <c r="EZ140" s="35"/>
      <c r="FA140" s="35"/>
      <c r="FB140" s="35"/>
      <c r="FC140" s="35"/>
      <c r="FD140" s="35"/>
      <c r="FE140" s="35"/>
      <c r="FF140" s="35"/>
      <c r="FG140" s="35"/>
    </row>
    <row r="141" spans="1:163">
      <c r="A141" s="62">
        <v>192</v>
      </c>
      <c r="E141" s="63" t="s">
        <v>61</v>
      </c>
      <c r="F141" s="56" t="s">
        <v>65</v>
      </c>
      <c r="G141" s="70" t="s">
        <v>572</v>
      </c>
      <c r="H141" s="66" t="str">
        <f t="shared" si="67"/>
        <v xml:space="preserve"> 716</v>
      </c>
      <c r="I141" s="67" t="s">
        <v>572</v>
      </c>
      <c r="J141" s="68">
        <f t="shared" si="68"/>
        <v>0</v>
      </c>
      <c r="K141" s="63" t="s">
        <v>314</v>
      </c>
      <c r="L141" s="1" t="s">
        <v>46</v>
      </c>
      <c r="O141" s="88" t="s">
        <v>790</v>
      </c>
      <c r="P141" s="89">
        <v>133000</v>
      </c>
      <c r="Q141" s="90">
        <f t="shared" si="82"/>
        <v>0</v>
      </c>
      <c r="R141" s="71"/>
      <c r="S141" s="72">
        <f t="shared" si="56"/>
        <v>0</v>
      </c>
      <c r="T141" s="68"/>
      <c r="U141" s="73">
        <f t="shared" si="57"/>
        <v>0</v>
      </c>
      <c r="V141" s="73"/>
      <c r="W141" s="2">
        <f t="shared" si="69"/>
        <v>-133000</v>
      </c>
      <c r="Y141" s="81">
        <f t="shared" si="70"/>
        <v>0</v>
      </c>
      <c r="Z141" s="96">
        <v>0</v>
      </c>
      <c r="AA141" s="97">
        <f>U141-Z141</f>
        <v>0</v>
      </c>
      <c r="AB141" s="98" t="e">
        <f>AA141/Z141</f>
        <v>#DIV/0!</v>
      </c>
      <c r="AE141" s="2">
        <v>133000</v>
      </c>
      <c r="AF141" s="28">
        <f t="shared" si="65"/>
        <v>0</v>
      </c>
      <c r="AJ141" s="2">
        <f t="shared" si="71"/>
        <v>0</v>
      </c>
      <c r="AN141" s="29" t="e">
        <f t="shared" si="72"/>
        <v>#DIV/0!</v>
      </c>
      <c r="AP141" s="3" t="s">
        <v>140</v>
      </c>
      <c r="AQ141" s="1" t="s">
        <v>156</v>
      </c>
      <c r="AR141" s="31">
        <f t="shared" si="73"/>
        <v>0</v>
      </c>
      <c r="AS141" s="31">
        <f t="shared" si="74"/>
        <v>-135000</v>
      </c>
      <c r="AT141" s="31">
        <f>IF(BX141&lt;&gt;"", AF141-BX141, 0)</f>
        <v>0</v>
      </c>
      <c r="AU141" s="31">
        <f t="shared" si="75"/>
        <v>-132570</v>
      </c>
      <c r="AV141" s="31">
        <f t="shared" si="76"/>
        <v>0</v>
      </c>
      <c r="AW141" s="31">
        <f t="shared" si="77"/>
        <v>0</v>
      </c>
      <c r="AX141" s="31">
        <f t="shared" si="78"/>
        <v>0</v>
      </c>
      <c r="AY141" s="31">
        <f t="shared" si="79"/>
        <v>0</v>
      </c>
      <c r="AZ141" s="31">
        <f t="shared" si="80"/>
        <v>0</v>
      </c>
      <c r="BA141" s="31">
        <f t="shared" si="81"/>
        <v>0</v>
      </c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41"/>
      <c r="BM141" s="41"/>
      <c r="BN141" s="41"/>
      <c r="BO141" s="37"/>
      <c r="BP141" s="38"/>
      <c r="BQ141" s="37"/>
      <c r="BR141" s="40"/>
      <c r="BS141" s="39"/>
      <c r="BT141" s="39"/>
      <c r="BU141" s="39"/>
      <c r="BV141" s="39"/>
      <c r="BW141" s="39"/>
      <c r="BX141" s="36"/>
      <c r="BY141" s="33"/>
      <c r="BZ141" s="33"/>
      <c r="CA141" s="33"/>
      <c r="CB141" s="34"/>
      <c r="CC141" s="33"/>
      <c r="CD141" s="35"/>
      <c r="CE141" s="48"/>
      <c r="CF141" s="48"/>
      <c r="CG141" s="48"/>
      <c r="CH141" s="48"/>
      <c r="CI141" s="48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35">
        <v>135000</v>
      </c>
      <c r="CW141" s="36">
        <f>CV141-Y141</f>
        <v>135000</v>
      </c>
      <c r="CX141" s="46">
        <f>CW141/CV141</f>
        <v>1</v>
      </c>
      <c r="CY141" s="36">
        <f>AF141-CV141</f>
        <v>-135000</v>
      </c>
      <c r="CZ141" s="35" t="s">
        <v>118</v>
      </c>
      <c r="DA141" s="35"/>
      <c r="DB141" s="35"/>
      <c r="DC141" s="35"/>
      <c r="DD141" s="41">
        <v>132570</v>
      </c>
      <c r="DE141" s="37">
        <f>DD141-Y141</f>
        <v>132570</v>
      </c>
      <c r="DF141" s="38">
        <f>DE141/DD141</f>
        <v>1</v>
      </c>
      <c r="DG141" s="37">
        <f>AF141-DD141</f>
        <v>-132570</v>
      </c>
      <c r="DH141" s="40" t="s">
        <v>132</v>
      </c>
      <c r="DI141" s="40"/>
      <c r="DJ141" s="40"/>
      <c r="DK141" s="40"/>
      <c r="DL141" s="35"/>
      <c r="DM141" s="35"/>
      <c r="DN141" s="35"/>
      <c r="DO141" s="35"/>
      <c r="DP141" s="35"/>
      <c r="DQ141" s="35"/>
      <c r="DR141" s="35"/>
      <c r="DS141" s="35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40"/>
      <c r="ES141" s="40"/>
      <c r="ET141" s="40"/>
      <c r="EU141" s="40"/>
      <c r="EV141" s="40"/>
      <c r="EW141" s="40"/>
      <c r="EX141" s="40"/>
      <c r="EY141" s="40"/>
      <c r="EZ141" s="35"/>
      <c r="FA141" s="35"/>
      <c r="FB141" s="35"/>
      <c r="FC141" s="35"/>
      <c r="FD141" s="35"/>
      <c r="FE141" s="35"/>
      <c r="FF141" s="35"/>
      <c r="FG141" s="35"/>
    </row>
    <row r="142" spans="1:163">
      <c r="A142" s="62">
        <v>225</v>
      </c>
      <c r="E142" s="63" t="s">
        <v>93</v>
      </c>
      <c r="F142" s="56" t="s">
        <v>95</v>
      </c>
      <c r="G142" s="70" t="s">
        <v>605</v>
      </c>
      <c r="H142" s="66" t="str">
        <f t="shared" si="67"/>
        <v xml:space="preserve"> 638</v>
      </c>
      <c r="I142" s="67" t="s">
        <v>605</v>
      </c>
      <c r="J142" s="68">
        <f t="shared" si="68"/>
        <v>0</v>
      </c>
      <c r="K142" s="63" t="s">
        <v>330</v>
      </c>
      <c r="L142" s="1" t="s">
        <v>46</v>
      </c>
      <c r="O142" s="88" t="s">
        <v>790</v>
      </c>
      <c r="P142" s="89">
        <v>0</v>
      </c>
      <c r="Q142" s="90">
        <f t="shared" si="82"/>
        <v>0</v>
      </c>
      <c r="R142" s="71"/>
      <c r="S142" s="72">
        <f t="shared" si="56"/>
        <v>0</v>
      </c>
      <c r="T142" s="68"/>
      <c r="U142" s="73">
        <f t="shared" si="57"/>
        <v>0</v>
      </c>
      <c r="V142" s="73"/>
      <c r="W142" s="2">
        <f t="shared" si="69"/>
        <v>0</v>
      </c>
      <c r="Y142" s="81">
        <f t="shared" si="70"/>
        <v>0</v>
      </c>
      <c r="Z142" s="96">
        <v>0</v>
      </c>
      <c r="AA142" s="97">
        <f>U142-Z142</f>
        <v>0</v>
      </c>
      <c r="AB142" s="98" t="e">
        <f>AA142/Z142</f>
        <v>#DIV/0!</v>
      </c>
      <c r="AC142" s="2">
        <v>4000</v>
      </c>
      <c r="AD142" s="2">
        <f>Z142+AC142</f>
        <v>4000</v>
      </c>
      <c r="AF142" s="28">
        <f t="shared" si="65"/>
        <v>4000</v>
      </c>
      <c r="AG142" s="55" t="s">
        <v>125</v>
      </c>
      <c r="AI142" s="20" t="s">
        <v>45</v>
      </c>
      <c r="AJ142" s="2">
        <f t="shared" si="71"/>
        <v>4000</v>
      </c>
      <c r="AN142" s="29">
        <f t="shared" si="72"/>
        <v>1</v>
      </c>
      <c r="AO142" s="29" t="e">
        <f>AN142-AB142</f>
        <v>#DIV/0!</v>
      </c>
      <c r="AP142" s="3" t="s">
        <v>29</v>
      </c>
      <c r="AQ142" s="1" t="s">
        <v>190</v>
      </c>
      <c r="AR142" s="31">
        <f t="shared" si="73"/>
        <v>0</v>
      </c>
      <c r="AS142" s="31">
        <f t="shared" si="74"/>
        <v>0</v>
      </c>
      <c r="AT142" s="31">
        <f t="shared" ref="AT142:AT149" si="83">IF(BZ142&lt;&gt;"", AF142-BZ142, 0)</f>
        <v>0</v>
      </c>
      <c r="AU142" s="31">
        <f t="shared" si="75"/>
        <v>0</v>
      </c>
      <c r="AV142" s="31">
        <f t="shared" si="76"/>
        <v>0</v>
      </c>
      <c r="AW142" s="31">
        <f t="shared" si="77"/>
        <v>0</v>
      </c>
      <c r="AX142" s="31">
        <f t="shared" si="78"/>
        <v>0</v>
      </c>
      <c r="AY142" s="31">
        <f t="shared" si="79"/>
        <v>0</v>
      </c>
      <c r="AZ142" s="31">
        <f t="shared" si="80"/>
        <v>0</v>
      </c>
      <c r="BA142" s="31">
        <f t="shared" si="81"/>
        <v>0</v>
      </c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35"/>
      <c r="CW142" s="35"/>
      <c r="CX142" s="35"/>
      <c r="CY142" s="35"/>
      <c r="CZ142" s="35"/>
      <c r="DA142" s="35"/>
      <c r="DB142" s="35"/>
      <c r="DC142" s="35"/>
      <c r="DD142" s="40"/>
      <c r="DE142" s="40"/>
      <c r="DF142" s="40"/>
      <c r="DG142" s="40"/>
      <c r="DH142" s="40"/>
      <c r="DI142" s="40"/>
      <c r="DJ142" s="40"/>
      <c r="DK142" s="40"/>
      <c r="DL142" s="35"/>
      <c r="DM142" s="35"/>
      <c r="DN142" s="35"/>
      <c r="DO142" s="35"/>
      <c r="DP142" s="35"/>
      <c r="DQ142" s="35"/>
      <c r="DR142" s="35"/>
      <c r="DS142" s="35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40"/>
      <c r="ES142" s="40"/>
      <c r="ET142" s="40"/>
      <c r="EU142" s="40"/>
      <c r="EV142" s="40"/>
      <c r="EW142" s="40"/>
      <c r="EX142" s="40"/>
      <c r="EY142" s="40"/>
      <c r="EZ142" s="35"/>
      <c r="FA142" s="35"/>
      <c r="FB142" s="35"/>
      <c r="FC142" s="35"/>
      <c r="FD142" s="35"/>
      <c r="FE142" s="35"/>
      <c r="FF142" s="35"/>
      <c r="FG142" s="35"/>
    </row>
    <row r="143" spans="1:163">
      <c r="A143" s="62">
        <v>288</v>
      </c>
      <c r="E143" s="63" t="s">
        <v>218</v>
      </c>
      <c r="F143" s="56" t="s">
        <v>96</v>
      </c>
      <c r="G143" s="70" t="s">
        <v>662</v>
      </c>
      <c r="H143" s="66" t="str">
        <f t="shared" si="67"/>
        <v xml:space="preserve"> 113</v>
      </c>
      <c r="I143" s="67" t="s">
        <v>662</v>
      </c>
      <c r="J143" s="68">
        <f t="shared" si="68"/>
        <v>0</v>
      </c>
      <c r="K143" s="63" t="s">
        <v>291</v>
      </c>
      <c r="L143" s="1" t="s">
        <v>46</v>
      </c>
      <c r="O143" s="64" t="s">
        <v>789</v>
      </c>
      <c r="P143" s="82">
        <v>0</v>
      </c>
      <c r="Q143" s="74">
        <f t="shared" si="82"/>
        <v>85000</v>
      </c>
      <c r="R143" s="71">
        <v>85000</v>
      </c>
      <c r="S143" s="72">
        <f t="shared" si="56"/>
        <v>9550</v>
      </c>
      <c r="T143" s="68" t="s">
        <v>791</v>
      </c>
      <c r="U143" s="73">
        <f t="shared" si="57"/>
        <v>75450</v>
      </c>
      <c r="V143" s="73">
        <f>2000+5500+600+200+250+1000</f>
        <v>9550</v>
      </c>
      <c r="W143" s="2">
        <f t="shared" si="69"/>
        <v>85000</v>
      </c>
      <c r="Y143" s="80">
        <f t="shared" si="70"/>
        <v>85000</v>
      </c>
      <c r="Z143" s="93"/>
      <c r="AA143" s="93"/>
      <c r="AB143" s="94"/>
      <c r="AE143" s="2">
        <v>250000</v>
      </c>
      <c r="AF143" s="28">
        <f t="shared" si="65"/>
        <v>250000</v>
      </c>
      <c r="AG143" s="55" t="s">
        <v>125</v>
      </c>
      <c r="AI143" s="20" t="s">
        <v>45</v>
      </c>
      <c r="AJ143" s="2">
        <f t="shared" si="71"/>
        <v>165000</v>
      </c>
      <c r="AN143" s="29">
        <f t="shared" si="72"/>
        <v>0.66</v>
      </c>
      <c r="AP143" s="3" t="s">
        <v>158</v>
      </c>
      <c r="AR143" s="31">
        <f t="shared" si="73"/>
        <v>0</v>
      </c>
      <c r="AS143" s="31">
        <f t="shared" si="74"/>
        <v>0</v>
      </c>
      <c r="AT143" s="31">
        <f t="shared" si="83"/>
        <v>0</v>
      </c>
      <c r="AU143" s="31">
        <f t="shared" si="75"/>
        <v>0</v>
      </c>
      <c r="AV143" s="31">
        <f t="shared" si="76"/>
        <v>0</v>
      </c>
      <c r="AW143" s="31">
        <f t="shared" si="77"/>
        <v>0</v>
      </c>
      <c r="AX143" s="31">
        <f t="shared" si="78"/>
        <v>0</v>
      </c>
      <c r="AY143" s="31">
        <f t="shared" si="79"/>
        <v>0</v>
      </c>
      <c r="AZ143" s="31">
        <f t="shared" si="80"/>
        <v>0</v>
      </c>
      <c r="BA143" s="31">
        <f t="shared" si="81"/>
        <v>0</v>
      </c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41"/>
      <c r="BM143" s="41"/>
      <c r="BN143" s="41"/>
      <c r="BO143" s="37"/>
      <c r="BP143" s="38"/>
      <c r="BQ143" s="37"/>
      <c r="BR143" s="40"/>
      <c r="BS143" s="39"/>
      <c r="BT143" s="39"/>
      <c r="BU143" s="39"/>
      <c r="BV143" s="39"/>
      <c r="BW143" s="39"/>
      <c r="BX143" s="36"/>
      <c r="BY143" s="33"/>
      <c r="BZ143" s="33"/>
      <c r="CA143" s="33"/>
      <c r="CB143" s="34"/>
      <c r="CC143" s="33"/>
      <c r="CD143" s="35"/>
      <c r="CE143" s="48"/>
      <c r="CF143" s="48"/>
      <c r="CG143" s="48"/>
      <c r="CH143" s="48"/>
      <c r="CI143" s="48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35"/>
      <c r="CW143" s="35"/>
      <c r="CX143" s="35"/>
      <c r="CY143" s="35"/>
      <c r="CZ143" s="35"/>
      <c r="DA143" s="35"/>
      <c r="DB143" s="35"/>
      <c r="DC143" s="35"/>
      <c r="DD143" s="40"/>
      <c r="DE143" s="40"/>
      <c r="DF143" s="40"/>
      <c r="DG143" s="40"/>
      <c r="DH143" s="40"/>
      <c r="DI143" s="40"/>
      <c r="DJ143" s="40"/>
      <c r="DK143" s="40"/>
      <c r="DL143" s="35"/>
      <c r="DM143" s="35"/>
      <c r="DN143" s="35"/>
      <c r="DO143" s="35"/>
      <c r="DP143" s="35"/>
      <c r="DQ143" s="35"/>
      <c r="DR143" s="35"/>
      <c r="DS143" s="35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40"/>
      <c r="ES143" s="40"/>
      <c r="ET143" s="40"/>
      <c r="EU143" s="40"/>
      <c r="EV143" s="40"/>
      <c r="EW143" s="40"/>
      <c r="EX143" s="40"/>
      <c r="EY143" s="40"/>
      <c r="EZ143" s="35"/>
      <c r="FA143" s="35"/>
      <c r="FB143" s="35"/>
      <c r="FC143" s="35"/>
      <c r="FD143" s="35"/>
      <c r="FE143" s="35"/>
      <c r="FF143" s="35"/>
      <c r="FG143" s="35"/>
    </row>
    <row r="144" spans="1:163">
      <c r="A144" s="60">
        <v>142</v>
      </c>
      <c r="E144" s="63" t="s">
        <v>65</v>
      </c>
      <c r="F144" s="56" t="s">
        <v>124</v>
      </c>
      <c r="G144" s="70" t="s">
        <v>521</v>
      </c>
      <c r="H144" s="66" t="str">
        <f t="shared" si="67"/>
        <v xml:space="preserve"> 362</v>
      </c>
      <c r="I144" s="67" t="s">
        <v>521</v>
      </c>
      <c r="J144" s="68">
        <f t="shared" si="68"/>
        <v>0</v>
      </c>
      <c r="K144" s="63" t="s">
        <v>291</v>
      </c>
      <c r="L144" s="1" t="s">
        <v>46</v>
      </c>
      <c r="O144" s="88" t="s">
        <v>790</v>
      </c>
      <c r="P144" s="89">
        <v>0</v>
      </c>
      <c r="Q144" s="90">
        <f t="shared" si="82"/>
        <v>83000</v>
      </c>
      <c r="R144" s="71">
        <v>83000</v>
      </c>
      <c r="S144" s="72">
        <f t="shared" si="56"/>
        <v>8250</v>
      </c>
      <c r="T144" s="68" t="s">
        <v>791</v>
      </c>
      <c r="U144" s="73">
        <f t="shared" si="57"/>
        <v>74750</v>
      </c>
      <c r="V144" s="75">
        <f>2000+5200+600+200+250</f>
        <v>8250</v>
      </c>
      <c r="W144" s="2">
        <f t="shared" si="69"/>
        <v>83000</v>
      </c>
      <c r="Y144" s="81">
        <f t="shared" si="70"/>
        <v>83000</v>
      </c>
      <c r="Z144" s="96">
        <v>0</v>
      </c>
      <c r="AA144" s="97">
        <f>U144-Z144</f>
        <v>74750</v>
      </c>
      <c r="AB144" s="98" t="e">
        <f>AA144/Z144</f>
        <v>#DIV/0!</v>
      </c>
      <c r="AC144" s="2">
        <v>3000</v>
      </c>
      <c r="AD144" s="2">
        <f>Z144+AC144</f>
        <v>3000</v>
      </c>
      <c r="AF144" s="28">
        <f t="shared" si="65"/>
        <v>3000</v>
      </c>
      <c r="AG144" s="55" t="s">
        <v>125</v>
      </c>
      <c r="AI144" s="20" t="s">
        <v>45</v>
      </c>
      <c r="AJ144" s="2">
        <f t="shared" si="71"/>
        <v>-80000</v>
      </c>
      <c r="AN144" s="29">
        <f t="shared" si="72"/>
        <v>-26.666666666666668</v>
      </c>
      <c r="AO144" s="29" t="e">
        <f>AN144-AB144</f>
        <v>#DIV/0!</v>
      </c>
      <c r="AP144" s="3" t="s">
        <v>29</v>
      </c>
      <c r="AQ144" s="1" t="s">
        <v>171</v>
      </c>
      <c r="AR144" s="31">
        <f t="shared" si="73"/>
        <v>0</v>
      </c>
      <c r="AS144" s="31">
        <f t="shared" si="74"/>
        <v>0</v>
      </c>
      <c r="AT144" s="31">
        <f t="shared" si="83"/>
        <v>0</v>
      </c>
      <c r="AU144" s="31">
        <f t="shared" si="75"/>
        <v>0</v>
      </c>
      <c r="AV144" s="31">
        <f t="shared" si="76"/>
        <v>0</v>
      </c>
      <c r="AW144" s="31">
        <f t="shared" si="77"/>
        <v>0</v>
      </c>
      <c r="AX144" s="31">
        <f t="shared" si="78"/>
        <v>0</v>
      </c>
      <c r="AY144" s="31">
        <f t="shared" si="79"/>
        <v>0</v>
      </c>
      <c r="AZ144" s="31">
        <f t="shared" si="80"/>
        <v>0</v>
      </c>
      <c r="BA144" s="31">
        <f t="shared" si="81"/>
        <v>0</v>
      </c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41"/>
      <c r="BM144" s="41"/>
      <c r="BN144" s="41"/>
      <c r="BO144" s="37"/>
      <c r="BP144" s="38"/>
      <c r="BQ144" s="37"/>
      <c r="BR144" s="40"/>
      <c r="BS144" s="39"/>
      <c r="BT144" s="39"/>
      <c r="BU144" s="39"/>
      <c r="BV144" s="39"/>
      <c r="BW144" s="39"/>
      <c r="BX144" s="36"/>
      <c r="BY144" s="33"/>
      <c r="BZ144" s="33"/>
      <c r="CA144" s="33"/>
      <c r="CB144" s="34"/>
      <c r="CC144" s="33"/>
      <c r="CD144" s="35"/>
      <c r="CE144" s="48"/>
      <c r="CF144" s="48"/>
      <c r="CG144" s="48"/>
      <c r="CH144" s="48"/>
      <c r="CI144" s="48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35"/>
      <c r="CW144" s="35"/>
      <c r="CX144" s="35"/>
      <c r="CY144" s="35"/>
      <c r="CZ144" s="35"/>
      <c r="DA144" s="35"/>
      <c r="DB144" s="35"/>
      <c r="DC144" s="35"/>
      <c r="DD144" s="40"/>
      <c r="DE144" s="40"/>
      <c r="DF144" s="40"/>
      <c r="DG144" s="40"/>
      <c r="DH144" s="40"/>
      <c r="DI144" s="40"/>
      <c r="DJ144" s="40"/>
      <c r="DK144" s="40"/>
      <c r="DL144" s="35"/>
      <c r="DM144" s="35"/>
      <c r="DN144" s="35"/>
      <c r="DO144" s="35"/>
      <c r="DP144" s="35"/>
      <c r="DQ144" s="35"/>
      <c r="DR144" s="35"/>
      <c r="DS144" s="35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40"/>
      <c r="ES144" s="40"/>
      <c r="ET144" s="40"/>
      <c r="EU144" s="40"/>
      <c r="EV144" s="40"/>
      <c r="EW144" s="40"/>
      <c r="EX144" s="40"/>
      <c r="EY144" s="40"/>
      <c r="EZ144" s="35"/>
      <c r="FA144" s="35"/>
      <c r="FB144" s="35"/>
      <c r="FC144" s="35"/>
      <c r="FD144" s="35"/>
      <c r="FE144" s="35"/>
      <c r="FF144" s="35"/>
      <c r="FG144" s="35"/>
    </row>
    <row r="145" spans="1:163">
      <c r="A145" s="62">
        <v>380</v>
      </c>
      <c r="E145" s="63" t="s">
        <v>231</v>
      </c>
      <c r="F145" s="56" t="s">
        <v>80</v>
      </c>
      <c r="G145" s="70" t="s">
        <v>748</v>
      </c>
      <c r="H145" s="66" t="str">
        <f t="shared" si="67"/>
        <v xml:space="preserve"> 326</v>
      </c>
      <c r="I145" s="67" t="s">
        <v>748</v>
      </c>
      <c r="J145" s="68">
        <f t="shared" si="68"/>
        <v>0</v>
      </c>
      <c r="K145" s="63" t="s">
        <v>377</v>
      </c>
      <c r="L145" s="1" t="s">
        <v>46</v>
      </c>
      <c r="O145" s="64" t="s">
        <v>789</v>
      </c>
      <c r="P145" s="82">
        <v>0</v>
      </c>
      <c r="Q145" s="74">
        <f t="shared" si="82"/>
        <v>58000</v>
      </c>
      <c r="R145" s="71">
        <v>58000</v>
      </c>
      <c r="S145" s="72">
        <f t="shared" si="56"/>
        <v>7900</v>
      </c>
      <c r="T145" s="68" t="s">
        <v>791</v>
      </c>
      <c r="U145" s="73">
        <f t="shared" si="57"/>
        <v>50100</v>
      </c>
      <c r="V145" s="75">
        <f>2000+600+200+250+4850</f>
        <v>7900</v>
      </c>
      <c r="W145" s="2">
        <f t="shared" si="69"/>
        <v>58000</v>
      </c>
      <c r="Y145" s="80">
        <f t="shared" si="70"/>
        <v>58000</v>
      </c>
      <c r="Z145" s="93"/>
      <c r="AA145" s="93"/>
      <c r="AB145" s="94"/>
      <c r="AC145" s="2">
        <v>2500</v>
      </c>
      <c r="AD145" s="2">
        <f>Z145+AC145</f>
        <v>2500</v>
      </c>
      <c r="AF145" s="28">
        <f t="shared" si="65"/>
        <v>0</v>
      </c>
      <c r="AG145" s="55" t="s">
        <v>125</v>
      </c>
      <c r="AI145" s="20" t="s">
        <v>204</v>
      </c>
      <c r="AJ145" s="2">
        <f t="shared" si="71"/>
        <v>-58000</v>
      </c>
      <c r="AN145" s="29" t="e">
        <f t="shared" si="72"/>
        <v>#DIV/0!</v>
      </c>
      <c r="AO145" s="29" t="e">
        <f>AN145-AB145</f>
        <v>#DIV/0!</v>
      </c>
      <c r="AP145" s="3" t="s">
        <v>140</v>
      </c>
      <c r="AQ145" s="1" t="s">
        <v>201</v>
      </c>
      <c r="AR145" s="31">
        <f t="shared" si="73"/>
        <v>0</v>
      </c>
      <c r="AS145" s="31">
        <f t="shared" si="74"/>
        <v>0</v>
      </c>
      <c r="AT145" s="31">
        <f t="shared" si="83"/>
        <v>0</v>
      </c>
      <c r="AU145" s="31">
        <f t="shared" si="75"/>
        <v>0</v>
      </c>
      <c r="AV145" s="31">
        <f t="shared" si="76"/>
        <v>-71631</v>
      </c>
      <c r="AW145" s="31">
        <f t="shared" si="77"/>
        <v>0</v>
      </c>
      <c r="AX145" s="31">
        <f t="shared" si="78"/>
        <v>-71669</v>
      </c>
      <c r="AY145" s="31">
        <f t="shared" si="79"/>
        <v>-71537</v>
      </c>
      <c r="AZ145" s="31">
        <f t="shared" si="80"/>
        <v>0</v>
      </c>
      <c r="BA145" s="31">
        <f t="shared" si="81"/>
        <v>0</v>
      </c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41">
        <v>69131</v>
      </c>
      <c r="CK145" s="41">
        <v>2500</v>
      </c>
      <c r="CL145" s="37">
        <f>CJ145+CK145</f>
        <v>71631</v>
      </c>
      <c r="CM145" s="37">
        <f>CL145-Y145</f>
        <v>13631</v>
      </c>
      <c r="CN145" s="38">
        <f>CM145/CJ145</f>
        <v>0.19717637528749765</v>
      </c>
      <c r="CO145" s="37">
        <f>AF145-CL145</f>
        <v>-71631</v>
      </c>
      <c r="CP145" s="40" t="s">
        <v>29</v>
      </c>
      <c r="CQ145" s="39"/>
      <c r="CR145" s="39"/>
      <c r="CS145" s="39"/>
      <c r="CT145" s="39"/>
      <c r="CU145" s="39"/>
      <c r="CV145" s="35"/>
      <c r="CW145" s="35"/>
      <c r="CX145" s="35"/>
      <c r="CY145" s="35"/>
      <c r="CZ145" s="35"/>
      <c r="DA145" s="35"/>
      <c r="DB145" s="35"/>
      <c r="DC145" s="35"/>
      <c r="DD145" s="39"/>
      <c r="DE145" s="39"/>
      <c r="DF145" s="39"/>
      <c r="DG145" s="39"/>
      <c r="DH145" s="39"/>
      <c r="DI145" s="39"/>
      <c r="DJ145" s="39"/>
      <c r="DK145" s="39"/>
      <c r="DL145" s="43"/>
      <c r="DM145" s="43"/>
      <c r="DN145" s="43"/>
      <c r="DO145" s="43"/>
      <c r="DP145" s="43"/>
      <c r="DQ145" s="43"/>
      <c r="DR145" s="43"/>
      <c r="DS145" s="43"/>
      <c r="DT145" s="41">
        <v>69169</v>
      </c>
      <c r="DU145" s="37">
        <v>2500</v>
      </c>
      <c r="DV145" s="41">
        <f>DT145+DU145</f>
        <v>71669</v>
      </c>
      <c r="DW145" s="37">
        <f>DV145-Y145</f>
        <v>13669</v>
      </c>
      <c r="DX145" s="38">
        <f>DW145/DV145</f>
        <v>0.19072402293878804</v>
      </c>
      <c r="DY145" s="37">
        <f>AF145-DV145</f>
        <v>-71669</v>
      </c>
      <c r="DZ145" s="40" t="s">
        <v>29</v>
      </c>
      <c r="EA145" s="40"/>
      <c r="EB145" s="40"/>
      <c r="EC145" s="40"/>
      <c r="ED145" s="40"/>
      <c r="EE145" s="40"/>
      <c r="EF145" s="33">
        <v>69037</v>
      </c>
      <c r="EG145" s="33">
        <v>2500</v>
      </c>
      <c r="EH145" s="33">
        <f>EF145+EG145</f>
        <v>71537</v>
      </c>
      <c r="EI145" s="33">
        <f>EH145-Y145</f>
        <v>13537</v>
      </c>
      <c r="EJ145" s="44">
        <f>EI145/EH145</f>
        <v>0.18923074772495352</v>
      </c>
      <c r="EK145" s="45">
        <f>AF145-EH145</f>
        <v>-71537</v>
      </c>
      <c r="EL145" s="43" t="s">
        <v>29</v>
      </c>
      <c r="EM145" s="43"/>
      <c r="EN145" s="43"/>
      <c r="EO145" s="43"/>
      <c r="EP145" s="43"/>
      <c r="EQ145" s="43"/>
      <c r="ER145" s="40"/>
      <c r="ES145" s="40"/>
      <c r="ET145" s="40"/>
      <c r="EU145" s="40"/>
      <c r="EV145" s="40"/>
      <c r="EW145" s="40"/>
      <c r="EX145" s="40"/>
      <c r="EY145" s="40"/>
      <c r="EZ145" s="35"/>
      <c r="FA145" s="35"/>
      <c r="FB145" s="35"/>
      <c r="FC145" s="35"/>
      <c r="FD145" s="35"/>
      <c r="FE145" s="35"/>
      <c r="FF145" s="35"/>
      <c r="FG145" s="35"/>
    </row>
    <row r="146" spans="1:163">
      <c r="A146" s="60">
        <v>91</v>
      </c>
      <c r="E146" s="63" t="s">
        <v>113</v>
      </c>
      <c r="F146" s="56" t="s">
        <v>115</v>
      </c>
      <c r="G146" s="70" t="s">
        <v>472</v>
      </c>
      <c r="H146" s="66" t="str">
        <f t="shared" si="67"/>
        <v xml:space="preserve"> 170</v>
      </c>
      <c r="I146" s="67" t="s">
        <v>472</v>
      </c>
      <c r="J146" s="68">
        <f t="shared" si="68"/>
        <v>0</v>
      </c>
      <c r="K146" s="63" t="s">
        <v>275</v>
      </c>
      <c r="L146" s="1" t="s">
        <v>46</v>
      </c>
      <c r="O146" s="64" t="s">
        <v>789</v>
      </c>
      <c r="P146" s="82">
        <v>0</v>
      </c>
      <c r="Q146" s="74">
        <f t="shared" si="82"/>
        <v>65000</v>
      </c>
      <c r="R146" s="71">
        <v>65000</v>
      </c>
      <c r="S146" s="72">
        <f t="shared" si="56"/>
        <v>7900</v>
      </c>
      <c r="T146" s="68" t="s">
        <v>791</v>
      </c>
      <c r="U146" s="73">
        <f t="shared" si="57"/>
        <v>57100</v>
      </c>
      <c r="V146" s="73">
        <f>2000+4850+600+200+250</f>
        <v>7900</v>
      </c>
      <c r="W146" s="2">
        <f t="shared" si="69"/>
        <v>65000</v>
      </c>
      <c r="Y146" s="80">
        <f t="shared" si="70"/>
        <v>65000</v>
      </c>
      <c r="Z146" s="93"/>
      <c r="AA146" s="93"/>
      <c r="AB146" s="94"/>
      <c r="AE146" s="2">
        <v>93000</v>
      </c>
      <c r="AF146" s="28">
        <f t="shared" si="65"/>
        <v>93000</v>
      </c>
      <c r="AG146" s="55" t="s">
        <v>125</v>
      </c>
      <c r="AI146" s="20" t="s">
        <v>45</v>
      </c>
      <c r="AJ146" s="2">
        <f t="shared" si="71"/>
        <v>28000</v>
      </c>
      <c r="AN146" s="29">
        <f t="shared" si="72"/>
        <v>0.30107526881720431</v>
      </c>
      <c r="AP146" s="3" t="s">
        <v>29</v>
      </c>
      <c r="AQ146" s="1" t="s">
        <v>153</v>
      </c>
      <c r="AR146" s="31">
        <f t="shared" si="73"/>
        <v>0</v>
      </c>
      <c r="AS146" s="31">
        <f t="shared" si="74"/>
        <v>0</v>
      </c>
      <c r="AT146" s="31">
        <f t="shared" si="83"/>
        <v>0</v>
      </c>
      <c r="AU146" s="31">
        <f t="shared" si="75"/>
        <v>0</v>
      </c>
      <c r="AV146" s="31">
        <f t="shared" si="76"/>
        <v>0</v>
      </c>
      <c r="AW146" s="31">
        <f t="shared" si="77"/>
        <v>0</v>
      </c>
      <c r="AX146" s="31">
        <f t="shared" si="78"/>
        <v>0</v>
      </c>
      <c r="AY146" s="31">
        <f t="shared" si="79"/>
        <v>0</v>
      </c>
      <c r="AZ146" s="31">
        <f t="shared" si="80"/>
        <v>0</v>
      </c>
      <c r="BA146" s="31">
        <f t="shared" si="81"/>
        <v>0</v>
      </c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41"/>
      <c r="BM146" s="41"/>
      <c r="BN146" s="41"/>
      <c r="BO146" s="37"/>
      <c r="BP146" s="38"/>
      <c r="BQ146" s="37"/>
      <c r="BR146" s="40"/>
      <c r="BS146" s="39"/>
      <c r="BT146" s="39"/>
      <c r="BU146" s="39"/>
      <c r="BV146" s="39"/>
      <c r="BW146" s="39"/>
      <c r="BX146" s="36"/>
      <c r="BY146" s="33"/>
      <c r="BZ146" s="33"/>
      <c r="CA146" s="33"/>
      <c r="CB146" s="34"/>
      <c r="CC146" s="33"/>
      <c r="CD146" s="35"/>
      <c r="CE146" s="48"/>
      <c r="CF146" s="48"/>
      <c r="CG146" s="48"/>
      <c r="CH146" s="48"/>
      <c r="CI146" s="48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35"/>
      <c r="CW146" s="35"/>
      <c r="CX146" s="35"/>
      <c r="CY146" s="35"/>
      <c r="CZ146" s="35"/>
      <c r="DA146" s="35"/>
      <c r="DB146" s="35"/>
      <c r="DC146" s="35"/>
      <c r="DD146" s="40"/>
      <c r="DE146" s="40"/>
      <c r="DF146" s="40"/>
      <c r="DG146" s="40"/>
      <c r="DH146" s="40"/>
      <c r="DI146" s="40"/>
      <c r="DJ146" s="40"/>
      <c r="DK146" s="40"/>
      <c r="DL146" s="35"/>
      <c r="DM146" s="35"/>
      <c r="DN146" s="35"/>
      <c r="DO146" s="35"/>
      <c r="DP146" s="35"/>
      <c r="DQ146" s="35"/>
      <c r="DR146" s="35"/>
      <c r="DS146" s="35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40"/>
      <c r="ES146" s="40"/>
      <c r="ET146" s="40"/>
      <c r="EU146" s="40"/>
      <c r="EV146" s="40"/>
      <c r="EW146" s="40"/>
      <c r="EX146" s="40"/>
      <c r="EY146" s="40"/>
      <c r="EZ146" s="35"/>
      <c r="FA146" s="35"/>
      <c r="FB146" s="35"/>
      <c r="FC146" s="35"/>
      <c r="FD146" s="35"/>
      <c r="FE146" s="35"/>
      <c r="FF146" s="35"/>
      <c r="FG146" s="35"/>
    </row>
    <row r="147" spans="1:163">
      <c r="A147" s="62">
        <v>92</v>
      </c>
      <c r="E147" s="63" t="s">
        <v>113</v>
      </c>
      <c r="F147" s="56" t="s">
        <v>57</v>
      </c>
      <c r="G147" s="70" t="s">
        <v>473</v>
      </c>
      <c r="H147" s="66" t="str">
        <f t="shared" si="67"/>
        <v xml:space="preserve"> 125</v>
      </c>
      <c r="I147" s="67" t="s">
        <v>473</v>
      </c>
      <c r="J147" s="68">
        <f t="shared" si="68"/>
        <v>0</v>
      </c>
      <c r="K147" s="63" t="s">
        <v>275</v>
      </c>
      <c r="L147" s="1" t="s">
        <v>46</v>
      </c>
      <c r="O147" s="64" t="s">
        <v>789</v>
      </c>
      <c r="P147" s="82">
        <v>0</v>
      </c>
      <c r="Q147" s="74">
        <f t="shared" si="82"/>
        <v>65000</v>
      </c>
      <c r="R147" s="71">
        <v>65000</v>
      </c>
      <c r="S147" s="72">
        <f t="shared" si="56"/>
        <v>7900</v>
      </c>
      <c r="T147" s="68" t="s">
        <v>791</v>
      </c>
      <c r="U147" s="73">
        <f t="shared" si="57"/>
        <v>57100</v>
      </c>
      <c r="V147" s="73">
        <f>2000+4850+600+200+250</f>
        <v>7900</v>
      </c>
      <c r="W147" s="2">
        <f t="shared" si="69"/>
        <v>65000</v>
      </c>
      <c r="Y147" s="80">
        <f t="shared" si="70"/>
        <v>65000</v>
      </c>
      <c r="Z147" s="93"/>
      <c r="AA147" s="93"/>
      <c r="AB147" s="94"/>
      <c r="AE147" s="2">
        <v>92000</v>
      </c>
      <c r="AF147" s="28">
        <f t="shared" si="65"/>
        <v>92000</v>
      </c>
      <c r="AG147" s="55" t="s">
        <v>125</v>
      </c>
      <c r="AI147" s="20" t="s">
        <v>206</v>
      </c>
      <c r="AJ147" s="2">
        <f t="shared" si="71"/>
        <v>27000</v>
      </c>
      <c r="AN147" s="29">
        <f t="shared" si="72"/>
        <v>0.29347826086956524</v>
      </c>
      <c r="AP147" s="3" t="s">
        <v>140</v>
      </c>
      <c r="AQ147" s="1" t="s">
        <v>138</v>
      </c>
      <c r="AR147" s="31">
        <f t="shared" si="73"/>
        <v>-7300</v>
      </c>
      <c r="AS147" s="31">
        <f t="shared" si="74"/>
        <v>0</v>
      </c>
      <c r="AT147" s="31">
        <f t="shared" si="83"/>
        <v>0</v>
      </c>
      <c r="AU147" s="31">
        <f t="shared" si="75"/>
        <v>0</v>
      </c>
      <c r="AV147" s="31">
        <f t="shared" si="76"/>
        <v>0</v>
      </c>
      <c r="AW147" s="31">
        <f t="shared" si="77"/>
        <v>1963</v>
      </c>
      <c r="AX147" s="31">
        <f t="shared" si="78"/>
        <v>0</v>
      </c>
      <c r="AY147" s="31">
        <f t="shared" si="79"/>
        <v>0</v>
      </c>
      <c r="AZ147" s="31">
        <f t="shared" si="80"/>
        <v>0</v>
      </c>
      <c r="BA147" s="31">
        <f t="shared" si="81"/>
        <v>0</v>
      </c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41">
        <v>96300</v>
      </c>
      <c r="BM147" s="41">
        <v>3000</v>
      </c>
      <c r="BN147" s="41">
        <f>BL147+BM147</f>
        <v>99300</v>
      </c>
      <c r="BO147" s="37">
        <f>BN147-Y147</f>
        <v>34300</v>
      </c>
      <c r="BP147" s="38">
        <f>BO147/BL147</f>
        <v>0.35617860851505712</v>
      </c>
      <c r="BQ147" s="37">
        <f>AF147-BN147</f>
        <v>-7300</v>
      </c>
      <c r="BR147" s="40" t="s">
        <v>131</v>
      </c>
      <c r="BS147" s="39"/>
      <c r="BT147" s="39"/>
      <c r="BU147" s="39"/>
      <c r="BV147" s="39"/>
      <c r="BW147" s="39"/>
      <c r="BX147" s="36"/>
      <c r="BY147" s="33"/>
      <c r="BZ147" s="33"/>
      <c r="CA147" s="33"/>
      <c r="CB147" s="34"/>
      <c r="CC147" s="33"/>
      <c r="CD147" s="35"/>
      <c r="CE147" s="48"/>
      <c r="CF147" s="48"/>
      <c r="CG147" s="48"/>
      <c r="CH147" s="48"/>
      <c r="CI147" s="48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35"/>
      <c r="CW147" s="35"/>
      <c r="CX147" s="35"/>
      <c r="CY147" s="35"/>
      <c r="CZ147" s="35"/>
      <c r="DA147" s="35"/>
      <c r="DB147" s="35"/>
      <c r="DC147" s="35"/>
      <c r="DD147" s="40"/>
      <c r="DE147" s="40"/>
      <c r="DF147" s="40"/>
      <c r="DG147" s="40"/>
      <c r="DH147" s="40"/>
      <c r="DI147" s="40"/>
      <c r="DJ147" s="40"/>
      <c r="DK147" s="40"/>
      <c r="DL147" s="36">
        <v>90037</v>
      </c>
      <c r="DM147" s="33">
        <f>DL147-Y147</f>
        <v>25037</v>
      </c>
      <c r="DN147" s="34">
        <f>DM147/DL147</f>
        <v>0.27807456934371427</v>
      </c>
      <c r="DO147" s="33">
        <f>AF147-DL147</f>
        <v>1963</v>
      </c>
      <c r="DP147" s="35" t="s">
        <v>116</v>
      </c>
      <c r="DQ147" s="35"/>
      <c r="DR147" s="35"/>
      <c r="DS147" s="35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40"/>
      <c r="ES147" s="40"/>
      <c r="ET147" s="40"/>
      <c r="EU147" s="40"/>
      <c r="EV147" s="40"/>
      <c r="EW147" s="40"/>
      <c r="EX147" s="40"/>
      <c r="EY147" s="40"/>
      <c r="EZ147" s="35"/>
      <c r="FA147" s="35"/>
      <c r="FB147" s="35"/>
      <c r="FC147" s="35"/>
      <c r="FD147" s="35"/>
      <c r="FE147" s="35"/>
      <c r="FF147" s="35"/>
      <c r="FG147" s="35"/>
    </row>
    <row r="148" spans="1:163">
      <c r="A148" s="60">
        <v>14</v>
      </c>
      <c r="E148" s="63" t="s">
        <v>211</v>
      </c>
      <c r="F148" s="56" t="s">
        <v>115</v>
      </c>
      <c r="G148" s="70" t="s">
        <v>396</v>
      </c>
      <c r="H148" s="66" t="str">
        <f t="shared" si="67"/>
        <v xml:space="preserve"> 505</v>
      </c>
      <c r="I148" s="67" t="s">
        <v>396</v>
      </c>
      <c r="J148" s="68">
        <f t="shared" si="68"/>
        <v>0</v>
      </c>
      <c r="K148" s="63" t="s">
        <v>247</v>
      </c>
      <c r="L148" s="1" t="s">
        <v>46</v>
      </c>
      <c r="O148" s="64" t="s">
        <v>789</v>
      </c>
      <c r="P148" s="82">
        <v>0</v>
      </c>
      <c r="Q148" s="74">
        <f t="shared" si="82"/>
        <v>82500</v>
      </c>
      <c r="R148" s="71">
        <v>82500</v>
      </c>
      <c r="S148" s="72">
        <f t="shared" si="56"/>
        <v>7900</v>
      </c>
      <c r="T148" s="68" t="s">
        <v>791</v>
      </c>
      <c r="U148" s="73">
        <f t="shared" si="57"/>
        <v>74600</v>
      </c>
      <c r="V148" s="75">
        <f>2000+4850+600+200+250</f>
        <v>7900</v>
      </c>
      <c r="W148" s="2">
        <f t="shared" si="69"/>
        <v>82500</v>
      </c>
      <c r="Y148" s="80">
        <f t="shared" si="70"/>
        <v>82500</v>
      </c>
      <c r="Z148" s="93"/>
      <c r="AA148" s="93"/>
      <c r="AB148" s="94"/>
      <c r="AE148" s="2">
        <v>95000</v>
      </c>
      <c r="AF148" s="28">
        <f t="shared" si="65"/>
        <v>95000</v>
      </c>
      <c r="AG148" s="55" t="s">
        <v>125</v>
      </c>
      <c r="AI148" s="20" t="s">
        <v>45</v>
      </c>
      <c r="AJ148" s="2">
        <f t="shared" si="71"/>
        <v>12500</v>
      </c>
      <c r="AN148" s="29">
        <f t="shared" si="72"/>
        <v>0.13157894736842105</v>
      </c>
      <c r="AP148" s="3" t="s">
        <v>29</v>
      </c>
      <c r="AQ148" s="1" t="s">
        <v>153</v>
      </c>
      <c r="AR148" s="31">
        <f t="shared" si="73"/>
        <v>0</v>
      </c>
      <c r="AS148" s="31">
        <f t="shared" si="74"/>
        <v>0</v>
      </c>
      <c r="AT148" s="31">
        <f t="shared" si="83"/>
        <v>0</v>
      </c>
      <c r="AU148" s="31">
        <f t="shared" si="75"/>
        <v>0</v>
      </c>
      <c r="AV148" s="31">
        <f t="shared" si="76"/>
        <v>0</v>
      </c>
      <c r="AW148" s="31">
        <f t="shared" si="77"/>
        <v>0</v>
      </c>
      <c r="AX148" s="31">
        <f t="shared" si="78"/>
        <v>0</v>
      </c>
      <c r="AY148" s="31">
        <f t="shared" si="79"/>
        <v>0</v>
      </c>
      <c r="AZ148" s="31">
        <f t="shared" si="80"/>
        <v>0</v>
      </c>
      <c r="BA148" s="31">
        <f t="shared" si="81"/>
        <v>0</v>
      </c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41"/>
      <c r="BM148" s="41"/>
      <c r="BN148" s="41"/>
      <c r="BO148" s="37"/>
      <c r="BP148" s="38"/>
      <c r="BQ148" s="37"/>
      <c r="BR148" s="40"/>
      <c r="BS148" s="39"/>
      <c r="BT148" s="39"/>
      <c r="BU148" s="39"/>
      <c r="BV148" s="39"/>
      <c r="BW148" s="39"/>
      <c r="BX148" s="36"/>
      <c r="BY148" s="33"/>
      <c r="BZ148" s="33"/>
      <c r="CA148" s="33"/>
      <c r="CB148" s="34"/>
      <c r="CC148" s="33"/>
      <c r="CD148" s="35"/>
      <c r="CE148" s="48"/>
      <c r="CF148" s="48"/>
      <c r="CG148" s="48"/>
      <c r="CH148" s="48"/>
      <c r="CI148" s="48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35"/>
      <c r="CW148" s="35"/>
      <c r="CX148" s="35"/>
      <c r="CY148" s="35"/>
      <c r="CZ148" s="35"/>
      <c r="DA148" s="35"/>
      <c r="DB148" s="35"/>
      <c r="DC148" s="35"/>
      <c r="DD148" s="40"/>
      <c r="DE148" s="40"/>
      <c r="DF148" s="40"/>
      <c r="DG148" s="40"/>
      <c r="DH148" s="40"/>
      <c r="DI148" s="40"/>
      <c r="DJ148" s="40"/>
      <c r="DK148" s="40"/>
      <c r="DL148" s="35"/>
      <c r="DM148" s="35"/>
      <c r="DN148" s="35"/>
      <c r="DO148" s="35"/>
      <c r="DP148" s="35"/>
      <c r="DQ148" s="35"/>
      <c r="DR148" s="35"/>
      <c r="DS148" s="35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40"/>
      <c r="ES148" s="40"/>
      <c r="ET148" s="40"/>
      <c r="EU148" s="40"/>
      <c r="EV148" s="40"/>
      <c r="EW148" s="40"/>
      <c r="EX148" s="40"/>
      <c r="EY148" s="40"/>
      <c r="EZ148" s="35"/>
      <c r="FA148" s="35"/>
      <c r="FB148" s="35"/>
      <c r="FC148" s="35"/>
      <c r="FD148" s="35"/>
      <c r="FE148" s="35"/>
      <c r="FF148" s="35"/>
      <c r="FG148" s="35"/>
    </row>
    <row r="149" spans="1:163">
      <c r="A149" s="60">
        <v>17</v>
      </c>
      <c r="E149" s="63" t="s">
        <v>211</v>
      </c>
      <c r="F149" s="56" t="s">
        <v>114</v>
      </c>
      <c r="G149" s="70" t="s">
        <v>399</v>
      </c>
      <c r="H149" s="66" t="str">
        <f t="shared" si="67"/>
        <v xml:space="preserve"> 948</v>
      </c>
      <c r="I149" s="67" t="s">
        <v>399</v>
      </c>
      <c r="J149" s="68">
        <f t="shared" si="68"/>
        <v>0</v>
      </c>
      <c r="K149" s="63" t="s">
        <v>247</v>
      </c>
      <c r="L149" s="1" t="s">
        <v>46</v>
      </c>
      <c r="O149" s="64" t="s">
        <v>789</v>
      </c>
      <c r="P149" s="82">
        <v>0</v>
      </c>
      <c r="Q149" s="74">
        <f t="shared" si="82"/>
        <v>95000</v>
      </c>
      <c r="R149" s="71">
        <v>95000</v>
      </c>
      <c r="S149" s="72">
        <f t="shared" si="56"/>
        <v>8150</v>
      </c>
      <c r="T149" s="68" t="s">
        <v>791</v>
      </c>
      <c r="U149" s="73">
        <f t="shared" si="57"/>
        <v>86850</v>
      </c>
      <c r="V149" s="73">
        <f>2000+5100+600+200+250</f>
        <v>8150</v>
      </c>
      <c r="W149" s="2">
        <f t="shared" si="69"/>
        <v>95000</v>
      </c>
      <c r="Y149" s="80">
        <f t="shared" si="70"/>
        <v>95000</v>
      </c>
      <c r="Z149" s="93"/>
      <c r="AA149" s="93"/>
      <c r="AB149" s="94"/>
      <c r="AE149" s="2">
        <v>112000</v>
      </c>
      <c r="AF149" s="28">
        <f t="shared" si="65"/>
        <v>112000</v>
      </c>
      <c r="AG149" s="55" t="s">
        <v>125</v>
      </c>
      <c r="AI149" s="20" t="s">
        <v>206</v>
      </c>
      <c r="AJ149" s="2">
        <f t="shared" si="71"/>
        <v>17000</v>
      </c>
      <c r="AN149" s="29">
        <f t="shared" si="72"/>
        <v>0.15178571428571427</v>
      </c>
      <c r="AP149" s="3" t="s">
        <v>29</v>
      </c>
      <c r="AQ149" s="1" t="s">
        <v>154</v>
      </c>
      <c r="AR149" s="31">
        <f t="shared" si="73"/>
        <v>0</v>
      </c>
      <c r="AS149" s="31">
        <f t="shared" si="74"/>
        <v>0</v>
      </c>
      <c r="AT149" s="31">
        <f t="shared" si="83"/>
        <v>0</v>
      </c>
      <c r="AU149" s="31">
        <f t="shared" si="75"/>
        <v>0</v>
      </c>
      <c r="AV149" s="31">
        <f t="shared" si="76"/>
        <v>0</v>
      </c>
      <c r="AW149" s="31">
        <f t="shared" si="77"/>
        <v>0</v>
      </c>
      <c r="AX149" s="31">
        <f t="shared" si="78"/>
        <v>0</v>
      </c>
      <c r="AY149" s="31">
        <f t="shared" si="79"/>
        <v>0</v>
      </c>
      <c r="AZ149" s="31">
        <f t="shared" si="80"/>
        <v>0</v>
      </c>
      <c r="BA149" s="31">
        <f t="shared" si="81"/>
        <v>0</v>
      </c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41"/>
      <c r="BM149" s="41"/>
      <c r="BN149" s="41"/>
      <c r="BO149" s="37"/>
      <c r="BP149" s="38"/>
      <c r="BQ149" s="37"/>
      <c r="BR149" s="40"/>
      <c r="BS149" s="39"/>
      <c r="BT149" s="39"/>
      <c r="BU149" s="39"/>
      <c r="BV149" s="39"/>
      <c r="BW149" s="39"/>
      <c r="BX149" s="36"/>
      <c r="BY149" s="33"/>
      <c r="BZ149" s="33"/>
      <c r="CA149" s="33"/>
      <c r="CB149" s="34"/>
      <c r="CC149" s="33"/>
      <c r="CD149" s="35"/>
      <c r="CE149" s="48"/>
      <c r="CF149" s="48"/>
      <c r="CG149" s="48"/>
      <c r="CH149" s="48"/>
      <c r="CI149" s="48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35"/>
      <c r="CW149" s="35"/>
      <c r="CX149" s="35"/>
      <c r="CY149" s="35"/>
      <c r="CZ149" s="35"/>
      <c r="DA149" s="35"/>
      <c r="DB149" s="35"/>
      <c r="DC149" s="35"/>
      <c r="DD149" s="40"/>
      <c r="DE149" s="40"/>
      <c r="DF149" s="40"/>
      <c r="DG149" s="40"/>
      <c r="DH149" s="40"/>
      <c r="DI149" s="40"/>
      <c r="DJ149" s="40"/>
      <c r="DK149" s="40"/>
      <c r="DL149" s="35"/>
      <c r="DM149" s="35"/>
      <c r="DN149" s="35"/>
      <c r="DO149" s="35"/>
      <c r="DP149" s="35"/>
      <c r="DQ149" s="35"/>
      <c r="DR149" s="35"/>
      <c r="DS149" s="35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40"/>
      <c r="ES149" s="40"/>
      <c r="ET149" s="40"/>
      <c r="EU149" s="40"/>
      <c r="EV149" s="40"/>
      <c r="EW149" s="40"/>
      <c r="EX149" s="40"/>
      <c r="EY149" s="40"/>
      <c r="EZ149" s="35"/>
      <c r="FA149" s="35"/>
      <c r="FB149" s="35"/>
      <c r="FC149" s="35"/>
      <c r="FD149" s="35"/>
      <c r="FE149" s="35"/>
      <c r="FF149" s="35"/>
      <c r="FG149" s="35"/>
    </row>
    <row r="150" spans="1:163">
      <c r="A150" s="60">
        <v>204</v>
      </c>
      <c r="E150" s="63" t="s">
        <v>173</v>
      </c>
      <c r="F150" s="56" t="s">
        <v>67</v>
      </c>
      <c r="G150" s="70" t="s">
        <v>584</v>
      </c>
      <c r="H150" s="66" t="str">
        <f t="shared" si="67"/>
        <v xml:space="preserve"> 234</v>
      </c>
      <c r="I150" s="67" t="s">
        <v>584</v>
      </c>
      <c r="J150" s="68">
        <f t="shared" si="68"/>
        <v>0</v>
      </c>
      <c r="K150" s="63" t="s">
        <v>247</v>
      </c>
      <c r="L150" s="1" t="s">
        <v>46</v>
      </c>
      <c r="O150" s="88" t="s">
        <v>790</v>
      </c>
      <c r="P150" s="89">
        <v>0</v>
      </c>
      <c r="Q150" s="90">
        <f t="shared" si="82"/>
        <v>177500</v>
      </c>
      <c r="R150" s="71">
        <v>177500</v>
      </c>
      <c r="S150" s="72">
        <f t="shared" si="56"/>
        <v>8550</v>
      </c>
      <c r="T150" s="68"/>
      <c r="U150" s="73">
        <f t="shared" si="57"/>
        <v>168950</v>
      </c>
      <c r="V150" s="73">
        <f>2000+5500+600+200+250</f>
        <v>8550</v>
      </c>
      <c r="W150" s="2">
        <f t="shared" si="69"/>
        <v>177500</v>
      </c>
      <c r="Y150" s="81">
        <f t="shared" si="70"/>
        <v>177500</v>
      </c>
      <c r="Z150" s="96">
        <v>0</v>
      </c>
      <c r="AA150" s="97"/>
      <c r="AB150" s="98"/>
      <c r="AE150" s="2">
        <v>199000</v>
      </c>
      <c r="AF150" s="28">
        <f t="shared" si="65"/>
        <v>0</v>
      </c>
      <c r="AG150" s="55" t="s">
        <v>125</v>
      </c>
      <c r="AI150" s="20" t="s">
        <v>205</v>
      </c>
      <c r="AJ150" s="2">
        <f t="shared" si="71"/>
        <v>-177500</v>
      </c>
      <c r="AN150" s="29" t="e">
        <f t="shared" si="72"/>
        <v>#DIV/0!</v>
      </c>
      <c r="AP150" s="3" t="s">
        <v>158</v>
      </c>
      <c r="AR150" s="31">
        <f t="shared" si="73"/>
        <v>-189675</v>
      </c>
      <c r="AS150" s="31">
        <f t="shared" si="74"/>
        <v>-178704</v>
      </c>
      <c r="AT150" s="31">
        <f>IF(BX150&lt;&gt;"", AF150-BX150, 0)</f>
        <v>-189112</v>
      </c>
      <c r="AU150" s="31">
        <f t="shared" si="75"/>
        <v>-203467</v>
      </c>
      <c r="AV150" s="31">
        <f t="shared" si="76"/>
        <v>0</v>
      </c>
      <c r="AW150" s="31">
        <f t="shared" si="77"/>
        <v>-194135</v>
      </c>
      <c r="AX150" s="31">
        <f t="shared" si="78"/>
        <v>0</v>
      </c>
      <c r="AY150" s="31">
        <f t="shared" si="79"/>
        <v>0</v>
      </c>
      <c r="AZ150" s="31">
        <f t="shared" si="80"/>
        <v>-224083</v>
      </c>
      <c r="BA150" s="31">
        <f t="shared" si="81"/>
        <v>0</v>
      </c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41">
        <v>183675</v>
      </c>
      <c r="BM150" s="41">
        <v>6000</v>
      </c>
      <c r="BN150" s="41">
        <f>BL150+BM150</f>
        <v>189675</v>
      </c>
      <c r="BO150" s="37">
        <f>BN150-Y150</f>
        <v>12175</v>
      </c>
      <c r="BP150" s="38">
        <f>BO150/BL150</f>
        <v>6.6285558731455016E-2</v>
      </c>
      <c r="BQ150" s="37">
        <f>AF150-BN150</f>
        <v>-189675</v>
      </c>
      <c r="BR150" s="40" t="s">
        <v>29</v>
      </c>
      <c r="BS150" s="39"/>
      <c r="BT150" s="39"/>
      <c r="BU150" s="39"/>
      <c r="BV150" s="39"/>
      <c r="BW150" s="39"/>
      <c r="BX150" s="36">
        <v>189112</v>
      </c>
      <c r="BY150" s="33">
        <v>6000</v>
      </c>
      <c r="BZ150" s="33">
        <f>BX150+BY150</f>
        <v>195112</v>
      </c>
      <c r="CA150" s="33">
        <f>BZ150-Y150</f>
        <v>17612</v>
      </c>
      <c r="CB150" s="34">
        <f>CA150/BX150</f>
        <v>9.3129997038791823E-2</v>
      </c>
      <c r="CC150" s="33">
        <f>AF150-BZ150</f>
        <v>-195112</v>
      </c>
      <c r="CD150" s="35" t="s">
        <v>29</v>
      </c>
      <c r="CE150" s="48"/>
      <c r="CF150" s="48"/>
      <c r="CG150" s="48"/>
      <c r="CH150" s="48"/>
      <c r="CI150" s="48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36">
        <v>178704</v>
      </c>
      <c r="CW150" s="36">
        <f>CV150-Y150</f>
        <v>1204</v>
      </c>
      <c r="CX150" s="46">
        <f>CW150/CV150</f>
        <v>6.7373981556092758E-3</v>
      </c>
      <c r="CY150" s="36">
        <f>AF150-CV150</f>
        <v>-178704</v>
      </c>
      <c r="CZ150" s="35" t="s">
        <v>29</v>
      </c>
      <c r="DA150" s="35"/>
      <c r="DB150" s="35"/>
      <c r="DC150" s="35"/>
      <c r="DD150" s="41">
        <v>203467</v>
      </c>
      <c r="DE150" s="37">
        <f>DD150-Y150</f>
        <v>25967</v>
      </c>
      <c r="DF150" s="38">
        <f>DE150/DD150</f>
        <v>0.1276226611686416</v>
      </c>
      <c r="DG150" s="37">
        <f>AF150-DD150</f>
        <v>-203467</v>
      </c>
      <c r="DH150" s="40" t="s">
        <v>29</v>
      </c>
      <c r="DI150" s="40"/>
      <c r="DJ150" s="40"/>
      <c r="DK150" s="40"/>
      <c r="DL150" s="36">
        <v>194135</v>
      </c>
      <c r="DM150" s="33">
        <f>DL150-Y150</f>
        <v>16635</v>
      </c>
      <c r="DN150" s="34">
        <f>DM150/DL150</f>
        <v>8.5687794575939419E-2</v>
      </c>
      <c r="DO150" s="33">
        <f>AF150-DL150</f>
        <v>-194135</v>
      </c>
      <c r="DP150" s="35" t="s">
        <v>29</v>
      </c>
      <c r="DQ150" s="35"/>
      <c r="DR150" s="35"/>
      <c r="DS150" s="35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41">
        <v>224083</v>
      </c>
      <c r="ES150" s="37">
        <f>ER150-Y150</f>
        <v>46583</v>
      </c>
      <c r="ET150" s="38">
        <f>ES150/ER150</f>
        <v>0.20788279342922042</v>
      </c>
      <c r="EU150" s="37">
        <f>AF150-ER150</f>
        <v>-224083</v>
      </c>
      <c r="EV150" s="40" t="s">
        <v>29</v>
      </c>
      <c r="EW150" s="40"/>
      <c r="EX150" s="40"/>
      <c r="EY150" s="40"/>
      <c r="EZ150" s="35"/>
      <c r="FA150" s="35"/>
      <c r="FB150" s="35"/>
      <c r="FC150" s="35"/>
      <c r="FD150" s="35"/>
      <c r="FE150" s="35"/>
      <c r="FF150" s="35"/>
      <c r="FG150" s="35"/>
    </row>
    <row r="151" spans="1:163">
      <c r="A151" s="62">
        <v>311</v>
      </c>
      <c r="E151" s="63" t="s">
        <v>76</v>
      </c>
      <c r="F151" s="56" t="s">
        <v>75</v>
      </c>
      <c r="G151" s="70" t="s">
        <v>683</v>
      </c>
      <c r="H151" s="66" t="str">
        <f t="shared" si="67"/>
        <v xml:space="preserve"> 426</v>
      </c>
      <c r="I151" s="67" t="s">
        <v>683</v>
      </c>
      <c r="J151" s="68">
        <f t="shared" si="68"/>
        <v>0</v>
      </c>
      <c r="K151" s="63" t="s">
        <v>792</v>
      </c>
      <c r="L151" s="1" t="s">
        <v>46</v>
      </c>
      <c r="O151" s="88" t="s">
        <v>790</v>
      </c>
      <c r="P151" s="89">
        <v>72000</v>
      </c>
      <c r="Q151" s="90">
        <f t="shared" si="82"/>
        <v>0</v>
      </c>
      <c r="R151" s="71"/>
      <c r="S151" s="72">
        <f t="shared" ref="S151:S214" si="84">R151-U151</f>
        <v>0</v>
      </c>
      <c r="T151" s="68"/>
      <c r="U151" s="73">
        <f t="shared" ref="U151:U214" si="85">R151-V151</f>
        <v>0</v>
      </c>
      <c r="V151" s="73"/>
      <c r="W151" s="2">
        <f t="shared" si="69"/>
        <v>-72000</v>
      </c>
      <c r="Y151" s="81">
        <f t="shared" si="70"/>
        <v>0</v>
      </c>
      <c r="Z151" s="96">
        <v>0</v>
      </c>
      <c r="AA151" s="97">
        <f>U151-Z151</f>
        <v>0</v>
      </c>
      <c r="AB151" s="98" t="e">
        <f>AA151/Z151</f>
        <v>#DIV/0!</v>
      </c>
      <c r="AE151" s="2">
        <v>114000</v>
      </c>
      <c r="AF151" s="28">
        <f t="shared" si="65"/>
        <v>0</v>
      </c>
      <c r="AG151" s="55" t="s">
        <v>125</v>
      </c>
      <c r="AI151" s="20" t="s">
        <v>206</v>
      </c>
      <c r="AJ151" s="2">
        <f t="shared" si="71"/>
        <v>0</v>
      </c>
      <c r="AN151" s="29" t="e">
        <f t="shared" si="72"/>
        <v>#DIV/0!</v>
      </c>
      <c r="AP151" s="3" t="s">
        <v>140</v>
      </c>
      <c r="AQ151" s="1" t="s">
        <v>166</v>
      </c>
      <c r="AR151" s="31">
        <f t="shared" si="73"/>
        <v>0</v>
      </c>
      <c r="AS151" s="31">
        <f t="shared" si="74"/>
        <v>0</v>
      </c>
      <c r="AT151" s="31">
        <f t="shared" ref="AT151:AT156" si="86">IF(BZ151&lt;&gt;"", AF151-BZ151, 0)</f>
        <v>0</v>
      </c>
      <c r="AU151" s="31">
        <f t="shared" si="75"/>
        <v>0</v>
      </c>
      <c r="AV151" s="31">
        <f t="shared" si="76"/>
        <v>0</v>
      </c>
      <c r="AW151" s="31">
        <f t="shared" si="77"/>
        <v>0</v>
      </c>
      <c r="AX151" s="31">
        <f t="shared" si="78"/>
        <v>0</v>
      </c>
      <c r="AY151" s="31">
        <f t="shared" si="79"/>
        <v>0</v>
      </c>
      <c r="AZ151" s="31">
        <f t="shared" si="80"/>
        <v>0</v>
      </c>
      <c r="BA151" s="31">
        <f t="shared" si="81"/>
        <v>0</v>
      </c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35"/>
      <c r="CW151" s="35"/>
      <c r="CX151" s="35"/>
      <c r="CY151" s="35"/>
      <c r="CZ151" s="35"/>
      <c r="DA151" s="35"/>
      <c r="DB151" s="35"/>
      <c r="DC151" s="35"/>
      <c r="DD151" s="40"/>
      <c r="DE151" s="40"/>
      <c r="DF151" s="40"/>
      <c r="DG151" s="40"/>
      <c r="DH151" s="40"/>
      <c r="DI151" s="40"/>
      <c r="DJ151" s="40"/>
      <c r="DK151" s="40"/>
      <c r="DL151" s="35"/>
      <c r="DM151" s="35"/>
      <c r="DN151" s="35"/>
      <c r="DO151" s="35"/>
      <c r="DP151" s="35"/>
      <c r="DQ151" s="35"/>
      <c r="DR151" s="35"/>
      <c r="DS151" s="35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40"/>
      <c r="ES151" s="40"/>
      <c r="ET151" s="40"/>
      <c r="EU151" s="40"/>
      <c r="EV151" s="40"/>
      <c r="EW151" s="40"/>
      <c r="EX151" s="40"/>
      <c r="EY151" s="40"/>
      <c r="EZ151" s="35"/>
      <c r="FA151" s="35"/>
      <c r="FB151" s="35"/>
      <c r="FC151" s="35"/>
      <c r="FD151" s="35"/>
      <c r="FE151" s="35"/>
      <c r="FF151" s="35"/>
      <c r="FG151" s="35"/>
    </row>
    <row r="152" spans="1:163">
      <c r="A152" s="62">
        <v>348</v>
      </c>
      <c r="E152" s="63" t="s">
        <v>226</v>
      </c>
      <c r="F152" s="56" t="s">
        <v>77</v>
      </c>
      <c r="G152" s="70" t="s">
        <v>718</v>
      </c>
      <c r="H152" s="66" t="str">
        <f t="shared" si="67"/>
        <v xml:space="preserve"> 903</v>
      </c>
      <c r="I152" s="67" t="s">
        <v>718</v>
      </c>
      <c r="J152" s="68">
        <f t="shared" si="68"/>
        <v>0</v>
      </c>
      <c r="K152" s="63" t="s">
        <v>365</v>
      </c>
      <c r="L152" s="1" t="s">
        <v>46</v>
      </c>
      <c r="O152" s="64" t="s">
        <v>789</v>
      </c>
      <c r="P152" s="82">
        <v>0</v>
      </c>
      <c r="Q152" s="74">
        <f t="shared" si="82"/>
        <v>71500</v>
      </c>
      <c r="R152" s="71">
        <v>71500</v>
      </c>
      <c r="S152" s="72">
        <f t="shared" si="84"/>
        <v>8750</v>
      </c>
      <c r="T152" s="68" t="s">
        <v>791</v>
      </c>
      <c r="U152" s="73">
        <f t="shared" si="85"/>
        <v>62750</v>
      </c>
      <c r="V152" s="75">
        <f>2000+5200+600+200+250+500</f>
        <v>8750</v>
      </c>
      <c r="W152" s="2">
        <f t="shared" si="69"/>
        <v>71500</v>
      </c>
      <c r="Y152" s="80">
        <f t="shared" si="70"/>
        <v>71500</v>
      </c>
      <c r="Z152" s="93"/>
      <c r="AA152" s="93"/>
      <c r="AB152" s="94"/>
      <c r="AE152" s="2">
        <v>79000</v>
      </c>
      <c r="AF152" s="28">
        <f t="shared" si="65"/>
        <v>79000</v>
      </c>
      <c r="AG152" s="55" t="s">
        <v>125</v>
      </c>
      <c r="AI152" s="20" t="s">
        <v>45</v>
      </c>
      <c r="AJ152" s="2">
        <f t="shared" si="71"/>
        <v>7500</v>
      </c>
      <c r="AK152" s="2">
        <f>AVERAGE(AF152,AF151,AF150,AF149,AF148,AF147,AF146,AF145,AF144)</f>
        <v>52666.666666666664</v>
      </c>
      <c r="AL152" s="2">
        <f>MIN(AF152,AF151,AF150,AF149,AF148,AF147,AF146,AF145,AF144)</f>
        <v>0</v>
      </c>
      <c r="AM152" s="2">
        <f>MAX(AF152,AF151,AF150,AF149,AF148,AF147,AF146,AF145,AF144)</f>
        <v>112000</v>
      </c>
      <c r="AN152" s="29">
        <f t="shared" si="72"/>
        <v>9.49367088607595E-2</v>
      </c>
      <c r="AP152" s="3" t="s">
        <v>29</v>
      </c>
      <c r="AQ152" s="1" t="s">
        <v>176</v>
      </c>
      <c r="AR152" s="31">
        <f t="shared" si="73"/>
        <v>0</v>
      </c>
      <c r="AS152" s="31">
        <f t="shared" si="74"/>
        <v>0</v>
      </c>
      <c r="AT152" s="31">
        <f t="shared" si="86"/>
        <v>0</v>
      </c>
      <c r="AU152" s="31">
        <f t="shared" si="75"/>
        <v>0</v>
      </c>
      <c r="AV152" s="31">
        <f t="shared" si="76"/>
        <v>0</v>
      </c>
      <c r="AW152" s="31">
        <f t="shared" si="77"/>
        <v>0</v>
      </c>
      <c r="AX152" s="31">
        <f t="shared" si="78"/>
        <v>0</v>
      </c>
      <c r="AY152" s="31">
        <f t="shared" si="79"/>
        <v>0</v>
      </c>
      <c r="AZ152" s="31">
        <f t="shared" si="80"/>
        <v>0</v>
      </c>
      <c r="BA152" s="31">
        <f t="shared" si="81"/>
        <v>0</v>
      </c>
      <c r="BB152" s="32">
        <f>IF(BS152&lt;&gt;"", AK152-BS152, 0)</f>
        <v>-33212.333333333336</v>
      </c>
      <c r="BC152" s="32">
        <f>IF(DA152&lt;&gt;"", AK152-DA152, 0)</f>
        <v>-33340.333333333336</v>
      </c>
      <c r="BD152" s="32">
        <f>IF(CE152&lt;&gt;"", AK152-CE152, )</f>
        <v>-25883.333333333336</v>
      </c>
      <c r="BE152" s="32">
        <f>IF(DI152&lt;&gt;"", AK152-DI152, 0)</f>
        <v>0</v>
      </c>
      <c r="BF152" s="32">
        <f>IF(CQ152&lt;&gt;"",AK152-CQ152, 0)</f>
        <v>0</v>
      </c>
      <c r="BG152" s="32">
        <f>IF(DQ152&lt;&gt;"", AK152-DQ152, 0)</f>
        <v>-26914.333333333336</v>
      </c>
      <c r="BH152" s="32">
        <f>IF(EA152&lt;&gt;"", AK152-EA152, 0)</f>
        <v>-25885.333333333336</v>
      </c>
      <c r="BI152" s="32">
        <f>IF(EM152&lt;&gt;"", AK152-EM152, 0)</f>
        <v>-29560.333333333336</v>
      </c>
      <c r="BJ152" s="32">
        <f>IF(EW152&lt;&gt;"", AK152-EW152, 0)</f>
        <v>-40000.333333333336</v>
      </c>
      <c r="BK152" s="32">
        <f>IF(FE152&lt;&gt;"", AK152-FE152, 0)</f>
        <v>0</v>
      </c>
      <c r="BL152" s="39"/>
      <c r="BM152" s="39"/>
      <c r="BN152" s="39"/>
      <c r="BO152" s="39"/>
      <c r="BP152" s="39"/>
      <c r="BQ152" s="39"/>
      <c r="BR152" s="39"/>
      <c r="BS152" s="50">
        <f>BU152+BT152</f>
        <v>85879</v>
      </c>
      <c r="BT152" s="41">
        <v>2500</v>
      </c>
      <c r="BU152" s="41">
        <v>83379</v>
      </c>
      <c r="BV152" s="41">
        <v>84150</v>
      </c>
      <c r="BW152" s="41">
        <v>78750</v>
      </c>
      <c r="BX152" s="48"/>
      <c r="BY152" s="48"/>
      <c r="BZ152" s="48"/>
      <c r="CA152" s="48"/>
      <c r="CB152" s="48"/>
      <c r="CC152" s="48"/>
      <c r="CD152" s="48"/>
      <c r="CE152" s="36">
        <f>CG152+CF152</f>
        <v>78550</v>
      </c>
      <c r="CF152" s="36">
        <v>2500</v>
      </c>
      <c r="CG152" s="36">
        <v>76050</v>
      </c>
      <c r="CH152" s="36">
        <v>76950</v>
      </c>
      <c r="CI152" s="36">
        <v>75150</v>
      </c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35"/>
      <c r="CW152" s="35"/>
      <c r="CX152" s="35"/>
      <c r="CY152" s="35"/>
      <c r="CZ152" s="35"/>
      <c r="DA152" s="36">
        <v>86007</v>
      </c>
      <c r="DB152" s="36">
        <v>86940</v>
      </c>
      <c r="DC152" s="36">
        <v>81810</v>
      </c>
      <c r="DD152" s="40"/>
      <c r="DE152" s="40"/>
      <c r="DF152" s="40"/>
      <c r="DG152" s="40"/>
      <c r="DH152" s="40"/>
      <c r="DI152" s="41"/>
      <c r="DJ152" s="41"/>
      <c r="DK152" s="41"/>
      <c r="DL152" s="35"/>
      <c r="DM152" s="35"/>
      <c r="DN152" s="35"/>
      <c r="DO152" s="35"/>
      <c r="DP152" s="35"/>
      <c r="DQ152" s="36">
        <v>79581</v>
      </c>
      <c r="DR152" s="36">
        <v>93712</v>
      </c>
      <c r="DS152" s="36">
        <v>65625</v>
      </c>
      <c r="DT152" s="40"/>
      <c r="DU152" s="40"/>
      <c r="DV152" s="40"/>
      <c r="DW152" s="40"/>
      <c r="DX152" s="40"/>
      <c r="DY152" s="40"/>
      <c r="DZ152" s="40"/>
      <c r="EA152" s="41">
        <f>EC152+EB152</f>
        <v>78552</v>
      </c>
      <c r="EB152" s="41">
        <v>2500</v>
      </c>
      <c r="EC152" s="41">
        <v>76052</v>
      </c>
      <c r="ED152" s="41">
        <v>90772</v>
      </c>
      <c r="EE152" s="41">
        <v>65887</v>
      </c>
      <c r="EF152" s="35"/>
      <c r="EG152" s="35"/>
      <c r="EH152" s="35"/>
      <c r="EI152" s="35"/>
      <c r="EJ152" s="35"/>
      <c r="EK152" s="35"/>
      <c r="EL152" s="35"/>
      <c r="EM152" s="49">
        <f>EO152+EN152</f>
        <v>82227</v>
      </c>
      <c r="EN152" s="36">
        <v>2500</v>
      </c>
      <c r="EO152" s="35">
        <v>79727</v>
      </c>
      <c r="EP152" s="35">
        <v>92347</v>
      </c>
      <c r="EQ152" s="35">
        <v>65887</v>
      </c>
      <c r="ER152" s="40"/>
      <c r="ES152" s="40"/>
      <c r="ET152" s="40"/>
      <c r="EU152" s="40"/>
      <c r="EV152" s="40"/>
      <c r="EW152" s="41">
        <v>92667</v>
      </c>
      <c r="EX152" s="41">
        <v>100000</v>
      </c>
      <c r="EY152" s="41">
        <v>78000</v>
      </c>
      <c r="EZ152" s="35"/>
      <c r="FA152" s="35"/>
      <c r="FB152" s="35"/>
      <c r="FC152" s="35"/>
      <c r="FD152" s="35"/>
      <c r="FE152" s="35"/>
      <c r="FF152" s="35"/>
      <c r="FG152" s="35"/>
    </row>
    <row r="153" spans="1:163">
      <c r="A153" s="62">
        <v>60</v>
      </c>
      <c r="E153" s="63" t="s">
        <v>114</v>
      </c>
      <c r="F153" s="56" t="s">
        <v>115</v>
      </c>
      <c r="G153" s="65" t="s">
        <v>440</v>
      </c>
      <c r="H153" s="66" t="str">
        <f t="shared" si="67"/>
        <v xml:space="preserve"> 195</v>
      </c>
      <c r="I153" s="67" t="s">
        <v>440</v>
      </c>
      <c r="J153" s="68">
        <f t="shared" si="68"/>
        <v>0</v>
      </c>
      <c r="K153" s="63" t="s">
        <v>267</v>
      </c>
      <c r="L153" s="1" t="s">
        <v>46</v>
      </c>
      <c r="O153" s="64" t="s">
        <v>789</v>
      </c>
      <c r="P153" s="82">
        <v>0</v>
      </c>
      <c r="Q153" s="74">
        <f t="shared" si="82"/>
        <v>82500</v>
      </c>
      <c r="R153" s="71">
        <v>82500</v>
      </c>
      <c r="S153" s="72">
        <f t="shared" si="84"/>
        <v>8150</v>
      </c>
      <c r="T153" s="68" t="s">
        <v>791</v>
      </c>
      <c r="U153" s="73">
        <f t="shared" si="85"/>
        <v>74350</v>
      </c>
      <c r="V153" s="75">
        <f>2000+5100+600+200+250</f>
        <v>8150</v>
      </c>
      <c r="W153" s="2">
        <f t="shared" si="69"/>
        <v>82500</v>
      </c>
      <c r="Y153" s="80">
        <f t="shared" si="70"/>
        <v>82500</v>
      </c>
      <c r="Z153" s="93"/>
      <c r="AA153" s="93"/>
      <c r="AB153" s="94"/>
      <c r="AC153" s="2">
        <v>4000</v>
      </c>
      <c r="AD153" s="2">
        <f>Z153+AC153</f>
        <v>4000</v>
      </c>
      <c r="AF153" s="28">
        <f t="shared" si="65"/>
        <v>0</v>
      </c>
      <c r="AG153" s="55" t="s">
        <v>125</v>
      </c>
      <c r="AI153" s="20" t="s">
        <v>45</v>
      </c>
      <c r="AJ153" s="2">
        <f t="shared" si="71"/>
        <v>-82500</v>
      </c>
      <c r="AN153" s="29" t="e">
        <f t="shared" si="72"/>
        <v>#DIV/0!</v>
      </c>
      <c r="AO153" s="29" t="e">
        <f>AN153-AB153</f>
        <v>#DIV/0!</v>
      </c>
      <c r="AP153" s="3" t="s">
        <v>29</v>
      </c>
      <c r="AQ153" s="1" t="s">
        <v>153</v>
      </c>
      <c r="AR153" s="31">
        <f t="shared" si="73"/>
        <v>0</v>
      </c>
      <c r="AS153" s="31">
        <f t="shared" si="74"/>
        <v>0</v>
      </c>
      <c r="AT153" s="31">
        <f t="shared" si="86"/>
        <v>0</v>
      </c>
      <c r="AU153" s="31">
        <f t="shared" si="75"/>
        <v>0</v>
      </c>
      <c r="AV153" s="31">
        <f t="shared" si="76"/>
        <v>0</v>
      </c>
      <c r="AW153" s="31">
        <f t="shared" si="77"/>
        <v>0</v>
      </c>
      <c r="AX153" s="31">
        <f t="shared" si="78"/>
        <v>0</v>
      </c>
      <c r="AY153" s="31">
        <f t="shared" si="79"/>
        <v>0</v>
      </c>
      <c r="AZ153" s="31">
        <f t="shared" si="80"/>
        <v>0</v>
      </c>
      <c r="BA153" s="31">
        <f t="shared" si="81"/>
        <v>0</v>
      </c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41"/>
      <c r="BM153" s="41"/>
      <c r="BN153" s="41"/>
      <c r="BO153" s="37"/>
      <c r="BP153" s="38"/>
      <c r="BQ153" s="37"/>
      <c r="BR153" s="40"/>
      <c r="BS153" s="39"/>
      <c r="BT153" s="39"/>
      <c r="BU153" s="39"/>
      <c r="BV153" s="39"/>
      <c r="BW153" s="39"/>
      <c r="BX153" s="36"/>
      <c r="BY153" s="33"/>
      <c r="BZ153" s="33"/>
      <c r="CA153" s="33"/>
      <c r="CB153" s="34"/>
      <c r="CC153" s="33"/>
      <c r="CD153" s="35"/>
      <c r="CE153" s="48"/>
      <c r="CF153" s="48"/>
      <c r="CG153" s="48"/>
      <c r="CH153" s="48"/>
      <c r="CI153" s="48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35"/>
      <c r="CW153" s="35"/>
      <c r="CX153" s="35"/>
      <c r="CY153" s="35"/>
      <c r="CZ153" s="35"/>
      <c r="DA153" s="35"/>
      <c r="DB153" s="35"/>
      <c r="DC153" s="35"/>
      <c r="DD153" s="40"/>
      <c r="DE153" s="40"/>
      <c r="DF153" s="40"/>
      <c r="DG153" s="40"/>
      <c r="DH153" s="40"/>
      <c r="DI153" s="40"/>
      <c r="DJ153" s="40"/>
      <c r="DK153" s="40"/>
      <c r="DL153" s="35"/>
      <c r="DM153" s="35"/>
      <c r="DN153" s="35"/>
      <c r="DO153" s="35"/>
      <c r="DP153" s="35"/>
      <c r="DQ153" s="35"/>
      <c r="DR153" s="35"/>
      <c r="DS153" s="35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40"/>
      <c r="ES153" s="40"/>
      <c r="ET153" s="40"/>
      <c r="EU153" s="40"/>
      <c r="EV153" s="40"/>
      <c r="EW153" s="40"/>
      <c r="EX153" s="40"/>
      <c r="EY153" s="40"/>
      <c r="EZ153" s="35"/>
      <c r="FA153" s="35"/>
      <c r="FB153" s="35"/>
      <c r="FC153" s="35"/>
      <c r="FD153" s="35"/>
      <c r="FE153" s="35"/>
      <c r="FF153" s="35"/>
      <c r="FG153" s="35"/>
    </row>
    <row r="154" spans="1:163">
      <c r="A154" s="62">
        <v>62</v>
      </c>
      <c r="E154" s="63" t="s">
        <v>114</v>
      </c>
      <c r="F154" s="56" t="s">
        <v>115</v>
      </c>
      <c r="G154" s="65" t="s">
        <v>443</v>
      </c>
      <c r="H154" s="66" t="str">
        <f t="shared" si="67"/>
        <v xml:space="preserve"> 402</v>
      </c>
      <c r="I154" s="67" t="s">
        <v>443</v>
      </c>
      <c r="J154" s="68">
        <f t="shared" si="68"/>
        <v>0</v>
      </c>
      <c r="K154" s="63" t="s">
        <v>267</v>
      </c>
      <c r="L154" s="1" t="s">
        <v>46</v>
      </c>
      <c r="O154" s="64" t="s">
        <v>789</v>
      </c>
      <c r="P154" s="82">
        <v>0</v>
      </c>
      <c r="Q154" s="74">
        <f t="shared" si="82"/>
        <v>82500</v>
      </c>
      <c r="R154" s="71">
        <v>82500</v>
      </c>
      <c r="S154" s="72">
        <f t="shared" si="84"/>
        <v>8150</v>
      </c>
      <c r="T154" s="68" t="s">
        <v>791</v>
      </c>
      <c r="U154" s="73">
        <f t="shared" si="85"/>
        <v>74350</v>
      </c>
      <c r="V154" s="75">
        <f>2000+5100+600+200+250</f>
        <v>8150</v>
      </c>
      <c r="W154" s="2">
        <f t="shared" si="69"/>
        <v>82500</v>
      </c>
      <c r="Y154" s="80">
        <f t="shared" si="70"/>
        <v>82500</v>
      </c>
      <c r="Z154" s="93"/>
      <c r="AA154" s="93"/>
      <c r="AB154" s="94"/>
      <c r="AE154" s="2">
        <v>84000</v>
      </c>
      <c r="AF154" s="28">
        <f t="shared" si="65"/>
        <v>84000</v>
      </c>
      <c r="AG154" s="55" t="s">
        <v>125</v>
      </c>
      <c r="AI154" s="20" t="s">
        <v>45</v>
      </c>
      <c r="AJ154" s="2">
        <f t="shared" si="71"/>
        <v>1500</v>
      </c>
      <c r="AN154" s="29">
        <f t="shared" si="72"/>
        <v>1.7857142857142856E-2</v>
      </c>
      <c r="AP154" s="3" t="s">
        <v>29</v>
      </c>
      <c r="AQ154" s="1" t="s">
        <v>153</v>
      </c>
      <c r="AR154" s="31">
        <f t="shared" si="73"/>
        <v>0</v>
      </c>
      <c r="AS154" s="31">
        <f t="shared" si="74"/>
        <v>0</v>
      </c>
      <c r="AT154" s="31">
        <f t="shared" si="86"/>
        <v>0</v>
      </c>
      <c r="AU154" s="31">
        <f t="shared" si="75"/>
        <v>0</v>
      </c>
      <c r="AV154" s="31">
        <f t="shared" si="76"/>
        <v>0</v>
      </c>
      <c r="AW154" s="31">
        <f t="shared" si="77"/>
        <v>0</v>
      </c>
      <c r="AX154" s="31">
        <f t="shared" si="78"/>
        <v>0</v>
      </c>
      <c r="AY154" s="31">
        <f t="shared" si="79"/>
        <v>0</v>
      </c>
      <c r="AZ154" s="31">
        <f t="shared" si="80"/>
        <v>0</v>
      </c>
      <c r="BA154" s="31">
        <f t="shared" si="81"/>
        <v>0</v>
      </c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41"/>
      <c r="BM154" s="41"/>
      <c r="BN154" s="41"/>
      <c r="BO154" s="37"/>
      <c r="BP154" s="38"/>
      <c r="BQ154" s="37"/>
      <c r="BR154" s="40"/>
      <c r="BS154" s="39"/>
      <c r="BT154" s="39"/>
      <c r="BU154" s="39"/>
      <c r="BV154" s="39"/>
      <c r="BW154" s="39"/>
      <c r="BX154" s="36"/>
      <c r="BY154" s="33"/>
      <c r="BZ154" s="33"/>
      <c r="CA154" s="33"/>
      <c r="CB154" s="34"/>
      <c r="CC154" s="33"/>
      <c r="CD154" s="35"/>
      <c r="CE154" s="48"/>
      <c r="CF154" s="48"/>
      <c r="CG154" s="48"/>
      <c r="CH154" s="48"/>
      <c r="CI154" s="48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35"/>
      <c r="CW154" s="35"/>
      <c r="CX154" s="35"/>
      <c r="CY154" s="35"/>
      <c r="CZ154" s="35"/>
      <c r="DA154" s="35"/>
      <c r="DB154" s="35"/>
      <c r="DC154" s="35"/>
      <c r="DD154" s="40"/>
      <c r="DE154" s="40"/>
      <c r="DF154" s="40"/>
      <c r="DG154" s="40"/>
      <c r="DH154" s="40"/>
      <c r="DI154" s="40"/>
      <c r="DJ154" s="40"/>
      <c r="DK154" s="40"/>
      <c r="DL154" s="35"/>
      <c r="DM154" s="35"/>
      <c r="DN154" s="35"/>
      <c r="DO154" s="35"/>
      <c r="DP154" s="35"/>
      <c r="DQ154" s="35"/>
      <c r="DR154" s="35"/>
      <c r="DS154" s="35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40"/>
      <c r="ES154" s="40"/>
      <c r="ET154" s="40"/>
      <c r="EU154" s="40"/>
      <c r="EV154" s="40"/>
      <c r="EW154" s="40"/>
      <c r="EX154" s="40"/>
      <c r="EY154" s="40"/>
      <c r="EZ154" s="35"/>
      <c r="FA154" s="35"/>
      <c r="FB154" s="35"/>
      <c r="FC154" s="35"/>
      <c r="FD154" s="35"/>
      <c r="FE154" s="35"/>
      <c r="FF154" s="35"/>
      <c r="FG154" s="35"/>
    </row>
    <row r="155" spans="1:163">
      <c r="A155" s="60">
        <v>119</v>
      </c>
      <c r="E155" s="63" t="s">
        <v>58</v>
      </c>
      <c r="F155" s="56" t="s">
        <v>59</v>
      </c>
      <c r="G155" s="65" t="s">
        <v>498</v>
      </c>
      <c r="H155" s="66" t="str">
        <f t="shared" si="67"/>
        <v xml:space="preserve"> 314</v>
      </c>
      <c r="I155" s="67" t="s">
        <v>498</v>
      </c>
      <c r="J155" s="68">
        <f t="shared" si="68"/>
        <v>0</v>
      </c>
      <c r="K155" s="63" t="s">
        <v>267</v>
      </c>
      <c r="L155" s="1" t="s">
        <v>46</v>
      </c>
      <c r="O155" s="64" t="s">
        <v>789</v>
      </c>
      <c r="P155" s="82">
        <v>0</v>
      </c>
      <c r="Q155" s="74">
        <f t="shared" si="82"/>
        <v>70000</v>
      </c>
      <c r="R155" s="71">
        <v>70000</v>
      </c>
      <c r="S155" s="72">
        <f t="shared" si="84"/>
        <v>7900</v>
      </c>
      <c r="T155" s="68" t="s">
        <v>791</v>
      </c>
      <c r="U155" s="73">
        <f t="shared" si="85"/>
        <v>62100</v>
      </c>
      <c r="V155" s="75">
        <f>2000+4850+600+200+250</f>
        <v>7900</v>
      </c>
      <c r="W155" s="2">
        <f t="shared" si="69"/>
        <v>70000</v>
      </c>
      <c r="Y155" s="80">
        <f t="shared" si="70"/>
        <v>70000</v>
      </c>
      <c r="Z155" s="93"/>
      <c r="AA155" s="93"/>
      <c r="AB155" s="94"/>
      <c r="AE155" s="2">
        <v>95000</v>
      </c>
      <c r="AF155" s="28">
        <f t="shared" si="65"/>
        <v>95000</v>
      </c>
      <c r="AG155" s="55" t="s">
        <v>125</v>
      </c>
      <c r="AI155" s="20" t="s">
        <v>206</v>
      </c>
      <c r="AJ155" s="2">
        <f t="shared" si="71"/>
        <v>25000</v>
      </c>
      <c r="AN155" s="29">
        <f t="shared" si="72"/>
        <v>0.26315789473684209</v>
      </c>
      <c r="AP155" s="3" t="s">
        <v>29</v>
      </c>
      <c r="AQ155" s="1" t="s">
        <v>139</v>
      </c>
      <c r="AR155" s="31">
        <f t="shared" si="73"/>
        <v>0</v>
      </c>
      <c r="AS155" s="31">
        <f t="shared" si="74"/>
        <v>0</v>
      </c>
      <c r="AT155" s="31">
        <f t="shared" si="86"/>
        <v>0</v>
      </c>
      <c r="AU155" s="31">
        <f t="shared" si="75"/>
        <v>0</v>
      </c>
      <c r="AV155" s="31">
        <f t="shared" si="76"/>
        <v>0</v>
      </c>
      <c r="AW155" s="31">
        <f t="shared" si="77"/>
        <v>0</v>
      </c>
      <c r="AX155" s="31">
        <f t="shared" si="78"/>
        <v>0</v>
      </c>
      <c r="AY155" s="31">
        <f t="shared" si="79"/>
        <v>0</v>
      </c>
      <c r="AZ155" s="31">
        <f t="shared" si="80"/>
        <v>0</v>
      </c>
      <c r="BA155" s="31">
        <f t="shared" si="81"/>
        <v>0</v>
      </c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41"/>
      <c r="BM155" s="41"/>
      <c r="BN155" s="41"/>
      <c r="BO155" s="37"/>
      <c r="BP155" s="38"/>
      <c r="BQ155" s="37"/>
      <c r="BR155" s="40"/>
      <c r="BS155" s="39"/>
      <c r="BT155" s="39"/>
      <c r="BU155" s="39"/>
      <c r="BV155" s="39"/>
      <c r="BW155" s="39"/>
      <c r="BX155" s="36"/>
      <c r="BY155" s="33"/>
      <c r="BZ155" s="33"/>
      <c r="CA155" s="33"/>
      <c r="CB155" s="34"/>
      <c r="CC155" s="33"/>
      <c r="CD155" s="35"/>
      <c r="CE155" s="48"/>
      <c r="CF155" s="48"/>
      <c r="CG155" s="48"/>
      <c r="CH155" s="48"/>
      <c r="CI155" s="48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35"/>
      <c r="CW155" s="35"/>
      <c r="CX155" s="35"/>
      <c r="CY155" s="35"/>
      <c r="CZ155" s="35"/>
      <c r="DA155" s="35"/>
      <c r="DB155" s="35"/>
      <c r="DC155" s="35"/>
      <c r="DD155" s="40"/>
      <c r="DE155" s="40"/>
      <c r="DF155" s="40"/>
      <c r="DG155" s="40"/>
      <c r="DH155" s="40"/>
      <c r="DI155" s="40"/>
      <c r="DJ155" s="40"/>
      <c r="DK155" s="40"/>
      <c r="DL155" s="35"/>
      <c r="DM155" s="35"/>
      <c r="DN155" s="35"/>
      <c r="DO155" s="35"/>
      <c r="DP155" s="35"/>
      <c r="DQ155" s="35"/>
      <c r="DR155" s="35"/>
      <c r="DS155" s="35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40"/>
      <c r="ES155" s="40"/>
      <c r="ET155" s="40"/>
      <c r="EU155" s="40"/>
      <c r="EV155" s="40"/>
      <c r="EW155" s="40"/>
      <c r="EX155" s="40"/>
      <c r="EY155" s="40"/>
      <c r="EZ155" s="35"/>
      <c r="FA155" s="35"/>
      <c r="FB155" s="35"/>
      <c r="FC155" s="35"/>
      <c r="FD155" s="35"/>
      <c r="FE155" s="35"/>
      <c r="FF155" s="35"/>
      <c r="FG155" s="35"/>
    </row>
    <row r="156" spans="1:163">
      <c r="A156" s="60">
        <v>131</v>
      </c>
      <c r="E156" s="63" t="s">
        <v>58</v>
      </c>
      <c r="F156" s="56" t="s">
        <v>60</v>
      </c>
      <c r="G156" s="65" t="s">
        <v>510</v>
      </c>
      <c r="H156" s="66" t="str">
        <f t="shared" si="67"/>
        <v xml:space="preserve"> 493</v>
      </c>
      <c r="I156" s="67" t="s">
        <v>510</v>
      </c>
      <c r="J156" s="68">
        <f t="shared" si="68"/>
        <v>0</v>
      </c>
      <c r="K156" s="63" t="s">
        <v>267</v>
      </c>
      <c r="L156" s="1" t="s">
        <v>46</v>
      </c>
      <c r="O156" s="64" t="s">
        <v>789</v>
      </c>
      <c r="P156" s="82">
        <v>0</v>
      </c>
      <c r="Q156" s="74">
        <f t="shared" si="82"/>
        <v>70000</v>
      </c>
      <c r="R156" s="71">
        <v>70000</v>
      </c>
      <c r="S156" s="72">
        <f t="shared" si="84"/>
        <v>7900</v>
      </c>
      <c r="T156" s="68" t="s">
        <v>791</v>
      </c>
      <c r="U156" s="73">
        <f t="shared" si="85"/>
        <v>62100</v>
      </c>
      <c r="V156" s="75">
        <f>2000+4850+600+200+250</f>
        <v>7900</v>
      </c>
      <c r="W156" s="2">
        <f t="shared" si="69"/>
        <v>70000</v>
      </c>
      <c r="Y156" s="80">
        <f t="shared" si="70"/>
        <v>70000</v>
      </c>
      <c r="Z156" s="93"/>
      <c r="AA156" s="93"/>
      <c r="AB156" s="94"/>
      <c r="AE156" s="2">
        <v>127000</v>
      </c>
      <c r="AF156" s="28">
        <f t="shared" si="65"/>
        <v>127000</v>
      </c>
      <c r="AG156" s="55" t="s">
        <v>125</v>
      </c>
      <c r="AI156" s="20" t="s">
        <v>204</v>
      </c>
      <c r="AJ156" s="2">
        <f t="shared" si="71"/>
        <v>57000</v>
      </c>
      <c r="AN156" s="29">
        <f t="shared" si="72"/>
        <v>0.44881889763779526</v>
      </c>
      <c r="AP156" s="3" t="s">
        <v>29</v>
      </c>
      <c r="AQ156" s="1" t="s">
        <v>142</v>
      </c>
      <c r="AR156" s="31">
        <f t="shared" si="73"/>
        <v>0</v>
      </c>
      <c r="AS156" s="31">
        <f t="shared" si="74"/>
        <v>0</v>
      </c>
      <c r="AT156" s="31">
        <f t="shared" si="86"/>
        <v>0</v>
      </c>
      <c r="AU156" s="31">
        <f t="shared" si="75"/>
        <v>0</v>
      </c>
      <c r="AV156" s="31">
        <f t="shared" si="76"/>
        <v>0</v>
      </c>
      <c r="AW156" s="31">
        <f t="shared" si="77"/>
        <v>0</v>
      </c>
      <c r="AX156" s="31">
        <f t="shared" si="78"/>
        <v>0</v>
      </c>
      <c r="AY156" s="31">
        <f t="shared" si="79"/>
        <v>0</v>
      </c>
      <c r="AZ156" s="31">
        <f t="shared" si="80"/>
        <v>0</v>
      </c>
      <c r="BA156" s="31">
        <f t="shared" si="81"/>
        <v>0</v>
      </c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41"/>
      <c r="BM156" s="41"/>
      <c r="BN156" s="41"/>
      <c r="BO156" s="37"/>
      <c r="BP156" s="38"/>
      <c r="BQ156" s="37"/>
      <c r="BR156" s="40"/>
      <c r="BS156" s="39"/>
      <c r="BT156" s="39"/>
      <c r="BU156" s="39"/>
      <c r="BV156" s="39"/>
      <c r="BW156" s="39"/>
      <c r="BX156" s="36"/>
      <c r="BY156" s="33"/>
      <c r="BZ156" s="33"/>
      <c r="CA156" s="33"/>
      <c r="CB156" s="34"/>
      <c r="CC156" s="33"/>
      <c r="CD156" s="35"/>
      <c r="CE156" s="48"/>
      <c r="CF156" s="48"/>
      <c r="CG156" s="48"/>
      <c r="CH156" s="48"/>
      <c r="CI156" s="48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35"/>
      <c r="CW156" s="35"/>
      <c r="CX156" s="35"/>
      <c r="CY156" s="35"/>
      <c r="CZ156" s="35"/>
      <c r="DA156" s="35"/>
      <c r="DB156" s="35"/>
      <c r="DC156" s="35"/>
      <c r="DD156" s="40"/>
      <c r="DE156" s="40"/>
      <c r="DF156" s="40"/>
      <c r="DG156" s="40"/>
      <c r="DH156" s="40"/>
      <c r="DI156" s="40"/>
      <c r="DJ156" s="40"/>
      <c r="DK156" s="40"/>
      <c r="DL156" s="35"/>
      <c r="DM156" s="35"/>
      <c r="DN156" s="35"/>
      <c r="DO156" s="35"/>
      <c r="DP156" s="35"/>
      <c r="DQ156" s="35"/>
      <c r="DR156" s="35"/>
      <c r="DS156" s="35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40"/>
      <c r="ES156" s="40"/>
      <c r="ET156" s="40"/>
      <c r="EU156" s="40"/>
      <c r="EV156" s="40"/>
      <c r="EW156" s="40"/>
      <c r="EX156" s="40"/>
      <c r="EY156" s="40"/>
      <c r="EZ156" s="35"/>
      <c r="FA156" s="35"/>
      <c r="FB156" s="35"/>
      <c r="FC156" s="35"/>
      <c r="FD156" s="35"/>
      <c r="FE156" s="35"/>
      <c r="FF156" s="35"/>
      <c r="FG156" s="35"/>
    </row>
    <row r="157" spans="1:163">
      <c r="A157" s="62">
        <v>338</v>
      </c>
      <c r="E157" s="63" t="s">
        <v>225</v>
      </c>
      <c r="F157" s="56" t="s">
        <v>78</v>
      </c>
      <c r="G157" s="65" t="s">
        <v>709</v>
      </c>
      <c r="H157" s="66" t="str">
        <f t="shared" si="67"/>
        <v xml:space="preserve"> 481</v>
      </c>
      <c r="I157" s="67" t="s">
        <v>709</v>
      </c>
      <c r="J157" s="68">
        <f t="shared" si="68"/>
        <v>0</v>
      </c>
      <c r="K157" s="63" t="s">
        <v>362</v>
      </c>
      <c r="L157" s="1" t="s">
        <v>46</v>
      </c>
      <c r="O157" s="64" t="s">
        <v>789</v>
      </c>
      <c r="P157" s="82">
        <v>0</v>
      </c>
      <c r="Q157" s="74">
        <f t="shared" si="82"/>
        <v>57500</v>
      </c>
      <c r="R157" s="71">
        <v>57500</v>
      </c>
      <c r="S157" s="72">
        <f t="shared" si="84"/>
        <v>8550</v>
      </c>
      <c r="T157" s="68" t="s">
        <v>791</v>
      </c>
      <c r="U157" s="73">
        <f t="shared" si="85"/>
        <v>48950</v>
      </c>
      <c r="V157" s="75">
        <f>2000+5500+600+200+250</f>
        <v>8550</v>
      </c>
      <c r="W157" s="2">
        <f t="shared" si="69"/>
        <v>57500</v>
      </c>
      <c r="Y157" s="80">
        <f t="shared" si="70"/>
        <v>57500</v>
      </c>
      <c r="Z157" s="93"/>
      <c r="AA157" s="93"/>
      <c r="AB157" s="94"/>
      <c r="AC157" s="2">
        <v>4500</v>
      </c>
      <c r="AD157" s="2">
        <f>Z157+AC157</f>
        <v>4500</v>
      </c>
      <c r="AF157" s="28">
        <f t="shared" si="65"/>
        <v>0</v>
      </c>
      <c r="AG157" s="55" t="s">
        <v>125</v>
      </c>
      <c r="AI157" s="20" t="s">
        <v>205</v>
      </c>
      <c r="AJ157" s="2">
        <f t="shared" si="71"/>
        <v>-57500</v>
      </c>
      <c r="AN157" s="29" t="e">
        <f t="shared" si="72"/>
        <v>#DIV/0!</v>
      </c>
      <c r="AO157" s="29" t="e">
        <f>AN157-AB157</f>
        <v>#DIV/0!</v>
      </c>
      <c r="AP157" s="3" t="s">
        <v>140</v>
      </c>
      <c r="AQ157" s="1" t="s">
        <v>178</v>
      </c>
      <c r="AR157" s="31">
        <f t="shared" si="73"/>
        <v>0</v>
      </c>
      <c r="AS157" s="31">
        <f t="shared" si="74"/>
        <v>0</v>
      </c>
      <c r="AT157" s="31">
        <f>IF(BX157&lt;&gt;"", AF157-BX157, 0)</f>
        <v>0</v>
      </c>
      <c r="AU157" s="31">
        <f t="shared" si="75"/>
        <v>-89046</v>
      </c>
      <c r="AV157" s="31">
        <f t="shared" si="76"/>
        <v>0</v>
      </c>
      <c r="AW157" s="31">
        <f t="shared" si="77"/>
        <v>-93712</v>
      </c>
      <c r="AX157" s="31">
        <f t="shared" si="78"/>
        <v>0</v>
      </c>
      <c r="AY157" s="31">
        <f t="shared" si="79"/>
        <v>0</v>
      </c>
      <c r="AZ157" s="31">
        <f t="shared" si="80"/>
        <v>0</v>
      </c>
      <c r="BA157" s="31">
        <f t="shared" si="81"/>
        <v>0</v>
      </c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35"/>
      <c r="CW157" s="35"/>
      <c r="CX157" s="35"/>
      <c r="CY157" s="35"/>
      <c r="CZ157" s="35"/>
      <c r="DA157" s="35"/>
      <c r="DB157" s="35"/>
      <c r="DC157" s="35"/>
      <c r="DD157" s="40">
        <v>89046</v>
      </c>
      <c r="DE157" s="37">
        <f>DD157-Y157</f>
        <v>31546</v>
      </c>
      <c r="DF157" s="38">
        <f>DE157/DD157</f>
        <v>0.35426633425420567</v>
      </c>
      <c r="DG157" s="37">
        <f>AF157-DD157</f>
        <v>-89046</v>
      </c>
      <c r="DH157" s="40" t="s">
        <v>91</v>
      </c>
      <c r="DI157" s="40"/>
      <c r="DJ157" s="40"/>
      <c r="DK157" s="40"/>
      <c r="DL157" s="36">
        <v>93712</v>
      </c>
      <c r="DM157" s="33">
        <f>DL157-Y157</f>
        <v>36212</v>
      </c>
      <c r="DN157" s="34">
        <f>DM157/DL157</f>
        <v>0.386417961413693</v>
      </c>
      <c r="DO157" s="33">
        <f>AF157-DL157</f>
        <v>-93712</v>
      </c>
      <c r="DP157" s="35" t="s">
        <v>90</v>
      </c>
      <c r="DQ157" s="35"/>
      <c r="DR157" s="35"/>
      <c r="DS157" s="35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40"/>
      <c r="ES157" s="40"/>
      <c r="ET157" s="40"/>
      <c r="EU157" s="40"/>
      <c r="EV157" s="40"/>
      <c r="EW157" s="40"/>
      <c r="EX157" s="40"/>
      <c r="EY157" s="40"/>
      <c r="EZ157" s="35"/>
      <c r="FA157" s="35"/>
      <c r="FB157" s="35"/>
      <c r="FC157" s="35"/>
      <c r="FD157" s="35"/>
      <c r="FE157" s="35"/>
      <c r="FF157" s="35"/>
      <c r="FG157" s="35"/>
    </row>
    <row r="158" spans="1:163">
      <c r="A158" s="62">
        <v>341</v>
      </c>
      <c r="E158" s="63" t="s">
        <v>225</v>
      </c>
      <c r="F158" s="56" t="s">
        <v>79</v>
      </c>
      <c r="G158" s="65" t="s">
        <v>712</v>
      </c>
      <c r="H158" s="66" t="str">
        <f t="shared" si="67"/>
        <v xml:space="preserve"> 847</v>
      </c>
      <c r="I158" s="67" t="s">
        <v>712</v>
      </c>
      <c r="J158" s="68">
        <f t="shared" si="68"/>
        <v>0</v>
      </c>
      <c r="K158" s="63" t="s">
        <v>362</v>
      </c>
      <c r="L158" s="1" t="s">
        <v>46</v>
      </c>
      <c r="O158" s="64" t="s">
        <v>789</v>
      </c>
      <c r="P158" s="82">
        <v>0</v>
      </c>
      <c r="Q158" s="74">
        <f t="shared" si="82"/>
        <v>57500</v>
      </c>
      <c r="R158" s="71">
        <v>57500</v>
      </c>
      <c r="S158" s="72">
        <f t="shared" si="84"/>
        <v>8550</v>
      </c>
      <c r="T158" s="68" t="s">
        <v>791</v>
      </c>
      <c r="U158" s="73">
        <f t="shared" si="85"/>
        <v>48950</v>
      </c>
      <c r="V158" s="75">
        <f>2000+5500+600+200+250</f>
        <v>8550</v>
      </c>
      <c r="W158" s="2">
        <f t="shared" si="69"/>
        <v>57500</v>
      </c>
      <c r="Y158" s="80">
        <f t="shared" si="70"/>
        <v>57500</v>
      </c>
      <c r="Z158" s="93"/>
      <c r="AA158" s="93"/>
      <c r="AB158" s="94"/>
      <c r="AE158" s="2">
        <v>83000</v>
      </c>
      <c r="AF158" s="28">
        <f t="shared" si="65"/>
        <v>83000</v>
      </c>
      <c r="AG158" s="55" t="s">
        <v>125</v>
      </c>
      <c r="AI158" s="20" t="s">
        <v>45</v>
      </c>
      <c r="AJ158" s="2">
        <f t="shared" si="71"/>
        <v>25500</v>
      </c>
      <c r="AN158" s="29">
        <f t="shared" si="72"/>
        <v>0.30722891566265059</v>
      </c>
      <c r="AP158" s="3" t="s">
        <v>29</v>
      </c>
      <c r="AQ158" s="1" t="s">
        <v>176</v>
      </c>
      <c r="AR158" s="31">
        <f t="shared" si="73"/>
        <v>0</v>
      </c>
      <c r="AS158" s="31">
        <f t="shared" si="74"/>
        <v>0</v>
      </c>
      <c r="AT158" s="31">
        <f>IF(BZ158&lt;&gt;"", AF158-BZ158, 0)</f>
        <v>0</v>
      </c>
      <c r="AU158" s="31">
        <f t="shared" si="75"/>
        <v>0</v>
      </c>
      <c r="AV158" s="31">
        <f t="shared" si="76"/>
        <v>0</v>
      </c>
      <c r="AW158" s="31">
        <f t="shared" si="77"/>
        <v>0</v>
      </c>
      <c r="AX158" s="31">
        <f t="shared" si="78"/>
        <v>0</v>
      </c>
      <c r="AY158" s="31">
        <f t="shared" si="79"/>
        <v>0</v>
      </c>
      <c r="AZ158" s="31">
        <f t="shared" si="80"/>
        <v>0</v>
      </c>
      <c r="BA158" s="31">
        <f t="shared" si="81"/>
        <v>0</v>
      </c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35"/>
      <c r="CW158" s="35"/>
      <c r="CX158" s="35"/>
      <c r="CY158" s="35"/>
      <c r="CZ158" s="35"/>
      <c r="DA158" s="35"/>
      <c r="DB158" s="35"/>
      <c r="DC158" s="35"/>
      <c r="DD158" s="40"/>
      <c r="DE158" s="40"/>
      <c r="DF158" s="40"/>
      <c r="DG158" s="40"/>
      <c r="DH158" s="40"/>
      <c r="DI158" s="40"/>
      <c r="DJ158" s="40"/>
      <c r="DK158" s="40"/>
      <c r="DL158" s="35"/>
      <c r="DM158" s="35"/>
      <c r="DN158" s="35"/>
      <c r="DO158" s="35"/>
      <c r="DP158" s="35"/>
      <c r="DQ158" s="35"/>
      <c r="DR158" s="35"/>
      <c r="DS158" s="35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40"/>
      <c r="ES158" s="40"/>
      <c r="ET158" s="40"/>
      <c r="EU158" s="40"/>
      <c r="EV158" s="40"/>
      <c r="EW158" s="40"/>
      <c r="EX158" s="40"/>
      <c r="EY158" s="40"/>
      <c r="EZ158" s="35"/>
      <c r="FA158" s="35"/>
      <c r="FB158" s="35"/>
      <c r="FC158" s="35"/>
      <c r="FD158" s="35"/>
      <c r="FE158" s="35"/>
      <c r="FF158" s="35"/>
      <c r="FG158" s="35"/>
    </row>
    <row r="159" spans="1:163">
      <c r="A159" s="62">
        <v>343</v>
      </c>
      <c r="E159" s="63" t="s">
        <v>224</v>
      </c>
      <c r="F159" s="56" t="s">
        <v>79</v>
      </c>
      <c r="G159" s="65" t="s">
        <v>714</v>
      </c>
      <c r="H159" s="66" t="str">
        <f t="shared" si="67"/>
        <v xml:space="preserve"> 249</v>
      </c>
      <c r="I159" s="67" t="s">
        <v>714</v>
      </c>
      <c r="J159" s="68">
        <f t="shared" si="68"/>
        <v>0</v>
      </c>
      <c r="K159" s="63" t="s">
        <v>362</v>
      </c>
      <c r="L159" s="1" t="s">
        <v>46</v>
      </c>
      <c r="O159" s="64" t="s">
        <v>789</v>
      </c>
      <c r="P159" s="82">
        <v>0</v>
      </c>
      <c r="Q159" s="74">
        <f t="shared" si="82"/>
        <v>57500</v>
      </c>
      <c r="R159" s="71">
        <v>57500</v>
      </c>
      <c r="S159" s="72">
        <f t="shared" si="84"/>
        <v>8550</v>
      </c>
      <c r="T159" s="68" t="s">
        <v>791</v>
      </c>
      <c r="U159" s="73">
        <f t="shared" si="85"/>
        <v>48950</v>
      </c>
      <c r="V159" s="75">
        <f>2000+5500+600+200+250</f>
        <v>8550</v>
      </c>
      <c r="W159" s="2">
        <f t="shared" si="69"/>
        <v>57500</v>
      </c>
      <c r="Y159" s="80">
        <f t="shared" si="70"/>
        <v>57500</v>
      </c>
      <c r="Z159" s="93"/>
      <c r="AA159" s="93"/>
      <c r="AB159" s="94"/>
      <c r="AE159" s="2">
        <v>83000</v>
      </c>
      <c r="AF159" s="28">
        <f t="shared" si="65"/>
        <v>83000</v>
      </c>
      <c r="AG159" s="55" t="s">
        <v>125</v>
      </c>
      <c r="AI159" s="20" t="s">
        <v>45</v>
      </c>
      <c r="AJ159" s="2">
        <f t="shared" si="71"/>
        <v>25500</v>
      </c>
      <c r="AN159" s="29">
        <f t="shared" si="72"/>
        <v>0.30722891566265059</v>
      </c>
      <c r="AP159" s="3" t="s">
        <v>29</v>
      </c>
      <c r="AQ159" s="1" t="s">
        <v>176</v>
      </c>
      <c r="AR159" s="31">
        <f t="shared" si="73"/>
        <v>0</v>
      </c>
      <c r="AS159" s="31">
        <f t="shared" si="74"/>
        <v>0</v>
      </c>
      <c r="AT159" s="31">
        <f>IF(BZ159&lt;&gt;"", AF159-BZ159, 0)</f>
        <v>0</v>
      </c>
      <c r="AU159" s="31">
        <f t="shared" si="75"/>
        <v>0</v>
      </c>
      <c r="AV159" s="31">
        <f t="shared" si="76"/>
        <v>0</v>
      </c>
      <c r="AW159" s="31">
        <f t="shared" si="77"/>
        <v>0</v>
      </c>
      <c r="AX159" s="31">
        <f t="shared" si="78"/>
        <v>0</v>
      </c>
      <c r="AY159" s="31">
        <f t="shared" si="79"/>
        <v>0</v>
      </c>
      <c r="AZ159" s="31">
        <f t="shared" si="80"/>
        <v>0</v>
      </c>
      <c r="BA159" s="31">
        <f t="shared" si="81"/>
        <v>0</v>
      </c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35"/>
      <c r="CW159" s="35"/>
      <c r="CX159" s="35"/>
      <c r="CY159" s="35"/>
      <c r="CZ159" s="35"/>
      <c r="DA159" s="35"/>
      <c r="DB159" s="35"/>
      <c r="DC159" s="35"/>
      <c r="DD159" s="40"/>
      <c r="DE159" s="40"/>
      <c r="DF159" s="40"/>
      <c r="DG159" s="40"/>
      <c r="DH159" s="40"/>
      <c r="DI159" s="40"/>
      <c r="DJ159" s="40"/>
      <c r="DK159" s="40"/>
      <c r="DL159" s="35"/>
      <c r="DM159" s="35"/>
      <c r="DN159" s="35"/>
      <c r="DO159" s="35"/>
      <c r="DP159" s="35"/>
      <c r="DQ159" s="35"/>
      <c r="DR159" s="35"/>
      <c r="DS159" s="35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40"/>
      <c r="ES159" s="40"/>
      <c r="ET159" s="40"/>
      <c r="EU159" s="40"/>
      <c r="EV159" s="40"/>
      <c r="EW159" s="40"/>
      <c r="EX159" s="40"/>
      <c r="EY159" s="40"/>
      <c r="EZ159" s="35"/>
      <c r="FA159" s="35"/>
      <c r="FB159" s="35"/>
      <c r="FC159" s="35"/>
      <c r="FD159" s="35"/>
      <c r="FE159" s="35"/>
      <c r="FF159" s="35"/>
      <c r="FG159" s="35"/>
    </row>
    <row r="160" spans="1:163">
      <c r="A160" s="62">
        <v>382</v>
      </c>
      <c r="E160" s="63" t="s">
        <v>214</v>
      </c>
      <c r="F160" s="56" t="s">
        <v>80</v>
      </c>
      <c r="G160" s="65" t="s">
        <v>750</v>
      </c>
      <c r="H160" s="66" t="str">
        <f t="shared" si="67"/>
        <v xml:space="preserve"> 291</v>
      </c>
      <c r="I160" s="67" t="s">
        <v>750</v>
      </c>
      <c r="J160" s="68">
        <f t="shared" si="68"/>
        <v>0</v>
      </c>
      <c r="K160" s="63" t="s">
        <v>362</v>
      </c>
      <c r="L160" s="1" t="s">
        <v>46</v>
      </c>
      <c r="O160" s="64" t="s">
        <v>789</v>
      </c>
      <c r="P160" s="82">
        <v>0</v>
      </c>
      <c r="Q160" s="74">
        <f t="shared" si="82"/>
        <v>92500</v>
      </c>
      <c r="R160" s="71">
        <v>92500</v>
      </c>
      <c r="S160" s="72">
        <f t="shared" si="84"/>
        <v>8250</v>
      </c>
      <c r="T160" s="68" t="s">
        <v>791</v>
      </c>
      <c r="U160" s="73">
        <f t="shared" si="85"/>
        <v>84250</v>
      </c>
      <c r="V160" s="75">
        <f>2000+5200+600+200+250</f>
        <v>8250</v>
      </c>
      <c r="W160" s="2">
        <f t="shared" si="69"/>
        <v>92500</v>
      </c>
      <c r="Y160" s="80">
        <f t="shared" si="70"/>
        <v>92500</v>
      </c>
      <c r="Z160" s="93"/>
      <c r="AA160" s="93"/>
      <c r="AB160" s="94"/>
      <c r="AE160" s="2">
        <v>85000</v>
      </c>
      <c r="AF160" s="28">
        <f t="shared" si="65"/>
        <v>85000</v>
      </c>
      <c r="AG160" s="55" t="s">
        <v>125</v>
      </c>
      <c r="AI160" s="20" t="s">
        <v>204</v>
      </c>
      <c r="AJ160" s="2">
        <f t="shared" si="71"/>
        <v>-7500</v>
      </c>
      <c r="AN160" s="29">
        <f t="shared" si="72"/>
        <v>-8.8235294117647065E-2</v>
      </c>
      <c r="AP160" s="3" t="s">
        <v>140</v>
      </c>
      <c r="AQ160" s="1" t="s">
        <v>202</v>
      </c>
      <c r="AR160" s="31">
        <f t="shared" si="73"/>
        <v>0</v>
      </c>
      <c r="AS160" s="31">
        <f t="shared" si="74"/>
        <v>0</v>
      </c>
      <c r="AT160" s="31">
        <f>IF(BZ160&lt;&gt;"", AF160-BZ160, 0)</f>
        <v>0</v>
      </c>
      <c r="AU160" s="31">
        <f t="shared" si="75"/>
        <v>0</v>
      </c>
      <c r="AV160" s="31">
        <f t="shared" si="76"/>
        <v>3075</v>
      </c>
      <c r="AW160" s="31">
        <f t="shared" si="77"/>
        <v>0</v>
      </c>
      <c r="AX160" s="31">
        <f t="shared" si="78"/>
        <v>0</v>
      </c>
      <c r="AY160" s="31">
        <f t="shared" si="79"/>
        <v>0</v>
      </c>
      <c r="AZ160" s="31">
        <f t="shared" si="80"/>
        <v>0</v>
      </c>
      <c r="BA160" s="31">
        <f t="shared" si="81"/>
        <v>0</v>
      </c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41">
        <v>79425</v>
      </c>
      <c r="CK160" s="41">
        <v>2500</v>
      </c>
      <c r="CL160" s="37">
        <f>CJ160+CK160</f>
        <v>81925</v>
      </c>
      <c r="CM160" s="37">
        <f>CL160-Y160</f>
        <v>-10575</v>
      </c>
      <c r="CN160" s="38">
        <f>CM160/CJ160</f>
        <v>-0.13314447592067988</v>
      </c>
      <c r="CO160" s="37">
        <f>AF160-CL160</f>
        <v>3075</v>
      </c>
      <c r="CP160" s="40" t="s">
        <v>29</v>
      </c>
      <c r="CQ160" s="39"/>
      <c r="CR160" s="39"/>
      <c r="CS160" s="39"/>
      <c r="CT160" s="39"/>
      <c r="CU160" s="39"/>
      <c r="CV160" s="35"/>
      <c r="CW160" s="35"/>
      <c r="CX160" s="35"/>
      <c r="CY160" s="35"/>
      <c r="CZ160" s="35"/>
      <c r="DA160" s="35"/>
      <c r="DB160" s="35"/>
      <c r="DC160" s="35"/>
      <c r="DD160" s="39"/>
      <c r="DE160" s="39"/>
      <c r="DF160" s="39"/>
      <c r="DG160" s="39"/>
      <c r="DH160" s="39"/>
      <c r="DI160" s="39"/>
      <c r="DJ160" s="39"/>
      <c r="DK160" s="39"/>
      <c r="DL160" s="43"/>
      <c r="DM160" s="43"/>
      <c r="DN160" s="43"/>
      <c r="DO160" s="43"/>
      <c r="DP160" s="43"/>
      <c r="DQ160" s="43"/>
      <c r="DR160" s="43"/>
      <c r="DS160" s="43"/>
      <c r="DT160" s="42"/>
      <c r="DU160" s="37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0"/>
      <c r="ES160" s="40"/>
      <c r="ET160" s="40"/>
      <c r="EU160" s="40"/>
      <c r="EV160" s="40"/>
      <c r="EW160" s="40"/>
      <c r="EX160" s="40"/>
      <c r="EY160" s="40"/>
      <c r="EZ160" s="35"/>
      <c r="FA160" s="35"/>
      <c r="FB160" s="35"/>
      <c r="FC160" s="35"/>
      <c r="FD160" s="35"/>
      <c r="FE160" s="35"/>
      <c r="FF160" s="35"/>
      <c r="FG160" s="35"/>
    </row>
    <row r="161" spans="1:163">
      <c r="A161" s="62">
        <v>377</v>
      </c>
      <c r="E161" s="63" t="s">
        <v>231</v>
      </c>
      <c r="F161" s="56" t="s">
        <v>80</v>
      </c>
      <c r="G161" s="65" t="s">
        <v>746</v>
      </c>
      <c r="H161" s="66" t="str">
        <f t="shared" si="67"/>
        <v xml:space="preserve"> 475</v>
      </c>
      <c r="I161" s="67" t="s">
        <v>746</v>
      </c>
      <c r="J161" s="68">
        <f t="shared" si="68"/>
        <v>0</v>
      </c>
      <c r="K161" s="63" t="s">
        <v>362</v>
      </c>
      <c r="L161" s="1" t="s">
        <v>46</v>
      </c>
      <c r="O161" s="88" t="s">
        <v>790</v>
      </c>
      <c r="P161" s="89">
        <v>0</v>
      </c>
      <c r="Q161" s="90">
        <f t="shared" si="82"/>
        <v>47500</v>
      </c>
      <c r="R161" s="71">
        <v>47500</v>
      </c>
      <c r="S161" s="72">
        <f t="shared" si="84"/>
        <v>7900</v>
      </c>
      <c r="T161" s="68" t="s">
        <v>791</v>
      </c>
      <c r="U161" s="73">
        <f t="shared" si="85"/>
        <v>39600</v>
      </c>
      <c r="V161" s="75">
        <f>4850+600+200+250+2000</f>
        <v>7900</v>
      </c>
      <c r="W161" s="2">
        <f t="shared" si="69"/>
        <v>47500</v>
      </c>
      <c r="Y161" s="81">
        <f t="shared" si="70"/>
        <v>47500</v>
      </c>
      <c r="Z161" s="96">
        <v>0</v>
      </c>
      <c r="AA161" s="97">
        <f>U161-Z161</f>
        <v>39600</v>
      </c>
      <c r="AB161" s="98" t="e">
        <f>AA161/Z161</f>
        <v>#DIV/0!</v>
      </c>
      <c r="AE161" s="2">
        <v>76000</v>
      </c>
      <c r="AF161" s="28">
        <f t="shared" si="65"/>
        <v>0</v>
      </c>
      <c r="AG161" s="55" t="s">
        <v>125</v>
      </c>
      <c r="AI161" s="20" t="s">
        <v>204</v>
      </c>
      <c r="AJ161" s="2">
        <f t="shared" si="71"/>
        <v>-47500</v>
      </c>
      <c r="AN161" s="29" t="e">
        <f t="shared" si="72"/>
        <v>#DIV/0!</v>
      </c>
      <c r="AP161" s="3" t="s">
        <v>140</v>
      </c>
      <c r="AQ161" s="57" t="s">
        <v>141</v>
      </c>
      <c r="AR161" s="31">
        <f t="shared" si="73"/>
        <v>0</v>
      </c>
      <c r="AS161" s="31">
        <f t="shared" si="74"/>
        <v>-75060</v>
      </c>
      <c r="AT161" s="31">
        <f>IF(BZ161&lt;&gt;"", AF161-BZ161, 0)</f>
        <v>0</v>
      </c>
      <c r="AU161" s="31">
        <f t="shared" si="75"/>
        <v>0</v>
      </c>
      <c r="AV161" s="31">
        <f t="shared" si="76"/>
        <v>0</v>
      </c>
      <c r="AW161" s="31">
        <f t="shared" si="77"/>
        <v>0</v>
      </c>
      <c r="AX161" s="31">
        <f t="shared" si="78"/>
        <v>0</v>
      </c>
      <c r="AY161" s="31">
        <f t="shared" si="79"/>
        <v>0</v>
      </c>
      <c r="AZ161" s="31">
        <f t="shared" si="80"/>
        <v>0</v>
      </c>
      <c r="BA161" s="31">
        <f t="shared" si="81"/>
        <v>0</v>
      </c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6">
        <v>75060</v>
      </c>
      <c r="CW161" s="36">
        <f>CV161-Y161</f>
        <v>27560</v>
      </c>
      <c r="CX161" s="46">
        <f>CW161/CV161</f>
        <v>0.36717292832400744</v>
      </c>
      <c r="CY161" s="36">
        <f>AF161-CV161</f>
        <v>-75060</v>
      </c>
      <c r="CZ161" s="35" t="s">
        <v>29</v>
      </c>
      <c r="DA161" s="36"/>
      <c r="DB161" s="36"/>
      <c r="DC161" s="36"/>
      <c r="DD161" s="39"/>
      <c r="DE161" s="39"/>
      <c r="DF161" s="39"/>
      <c r="DG161" s="39"/>
      <c r="DH161" s="39"/>
      <c r="DI161" s="39"/>
      <c r="DJ161" s="39"/>
      <c r="DK161" s="39"/>
      <c r="DL161" s="43"/>
      <c r="DM161" s="43"/>
      <c r="DN161" s="43"/>
      <c r="DO161" s="43"/>
      <c r="DP161" s="43"/>
      <c r="DQ161" s="43"/>
      <c r="DR161" s="43"/>
      <c r="DS161" s="43"/>
      <c r="DT161" s="42"/>
      <c r="DU161" s="37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0"/>
      <c r="ES161" s="40"/>
      <c r="ET161" s="40"/>
      <c r="EU161" s="40"/>
      <c r="EV161" s="40"/>
      <c r="EW161" s="40"/>
      <c r="EX161" s="40"/>
      <c r="EY161" s="40"/>
      <c r="EZ161" s="35"/>
      <c r="FA161" s="35"/>
      <c r="FB161" s="35"/>
      <c r="FC161" s="35"/>
      <c r="FD161" s="35"/>
      <c r="FE161" s="35"/>
      <c r="FF161" s="35"/>
      <c r="FG161" s="35"/>
    </row>
    <row r="162" spans="1:163">
      <c r="A162" s="62">
        <v>337</v>
      </c>
      <c r="E162" s="63" t="s">
        <v>225</v>
      </c>
      <c r="F162" s="56" t="s">
        <v>78</v>
      </c>
      <c r="G162" s="65" t="s">
        <v>708</v>
      </c>
      <c r="H162" s="66" t="str">
        <f t="shared" si="67"/>
        <v xml:space="preserve"> 706</v>
      </c>
      <c r="I162" s="67" t="s">
        <v>708</v>
      </c>
      <c r="J162" s="68">
        <f t="shared" si="68"/>
        <v>0</v>
      </c>
      <c r="K162" s="63" t="s">
        <v>362</v>
      </c>
      <c r="L162" s="1" t="s">
        <v>46</v>
      </c>
      <c r="O162" s="88" t="s">
        <v>790</v>
      </c>
      <c r="P162" s="89">
        <v>0</v>
      </c>
      <c r="Q162" s="90">
        <f t="shared" si="82"/>
        <v>57500</v>
      </c>
      <c r="R162" s="71">
        <v>57500</v>
      </c>
      <c r="S162" s="72">
        <f t="shared" si="84"/>
        <v>8550</v>
      </c>
      <c r="T162" s="68" t="s">
        <v>791</v>
      </c>
      <c r="U162" s="73">
        <f t="shared" si="85"/>
        <v>48950</v>
      </c>
      <c r="V162" s="75">
        <f>2000+5500+600+200+250</f>
        <v>8550</v>
      </c>
      <c r="W162" s="2">
        <f t="shared" si="69"/>
        <v>57500</v>
      </c>
      <c r="Y162" s="81">
        <f t="shared" si="70"/>
        <v>57500</v>
      </c>
      <c r="Z162" s="96">
        <v>0</v>
      </c>
      <c r="AA162" s="97">
        <f>U162-Z162</f>
        <v>48950</v>
      </c>
      <c r="AB162" s="98" t="e">
        <f>AA162/Z162</f>
        <v>#DIV/0!</v>
      </c>
      <c r="AE162" s="2">
        <v>190000</v>
      </c>
      <c r="AF162" s="28">
        <f t="shared" si="65"/>
        <v>0</v>
      </c>
      <c r="AG162" s="55" t="s">
        <v>125</v>
      </c>
      <c r="AI162" s="20" t="s">
        <v>205</v>
      </c>
      <c r="AJ162" s="2">
        <f t="shared" si="71"/>
        <v>-57500</v>
      </c>
      <c r="AN162" s="29" t="e">
        <f t="shared" si="72"/>
        <v>#DIV/0!</v>
      </c>
      <c r="AP162" s="3" t="s">
        <v>140</v>
      </c>
      <c r="AQ162" s="1" t="s">
        <v>177</v>
      </c>
      <c r="AR162" s="31">
        <f t="shared" si="73"/>
        <v>0</v>
      </c>
      <c r="AS162" s="31">
        <f t="shared" si="74"/>
        <v>0</v>
      </c>
      <c r="AT162" s="31">
        <f>IF(BX162&lt;&gt;"", AF162-BX162, 0)</f>
        <v>0</v>
      </c>
      <c r="AU162" s="31">
        <f t="shared" si="75"/>
        <v>0</v>
      </c>
      <c r="AV162" s="31">
        <f t="shared" si="76"/>
        <v>0</v>
      </c>
      <c r="AW162" s="31">
        <f t="shared" si="77"/>
        <v>0</v>
      </c>
      <c r="AX162" s="31">
        <f t="shared" si="78"/>
        <v>0</v>
      </c>
      <c r="AY162" s="31">
        <f t="shared" si="79"/>
        <v>0</v>
      </c>
      <c r="AZ162" s="31">
        <f t="shared" si="80"/>
        <v>-156000</v>
      </c>
      <c r="BA162" s="31">
        <f t="shared" si="81"/>
        <v>0</v>
      </c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35"/>
      <c r="CW162" s="35"/>
      <c r="CX162" s="35"/>
      <c r="CY162" s="35"/>
      <c r="CZ162" s="35"/>
      <c r="DA162" s="35"/>
      <c r="DB162" s="35"/>
      <c r="DC162" s="35"/>
      <c r="DD162" s="40"/>
      <c r="DE162" s="40"/>
      <c r="DF162" s="40"/>
      <c r="DG162" s="40"/>
      <c r="DH162" s="40"/>
      <c r="DI162" s="40"/>
      <c r="DJ162" s="40"/>
      <c r="DK162" s="40"/>
      <c r="DL162" s="35"/>
      <c r="DM162" s="35"/>
      <c r="DN162" s="35"/>
      <c r="DO162" s="35"/>
      <c r="DP162" s="35"/>
      <c r="DQ162" s="35"/>
      <c r="DR162" s="35"/>
      <c r="DS162" s="35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40">
        <v>156000</v>
      </c>
      <c r="ES162" s="37">
        <f>ER162-Y162</f>
        <v>98500</v>
      </c>
      <c r="ET162" s="38">
        <f>ES162/ER162</f>
        <v>0.63141025641025639</v>
      </c>
      <c r="EU162" s="37">
        <f>AF162-ER162</f>
        <v>-156000</v>
      </c>
      <c r="EV162" s="40" t="s">
        <v>89</v>
      </c>
      <c r="EW162" s="40"/>
      <c r="EX162" s="40"/>
      <c r="EY162" s="40"/>
      <c r="EZ162" s="35"/>
      <c r="FA162" s="35"/>
      <c r="FB162" s="35"/>
      <c r="FC162" s="35"/>
      <c r="FD162" s="35"/>
      <c r="FE162" s="35"/>
      <c r="FF162" s="35"/>
      <c r="FG162" s="35"/>
    </row>
    <row r="163" spans="1:163">
      <c r="A163" s="60">
        <v>214</v>
      </c>
      <c r="E163" s="63" t="s">
        <v>218</v>
      </c>
      <c r="F163" s="56" t="s">
        <v>67</v>
      </c>
      <c r="G163" s="70" t="s">
        <v>594</v>
      </c>
      <c r="H163" s="66" t="str">
        <f t="shared" si="67"/>
        <v xml:space="preserve"> 623</v>
      </c>
      <c r="I163" s="67" t="s">
        <v>594</v>
      </c>
      <c r="J163" s="68">
        <f t="shared" si="68"/>
        <v>0</v>
      </c>
      <c r="K163" s="63" t="s">
        <v>325</v>
      </c>
      <c r="L163" s="1" t="s">
        <v>46</v>
      </c>
      <c r="O163" s="64" t="s">
        <v>789</v>
      </c>
      <c r="P163" s="82">
        <v>0</v>
      </c>
      <c r="Q163" s="74">
        <f t="shared" si="82"/>
        <v>134000</v>
      </c>
      <c r="R163" s="71">
        <v>134000</v>
      </c>
      <c r="S163" s="72">
        <f t="shared" si="84"/>
        <v>8550</v>
      </c>
      <c r="T163" s="68" t="s">
        <v>791</v>
      </c>
      <c r="U163" s="73">
        <f t="shared" si="85"/>
        <v>125450</v>
      </c>
      <c r="V163" s="73">
        <f>2000+5500+600+200+250</f>
        <v>8550</v>
      </c>
      <c r="W163" s="2">
        <f t="shared" si="69"/>
        <v>134000</v>
      </c>
      <c r="Y163" s="80">
        <f t="shared" si="70"/>
        <v>134000</v>
      </c>
      <c r="Z163" s="93"/>
      <c r="AA163" s="93"/>
      <c r="AB163" s="94"/>
      <c r="AE163" s="2">
        <v>180000</v>
      </c>
      <c r="AF163" s="28">
        <f t="shared" si="65"/>
        <v>180000</v>
      </c>
      <c r="AG163" s="55" t="s">
        <v>125</v>
      </c>
      <c r="AI163" s="20" t="s">
        <v>204</v>
      </c>
      <c r="AJ163" s="2">
        <f t="shared" si="71"/>
        <v>46000</v>
      </c>
      <c r="AN163" s="29">
        <f t="shared" si="72"/>
        <v>0.25555555555555554</v>
      </c>
      <c r="AP163" s="3" t="s">
        <v>158</v>
      </c>
      <c r="AR163" s="31">
        <f t="shared" si="73"/>
        <v>0</v>
      </c>
      <c r="AS163" s="31">
        <f t="shared" si="74"/>
        <v>0</v>
      </c>
      <c r="AT163" s="31">
        <f>IF(BX163&lt;&gt;"", AF163-BX163, 0)</f>
        <v>0</v>
      </c>
      <c r="AU163" s="31">
        <f t="shared" si="75"/>
        <v>0</v>
      </c>
      <c r="AV163" s="31">
        <f t="shared" si="76"/>
        <v>0</v>
      </c>
      <c r="AW163" s="31">
        <f t="shared" si="77"/>
        <v>0</v>
      </c>
      <c r="AX163" s="31">
        <f t="shared" si="78"/>
        <v>0</v>
      </c>
      <c r="AY163" s="31">
        <f t="shared" si="79"/>
        <v>0</v>
      </c>
      <c r="AZ163" s="31">
        <f t="shared" si="80"/>
        <v>0</v>
      </c>
      <c r="BA163" s="31">
        <f t="shared" si="81"/>
        <v>0</v>
      </c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41"/>
      <c r="BM163" s="41"/>
      <c r="BN163" s="41"/>
      <c r="BO163" s="37"/>
      <c r="BP163" s="38"/>
      <c r="BQ163" s="37"/>
      <c r="BR163" s="40"/>
      <c r="BS163" s="39"/>
      <c r="BT163" s="39"/>
      <c r="BU163" s="39"/>
      <c r="BV163" s="39"/>
      <c r="BW163" s="39"/>
      <c r="BX163" s="36"/>
      <c r="BY163" s="33"/>
      <c r="BZ163" s="33"/>
      <c r="CA163" s="33"/>
      <c r="CB163" s="34"/>
      <c r="CC163" s="33"/>
      <c r="CD163" s="35"/>
      <c r="CE163" s="48"/>
      <c r="CF163" s="48"/>
      <c r="CG163" s="48"/>
      <c r="CH163" s="48"/>
      <c r="CI163" s="48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35"/>
      <c r="CW163" s="35"/>
      <c r="CX163" s="35"/>
      <c r="CY163" s="35"/>
      <c r="CZ163" s="35"/>
      <c r="DA163" s="35"/>
      <c r="DB163" s="35"/>
      <c r="DC163" s="35"/>
      <c r="DD163" s="40"/>
      <c r="DE163" s="40"/>
      <c r="DF163" s="40"/>
      <c r="DG163" s="40"/>
      <c r="DH163" s="40"/>
      <c r="DI163" s="40"/>
      <c r="DJ163" s="40"/>
      <c r="DK163" s="40"/>
      <c r="DL163" s="35"/>
      <c r="DM163" s="35"/>
      <c r="DN163" s="35"/>
      <c r="DO163" s="35"/>
      <c r="DP163" s="35"/>
      <c r="DQ163" s="35"/>
      <c r="DR163" s="35"/>
      <c r="DS163" s="35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40"/>
      <c r="ES163" s="40"/>
      <c r="ET163" s="40"/>
      <c r="EU163" s="40"/>
      <c r="EV163" s="40"/>
      <c r="EW163" s="40"/>
      <c r="EX163" s="40"/>
      <c r="EY163" s="40"/>
      <c r="EZ163" s="35"/>
      <c r="FA163" s="35"/>
      <c r="FB163" s="35"/>
      <c r="FC163" s="35"/>
      <c r="FD163" s="35"/>
      <c r="FE163" s="35"/>
      <c r="FF163" s="35"/>
      <c r="FG163" s="35"/>
    </row>
    <row r="164" spans="1:163">
      <c r="A164" s="60">
        <v>216</v>
      </c>
      <c r="E164" s="63" t="s">
        <v>93</v>
      </c>
      <c r="F164" s="56" t="s">
        <v>68</v>
      </c>
      <c r="G164" s="70" t="s">
        <v>596</v>
      </c>
      <c r="H164" s="66" t="str">
        <f t="shared" si="67"/>
        <v xml:space="preserve"> 890</v>
      </c>
      <c r="I164" s="67" t="s">
        <v>596</v>
      </c>
      <c r="J164" s="68">
        <f t="shared" si="68"/>
        <v>0</v>
      </c>
      <c r="K164" s="63" t="s">
        <v>325</v>
      </c>
      <c r="L164" s="1" t="s">
        <v>46</v>
      </c>
      <c r="O164" s="64" t="s">
        <v>789</v>
      </c>
      <c r="P164" s="82">
        <v>0</v>
      </c>
      <c r="Q164" s="74">
        <f t="shared" si="82"/>
        <v>150000</v>
      </c>
      <c r="R164" s="71">
        <v>150000</v>
      </c>
      <c r="S164" s="72">
        <f t="shared" si="84"/>
        <v>9250</v>
      </c>
      <c r="T164" s="68" t="s">
        <v>791</v>
      </c>
      <c r="U164" s="73">
        <f t="shared" si="85"/>
        <v>140750</v>
      </c>
      <c r="V164" s="73">
        <f>2000+6200+600+200+250</f>
        <v>9250</v>
      </c>
      <c r="W164" s="2">
        <f t="shared" si="69"/>
        <v>150000</v>
      </c>
      <c r="Y164" s="80">
        <f t="shared" si="70"/>
        <v>150000</v>
      </c>
      <c r="Z164" s="93"/>
      <c r="AA164" s="93"/>
      <c r="AB164" s="94"/>
      <c r="AE164" s="2">
        <v>195000</v>
      </c>
      <c r="AF164" s="28">
        <f t="shared" si="65"/>
        <v>195000</v>
      </c>
      <c r="AG164" s="55" t="s">
        <v>125</v>
      </c>
      <c r="AI164" s="20" t="s">
        <v>206</v>
      </c>
      <c r="AJ164" s="2">
        <f t="shared" si="71"/>
        <v>45000</v>
      </c>
      <c r="AN164" s="29">
        <f t="shared" si="72"/>
        <v>0.23076923076923078</v>
      </c>
      <c r="AP164" s="3" t="s">
        <v>140</v>
      </c>
      <c r="AQ164" s="1" t="s">
        <v>192</v>
      </c>
      <c r="AR164" s="31">
        <f t="shared" si="73"/>
        <v>-40500</v>
      </c>
      <c r="AS164" s="31">
        <f t="shared" si="74"/>
        <v>-8526</v>
      </c>
      <c r="AT164" s="31">
        <f>IF(BX164&lt;&gt;"", AF164-BX164, 0)</f>
        <v>-23850</v>
      </c>
      <c r="AU164" s="31">
        <f t="shared" si="75"/>
        <v>1680</v>
      </c>
      <c r="AV164" s="31">
        <f t="shared" si="76"/>
        <v>0</v>
      </c>
      <c r="AW164" s="31">
        <f t="shared" si="77"/>
        <v>-563</v>
      </c>
      <c r="AX164" s="31">
        <f t="shared" si="78"/>
        <v>0</v>
      </c>
      <c r="AY164" s="31">
        <f t="shared" si="79"/>
        <v>-13180</v>
      </c>
      <c r="AZ164" s="31">
        <f t="shared" si="80"/>
        <v>0</v>
      </c>
      <c r="BA164" s="31">
        <f t="shared" si="81"/>
        <v>0</v>
      </c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41">
        <v>229500</v>
      </c>
      <c r="BM164" s="41">
        <v>6000</v>
      </c>
      <c r="BN164" s="41">
        <f>BL164+BM164</f>
        <v>235500</v>
      </c>
      <c r="BO164" s="37">
        <f>BN164-Y164</f>
        <v>85500</v>
      </c>
      <c r="BP164" s="38">
        <f>BO164/BL164</f>
        <v>0.37254901960784315</v>
      </c>
      <c r="BQ164" s="37">
        <f>AF164-BN164</f>
        <v>-40500</v>
      </c>
      <c r="BR164" s="40" t="s">
        <v>29</v>
      </c>
      <c r="BS164" s="39"/>
      <c r="BT164" s="39"/>
      <c r="BU164" s="39"/>
      <c r="BV164" s="39"/>
      <c r="BW164" s="39"/>
      <c r="BX164" s="36">
        <v>218850</v>
      </c>
      <c r="BY164" s="33">
        <v>6000</v>
      </c>
      <c r="BZ164" s="33">
        <f>BX164+BY164</f>
        <v>224850</v>
      </c>
      <c r="CA164" s="33">
        <f>BZ164-Y164</f>
        <v>74850</v>
      </c>
      <c r="CB164" s="34">
        <f>CA164/BX164</f>
        <v>0.34201507882111037</v>
      </c>
      <c r="CC164" s="33">
        <f>AF164-BZ164</f>
        <v>-29850</v>
      </c>
      <c r="CD164" s="35" t="s">
        <v>29</v>
      </c>
      <c r="CE164" s="48"/>
      <c r="CF164" s="48"/>
      <c r="CG164" s="48"/>
      <c r="CH164" s="48"/>
      <c r="CI164" s="48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36">
        <v>203526</v>
      </c>
      <c r="CW164" s="36">
        <f>CV164-Y164</f>
        <v>53526</v>
      </c>
      <c r="CX164" s="46">
        <f>CW164/CV164</f>
        <v>0.26299342590135905</v>
      </c>
      <c r="CY164" s="36">
        <f>AF164-CV164</f>
        <v>-8526</v>
      </c>
      <c r="CZ164" s="35" t="s">
        <v>29</v>
      </c>
      <c r="DA164" s="35"/>
      <c r="DB164" s="35"/>
      <c r="DC164" s="35"/>
      <c r="DD164" s="41">
        <v>193320</v>
      </c>
      <c r="DE164" s="37">
        <f>DD164-Y164</f>
        <v>43320</v>
      </c>
      <c r="DF164" s="38">
        <f>DE164/DD164</f>
        <v>0.22408441961514589</v>
      </c>
      <c r="DG164" s="37">
        <f>AF164-DD164</f>
        <v>1680</v>
      </c>
      <c r="DH164" s="40" t="s">
        <v>29</v>
      </c>
      <c r="DI164" s="40"/>
      <c r="DJ164" s="40"/>
      <c r="DK164" s="40"/>
      <c r="DL164" s="36">
        <v>195563</v>
      </c>
      <c r="DM164" s="33">
        <f>DL164-Y164</f>
        <v>45563</v>
      </c>
      <c r="DN164" s="34">
        <f>DM164/DL164</f>
        <v>0.23298374436882233</v>
      </c>
      <c r="DO164" s="33">
        <f>AF164-DL164</f>
        <v>-563</v>
      </c>
      <c r="DP164" s="35" t="s">
        <v>29</v>
      </c>
      <c r="DQ164" s="35"/>
      <c r="DR164" s="35"/>
      <c r="DS164" s="35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36">
        <v>201180</v>
      </c>
      <c r="EG164" s="33">
        <v>7000</v>
      </c>
      <c r="EH164" s="33">
        <f>EF164+EG164</f>
        <v>208180</v>
      </c>
      <c r="EI164" s="33">
        <f>EH164-Y164</f>
        <v>58180</v>
      </c>
      <c r="EJ164" s="44">
        <f>EI164/EH164</f>
        <v>0.27946968969161301</v>
      </c>
      <c r="EK164" s="45">
        <f>AF164-EH164</f>
        <v>-13180</v>
      </c>
      <c r="EL164" s="35" t="s">
        <v>29</v>
      </c>
      <c r="EM164" s="35"/>
      <c r="EN164" s="35"/>
      <c r="EO164" s="35"/>
      <c r="EP164" s="35"/>
      <c r="EQ164" s="35"/>
      <c r="ER164" s="40"/>
      <c r="ES164" s="40"/>
      <c r="ET164" s="40"/>
      <c r="EU164" s="40"/>
      <c r="EV164" s="40"/>
      <c r="EW164" s="40"/>
      <c r="EX164" s="40"/>
      <c r="EY164" s="40"/>
      <c r="EZ164" s="35"/>
      <c r="FA164" s="35"/>
      <c r="FB164" s="35"/>
      <c r="FC164" s="35"/>
      <c r="FD164" s="35"/>
      <c r="FE164" s="35"/>
      <c r="FF164" s="35"/>
      <c r="FG164" s="35"/>
    </row>
    <row r="165" spans="1:163">
      <c r="A165" s="60">
        <v>152</v>
      </c>
      <c r="E165" s="63" t="s">
        <v>63</v>
      </c>
      <c r="F165" s="56" t="s">
        <v>62</v>
      </c>
      <c r="G165" s="70" t="s">
        <v>531</v>
      </c>
      <c r="H165" s="66" t="str">
        <f t="shared" si="67"/>
        <v xml:space="preserve"> 683</v>
      </c>
      <c r="I165" s="67" t="s">
        <v>531</v>
      </c>
      <c r="J165" s="68">
        <f t="shared" si="68"/>
        <v>0</v>
      </c>
      <c r="K165" s="63" t="s">
        <v>297</v>
      </c>
      <c r="L165" s="1" t="s">
        <v>46</v>
      </c>
      <c r="O165" s="64" t="s">
        <v>789</v>
      </c>
      <c r="P165" s="82">
        <v>0</v>
      </c>
      <c r="Q165" s="74">
        <f t="shared" si="82"/>
        <v>88250</v>
      </c>
      <c r="R165" s="71">
        <v>88250</v>
      </c>
      <c r="S165" s="72">
        <f t="shared" si="84"/>
        <v>8250</v>
      </c>
      <c r="T165" s="68" t="s">
        <v>791</v>
      </c>
      <c r="U165" s="73">
        <f t="shared" si="85"/>
        <v>80000</v>
      </c>
      <c r="V165" s="75">
        <f>2000+5200+200+600+250</f>
        <v>8250</v>
      </c>
      <c r="W165" s="2">
        <f t="shared" si="69"/>
        <v>88250</v>
      </c>
      <c r="Y165" s="80">
        <f t="shared" si="70"/>
        <v>88250</v>
      </c>
      <c r="Z165" s="93"/>
      <c r="AA165" s="93"/>
      <c r="AB165" s="94"/>
      <c r="AC165" s="2">
        <v>3000</v>
      </c>
      <c r="AD165" s="2">
        <f>Z165+AC165</f>
        <v>3000</v>
      </c>
      <c r="AF165" s="28">
        <f t="shared" si="65"/>
        <v>0</v>
      </c>
      <c r="AG165" s="55" t="s">
        <v>125</v>
      </c>
      <c r="AI165" s="20" t="s">
        <v>45</v>
      </c>
      <c r="AJ165" s="2">
        <f t="shared" si="71"/>
        <v>-88250</v>
      </c>
      <c r="AN165" s="29" t="e">
        <f t="shared" si="72"/>
        <v>#DIV/0!</v>
      </c>
      <c r="AO165" s="29" t="e">
        <f>AN165-AB165</f>
        <v>#DIV/0!</v>
      </c>
      <c r="AP165" s="3" t="s">
        <v>29</v>
      </c>
      <c r="AQ165" s="1" t="s">
        <v>155</v>
      </c>
      <c r="AR165" s="31">
        <f t="shared" si="73"/>
        <v>0</v>
      </c>
      <c r="AS165" s="31">
        <f t="shared" si="74"/>
        <v>0</v>
      </c>
      <c r="AT165" s="31">
        <f t="shared" ref="AT165:AT171" si="87">IF(BZ165&lt;&gt;"", AF165-BZ165, 0)</f>
        <v>0</v>
      </c>
      <c r="AU165" s="31">
        <f t="shared" si="75"/>
        <v>0</v>
      </c>
      <c r="AV165" s="31">
        <f t="shared" si="76"/>
        <v>0</v>
      </c>
      <c r="AW165" s="31">
        <f t="shared" si="77"/>
        <v>0</v>
      </c>
      <c r="AX165" s="31">
        <f t="shared" si="78"/>
        <v>0</v>
      </c>
      <c r="AY165" s="31">
        <f t="shared" si="79"/>
        <v>0</v>
      </c>
      <c r="AZ165" s="31">
        <f t="shared" si="80"/>
        <v>0</v>
      </c>
      <c r="BA165" s="31">
        <f t="shared" si="81"/>
        <v>0</v>
      </c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35"/>
      <c r="CW165" s="35"/>
      <c r="CX165" s="35"/>
      <c r="CY165" s="35"/>
      <c r="CZ165" s="35"/>
      <c r="DA165" s="35"/>
      <c r="DB165" s="35"/>
      <c r="DC165" s="35"/>
      <c r="DD165" s="40"/>
      <c r="DE165" s="40"/>
      <c r="DF165" s="40"/>
      <c r="DG165" s="40"/>
      <c r="DH165" s="40"/>
      <c r="DI165" s="40"/>
      <c r="DJ165" s="40"/>
      <c r="DK165" s="40"/>
      <c r="DL165" s="35"/>
      <c r="DM165" s="35"/>
      <c r="DN165" s="35"/>
      <c r="DO165" s="35"/>
      <c r="DP165" s="35"/>
      <c r="DQ165" s="35"/>
      <c r="DR165" s="35"/>
      <c r="DS165" s="35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40"/>
      <c r="ES165" s="40"/>
      <c r="ET165" s="40"/>
      <c r="EU165" s="40"/>
      <c r="EV165" s="40"/>
      <c r="EW165" s="40"/>
      <c r="EX165" s="40"/>
      <c r="EY165" s="40"/>
      <c r="EZ165" s="35"/>
      <c r="FA165" s="35"/>
      <c r="FB165" s="35"/>
      <c r="FC165" s="35"/>
      <c r="FD165" s="35"/>
      <c r="FE165" s="35"/>
      <c r="FF165" s="35"/>
      <c r="FG165" s="35"/>
    </row>
    <row r="166" spans="1:163">
      <c r="A166" s="62">
        <v>223</v>
      </c>
      <c r="E166" s="63" t="s">
        <v>93</v>
      </c>
      <c r="F166" s="56" t="s">
        <v>95</v>
      </c>
      <c r="G166" s="70" t="s">
        <v>603</v>
      </c>
      <c r="H166" s="66" t="str">
        <f t="shared" si="67"/>
        <v xml:space="preserve"> 932</v>
      </c>
      <c r="I166" s="67" t="s">
        <v>603</v>
      </c>
      <c r="J166" s="68">
        <f t="shared" si="68"/>
        <v>0</v>
      </c>
      <c r="K166" s="63" t="s">
        <v>329</v>
      </c>
      <c r="L166" s="1" t="s">
        <v>46</v>
      </c>
      <c r="O166" s="88" t="s">
        <v>790</v>
      </c>
      <c r="P166" s="89">
        <v>90000</v>
      </c>
      <c r="Q166" s="90">
        <f t="shared" si="82"/>
        <v>0</v>
      </c>
      <c r="R166" s="71"/>
      <c r="S166" s="72">
        <f t="shared" si="84"/>
        <v>0</v>
      </c>
      <c r="T166" s="68"/>
      <c r="U166" s="73">
        <f t="shared" si="85"/>
        <v>0</v>
      </c>
      <c r="V166" s="73"/>
      <c r="W166" s="2">
        <f t="shared" si="69"/>
        <v>-90000</v>
      </c>
      <c r="Y166" s="81">
        <f t="shared" si="70"/>
        <v>0</v>
      </c>
      <c r="Z166" s="96">
        <v>0</v>
      </c>
      <c r="AA166" s="97">
        <f>U166-Z166</f>
        <v>0</v>
      </c>
      <c r="AB166" s="98" t="e">
        <f>AA166/Z166</f>
        <v>#DIV/0!</v>
      </c>
      <c r="AE166" s="2">
        <v>140000</v>
      </c>
      <c r="AF166" s="28">
        <f t="shared" si="65"/>
        <v>0</v>
      </c>
      <c r="AG166" s="55" t="s">
        <v>125</v>
      </c>
      <c r="AI166" s="20" t="s">
        <v>45</v>
      </c>
      <c r="AJ166" s="2">
        <f t="shared" si="71"/>
        <v>0</v>
      </c>
      <c r="AN166" s="29" t="e">
        <f t="shared" si="72"/>
        <v>#DIV/0!</v>
      </c>
      <c r="AP166" s="3" t="s">
        <v>29</v>
      </c>
      <c r="AQ166" s="1" t="s">
        <v>190</v>
      </c>
      <c r="AR166" s="31">
        <f t="shared" si="73"/>
        <v>0</v>
      </c>
      <c r="AS166" s="31">
        <f t="shared" si="74"/>
        <v>0</v>
      </c>
      <c r="AT166" s="31">
        <f t="shared" si="87"/>
        <v>0</v>
      </c>
      <c r="AU166" s="31">
        <f t="shared" si="75"/>
        <v>0</v>
      </c>
      <c r="AV166" s="31">
        <f t="shared" si="76"/>
        <v>0</v>
      </c>
      <c r="AW166" s="31">
        <f t="shared" si="77"/>
        <v>0</v>
      </c>
      <c r="AX166" s="31">
        <f t="shared" si="78"/>
        <v>0</v>
      </c>
      <c r="AY166" s="31">
        <f t="shared" si="79"/>
        <v>0</v>
      </c>
      <c r="AZ166" s="31">
        <f t="shared" si="80"/>
        <v>0</v>
      </c>
      <c r="BA166" s="31">
        <f t="shared" si="81"/>
        <v>0</v>
      </c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35"/>
      <c r="CW166" s="35"/>
      <c r="CX166" s="35"/>
      <c r="CY166" s="35"/>
      <c r="CZ166" s="35"/>
      <c r="DA166" s="35"/>
      <c r="DB166" s="35"/>
      <c r="DC166" s="35"/>
      <c r="DD166" s="40"/>
      <c r="DE166" s="40"/>
      <c r="DF166" s="40"/>
      <c r="DG166" s="40"/>
      <c r="DH166" s="40"/>
      <c r="DI166" s="40"/>
      <c r="DJ166" s="40"/>
      <c r="DK166" s="40"/>
      <c r="DL166" s="35"/>
      <c r="DM166" s="35"/>
      <c r="DN166" s="35"/>
      <c r="DO166" s="35"/>
      <c r="DP166" s="35"/>
      <c r="DQ166" s="35"/>
      <c r="DR166" s="35"/>
      <c r="DS166" s="35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40"/>
      <c r="ES166" s="40"/>
      <c r="ET166" s="40"/>
      <c r="EU166" s="40"/>
      <c r="EV166" s="40"/>
      <c r="EW166" s="40"/>
      <c r="EX166" s="40"/>
      <c r="EY166" s="40"/>
      <c r="EZ166" s="35"/>
      <c r="FA166" s="35"/>
      <c r="FB166" s="35"/>
      <c r="FC166" s="35"/>
      <c r="FD166" s="35"/>
      <c r="FE166" s="35"/>
      <c r="FF166" s="35"/>
      <c r="FG166" s="35"/>
    </row>
    <row r="167" spans="1:163">
      <c r="A167" s="62">
        <v>310</v>
      </c>
      <c r="E167" s="63" t="s">
        <v>76</v>
      </c>
      <c r="F167" s="56" t="s">
        <v>74</v>
      </c>
      <c r="G167" s="70" t="s">
        <v>682</v>
      </c>
      <c r="H167" s="66" t="str">
        <f t="shared" si="67"/>
        <v xml:space="preserve"> 192</v>
      </c>
      <c r="I167" s="67" t="s">
        <v>682</v>
      </c>
      <c r="J167" s="68">
        <f t="shared" si="68"/>
        <v>0</v>
      </c>
      <c r="K167" s="63" t="s">
        <v>357</v>
      </c>
      <c r="L167" s="1" t="s">
        <v>46</v>
      </c>
      <c r="O167" s="64" t="s">
        <v>789</v>
      </c>
      <c r="P167" s="82">
        <v>0</v>
      </c>
      <c r="Q167" s="74">
        <f t="shared" si="82"/>
        <v>69000</v>
      </c>
      <c r="R167" s="71">
        <v>69000</v>
      </c>
      <c r="S167" s="72">
        <f t="shared" si="84"/>
        <v>8550</v>
      </c>
      <c r="T167" s="68"/>
      <c r="U167" s="73">
        <f t="shared" si="85"/>
        <v>60450</v>
      </c>
      <c r="V167" s="73">
        <f>2000+5500+600+200+250</f>
        <v>8550</v>
      </c>
      <c r="W167" s="2">
        <f t="shared" si="69"/>
        <v>69000</v>
      </c>
      <c r="Y167" s="80">
        <f t="shared" si="70"/>
        <v>69000</v>
      </c>
      <c r="Z167" s="93"/>
      <c r="AA167" s="93"/>
      <c r="AB167" s="94"/>
      <c r="AC167" s="2">
        <v>3000</v>
      </c>
      <c r="AD167" s="2">
        <f>Z167+AC167</f>
        <v>3000</v>
      </c>
      <c r="AF167" s="28">
        <f t="shared" si="65"/>
        <v>0</v>
      </c>
      <c r="AG167" s="55" t="s">
        <v>125</v>
      </c>
      <c r="AI167" s="20" t="s">
        <v>45</v>
      </c>
      <c r="AJ167" s="2">
        <f t="shared" si="71"/>
        <v>-69000</v>
      </c>
      <c r="AN167" s="29" t="e">
        <f t="shared" si="72"/>
        <v>#DIV/0!</v>
      </c>
      <c r="AO167" s="29" t="e">
        <f>AN167-AB167</f>
        <v>#DIV/0!</v>
      </c>
      <c r="AP167" s="3" t="s">
        <v>29</v>
      </c>
      <c r="AQ167" s="1" t="s">
        <v>185</v>
      </c>
      <c r="AR167" s="31">
        <f t="shared" si="73"/>
        <v>0</v>
      </c>
      <c r="AS167" s="31">
        <f t="shared" si="74"/>
        <v>0</v>
      </c>
      <c r="AT167" s="31">
        <f t="shared" si="87"/>
        <v>0</v>
      </c>
      <c r="AU167" s="31">
        <f t="shared" si="75"/>
        <v>0</v>
      </c>
      <c r="AV167" s="31">
        <f t="shared" si="76"/>
        <v>0</v>
      </c>
      <c r="AW167" s="31">
        <f t="shared" si="77"/>
        <v>0</v>
      </c>
      <c r="AX167" s="31">
        <f t="shared" si="78"/>
        <v>0</v>
      </c>
      <c r="AY167" s="31">
        <f t="shared" si="79"/>
        <v>0</v>
      </c>
      <c r="AZ167" s="31">
        <f t="shared" si="80"/>
        <v>0</v>
      </c>
      <c r="BA167" s="31">
        <f t="shared" si="81"/>
        <v>0</v>
      </c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41"/>
      <c r="BM167" s="41"/>
      <c r="BN167" s="41"/>
      <c r="BO167" s="37"/>
      <c r="BP167" s="38"/>
      <c r="BQ167" s="37"/>
      <c r="BR167" s="40"/>
      <c r="BS167" s="39"/>
      <c r="BT167" s="39"/>
      <c r="BU167" s="39"/>
      <c r="BV167" s="39"/>
      <c r="BW167" s="39"/>
      <c r="BX167" s="36"/>
      <c r="BY167" s="33"/>
      <c r="BZ167" s="33"/>
      <c r="CA167" s="33"/>
      <c r="CB167" s="34"/>
      <c r="CC167" s="33"/>
      <c r="CD167" s="35"/>
      <c r="CE167" s="48"/>
      <c r="CF167" s="48"/>
      <c r="CG167" s="48"/>
      <c r="CH167" s="48"/>
      <c r="CI167" s="48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35"/>
      <c r="CW167" s="35"/>
      <c r="CX167" s="35"/>
      <c r="CY167" s="35"/>
      <c r="CZ167" s="35"/>
      <c r="DA167" s="35"/>
      <c r="DB167" s="35"/>
      <c r="DC167" s="35"/>
      <c r="DD167" s="40"/>
      <c r="DE167" s="40"/>
      <c r="DF167" s="40"/>
      <c r="DG167" s="40"/>
      <c r="DH167" s="40"/>
      <c r="DI167" s="40"/>
      <c r="DJ167" s="40"/>
      <c r="DK167" s="40"/>
      <c r="DL167" s="35"/>
      <c r="DM167" s="35"/>
      <c r="DN167" s="35"/>
      <c r="DO167" s="35"/>
      <c r="DP167" s="35"/>
      <c r="DQ167" s="35"/>
      <c r="DR167" s="35"/>
      <c r="DS167" s="35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40"/>
      <c r="ES167" s="40"/>
      <c r="ET167" s="40"/>
      <c r="EU167" s="40"/>
      <c r="EV167" s="40"/>
      <c r="EW167" s="40"/>
      <c r="EX167" s="40"/>
      <c r="EY167" s="40"/>
      <c r="EZ167" s="35"/>
      <c r="FA167" s="35"/>
      <c r="FB167" s="35"/>
      <c r="FC167" s="35"/>
      <c r="FD167" s="35"/>
      <c r="FE167" s="35"/>
      <c r="FF167" s="35"/>
      <c r="FG167" s="35"/>
    </row>
    <row r="168" spans="1:163">
      <c r="A168" s="62">
        <v>321</v>
      </c>
      <c r="E168" s="63" t="s">
        <v>76</v>
      </c>
      <c r="F168" s="56" t="s">
        <v>75</v>
      </c>
      <c r="G168" s="70" t="s">
        <v>692</v>
      </c>
      <c r="H168" s="66" t="str">
        <f t="shared" si="67"/>
        <v xml:space="preserve"> 804</v>
      </c>
      <c r="I168" s="67" t="s">
        <v>692</v>
      </c>
      <c r="J168" s="68">
        <f t="shared" si="68"/>
        <v>0</v>
      </c>
      <c r="K168" s="63" t="s">
        <v>357</v>
      </c>
      <c r="L168" s="1" t="s">
        <v>46</v>
      </c>
      <c r="O168" s="64" t="s">
        <v>789</v>
      </c>
      <c r="P168" s="82">
        <v>0</v>
      </c>
      <c r="Q168" s="74">
        <f t="shared" si="82"/>
        <v>69000</v>
      </c>
      <c r="R168" s="71">
        <v>69000</v>
      </c>
      <c r="S168" s="72">
        <f t="shared" si="84"/>
        <v>8550</v>
      </c>
      <c r="T168" s="68"/>
      <c r="U168" s="73">
        <f t="shared" si="85"/>
        <v>60450</v>
      </c>
      <c r="V168" s="73">
        <f>2000+5500+600+200+250</f>
        <v>8550</v>
      </c>
      <c r="W168" s="2">
        <f t="shared" si="69"/>
        <v>69000</v>
      </c>
      <c r="Y168" s="80">
        <f t="shared" si="70"/>
        <v>69000</v>
      </c>
      <c r="Z168" s="93"/>
      <c r="AA168" s="93"/>
      <c r="AB168" s="94"/>
      <c r="AE168" s="2">
        <v>114000</v>
      </c>
      <c r="AF168" s="28">
        <f t="shared" si="65"/>
        <v>114000</v>
      </c>
      <c r="AG168" s="55" t="s">
        <v>125</v>
      </c>
      <c r="AI168" s="20" t="s">
        <v>206</v>
      </c>
      <c r="AJ168" s="2">
        <f t="shared" si="71"/>
        <v>45000</v>
      </c>
      <c r="AN168" s="29">
        <f t="shared" si="72"/>
        <v>0.39473684210526316</v>
      </c>
      <c r="AP168" s="3" t="s">
        <v>140</v>
      </c>
      <c r="AQ168" s="1" t="s">
        <v>166</v>
      </c>
      <c r="AR168" s="31">
        <f t="shared" si="73"/>
        <v>0</v>
      </c>
      <c r="AS168" s="31">
        <f t="shared" si="74"/>
        <v>0</v>
      </c>
      <c r="AT168" s="31">
        <f t="shared" si="87"/>
        <v>0</v>
      </c>
      <c r="AU168" s="31">
        <f t="shared" si="75"/>
        <v>0</v>
      </c>
      <c r="AV168" s="31">
        <f t="shared" si="76"/>
        <v>0</v>
      </c>
      <c r="AW168" s="31">
        <f t="shared" si="77"/>
        <v>0</v>
      </c>
      <c r="AX168" s="31">
        <f t="shared" si="78"/>
        <v>0</v>
      </c>
      <c r="AY168" s="31">
        <f t="shared" si="79"/>
        <v>0</v>
      </c>
      <c r="AZ168" s="31">
        <f t="shared" si="80"/>
        <v>0</v>
      </c>
      <c r="BA168" s="31">
        <f t="shared" si="81"/>
        <v>0</v>
      </c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35"/>
      <c r="CW168" s="35"/>
      <c r="CX168" s="35"/>
      <c r="CY168" s="35"/>
      <c r="CZ168" s="35"/>
      <c r="DA168" s="35"/>
      <c r="DB168" s="35"/>
      <c r="DC168" s="35"/>
      <c r="DD168" s="40"/>
      <c r="DE168" s="40"/>
      <c r="DF168" s="40"/>
      <c r="DG168" s="40"/>
      <c r="DH168" s="40"/>
      <c r="DI168" s="40"/>
      <c r="DJ168" s="40"/>
      <c r="DK168" s="40"/>
      <c r="DL168" s="35"/>
      <c r="DM168" s="35"/>
      <c r="DN168" s="35"/>
      <c r="DO168" s="35"/>
      <c r="DP168" s="35"/>
      <c r="DQ168" s="35"/>
      <c r="DR168" s="35"/>
      <c r="DS168" s="35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40"/>
      <c r="ES168" s="40"/>
      <c r="ET168" s="40"/>
      <c r="EU168" s="40"/>
      <c r="EV168" s="40"/>
      <c r="EW168" s="40"/>
      <c r="EX168" s="40"/>
      <c r="EY168" s="40"/>
      <c r="EZ168" s="35"/>
      <c r="FA168" s="35"/>
      <c r="FB168" s="35"/>
      <c r="FC168" s="35"/>
      <c r="FD168" s="35"/>
      <c r="FE168" s="35"/>
      <c r="FF168" s="35"/>
      <c r="FG168" s="35"/>
    </row>
    <row r="169" spans="1:163">
      <c r="A169" s="62">
        <v>355</v>
      </c>
      <c r="E169" s="63" t="s">
        <v>226</v>
      </c>
      <c r="F169" s="56" t="s">
        <v>85</v>
      </c>
      <c r="G169" s="70" t="s">
        <v>724</v>
      </c>
      <c r="H169" s="66" t="str">
        <f t="shared" si="67"/>
        <v xml:space="preserve"> 275</v>
      </c>
      <c r="I169" s="67" t="s">
        <v>724</v>
      </c>
      <c r="J169" s="68">
        <f t="shared" si="68"/>
        <v>0</v>
      </c>
      <c r="K169" s="63" t="s">
        <v>369</v>
      </c>
      <c r="L169" s="1" t="s">
        <v>46</v>
      </c>
      <c r="O169" s="88" t="s">
        <v>790</v>
      </c>
      <c r="P169" s="89">
        <v>65000</v>
      </c>
      <c r="Q169" s="90">
        <v>0</v>
      </c>
      <c r="R169" s="71"/>
      <c r="S169" s="72">
        <f t="shared" si="84"/>
        <v>0</v>
      </c>
      <c r="T169" s="68"/>
      <c r="U169" s="73">
        <f t="shared" si="85"/>
        <v>0</v>
      </c>
      <c r="V169" s="73"/>
      <c r="W169" s="2">
        <f t="shared" si="69"/>
        <v>-65000</v>
      </c>
      <c r="Y169" s="81">
        <f t="shared" si="70"/>
        <v>0</v>
      </c>
      <c r="Z169" s="96">
        <v>0</v>
      </c>
      <c r="AA169" s="97">
        <f>U169-Z169</f>
        <v>0</v>
      </c>
      <c r="AB169" s="98" t="e">
        <f>AA169/Z169</f>
        <v>#DIV/0!</v>
      </c>
      <c r="AE169" s="2">
        <v>92000</v>
      </c>
      <c r="AF169" s="28">
        <f t="shared" si="65"/>
        <v>0</v>
      </c>
      <c r="AG169" s="55" t="s">
        <v>125</v>
      </c>
      <c r="AI169" s="20" t="s">
        <v>45</v>
      </c>
      <c r="AJ169" s="2">
        <f t="shared" si="71"/>
        <v>0</v>
      </c>
      <c r="AN169" s="29" t="e">
        <f t="shared" si="72"/>
        <v>#DIV/0!</v>
      </c>
      <c r="AP169" s="3" t="s">
        <v>29</v>
      </c>
      <c r="AQ169" s="1" t="s">
        <v>203</v>
      </c>
      <c r="AR169" s="31">
        <f t="shared" si="73"/>
        <v>0</v>
      </c>
      <c r="AS169" s="31">
        <f t="shared" si="74"/>
        <v>0</v>
      </c>
      <c r="AT169" s="31">
        <f t="shared" si="87"/>
        <v>0</v>
      </c>
      <c r="AU169" s="31">
        <f t="shared" si="75"/>
        <v>0</v>
      </c>
      <c r="AV169" s="31">
        <f t="shared" si="76"/>
        <v>0</v>
      </c>
      <c r="AW169" s="31">
        <f t="shared" si="77"/>
        <v>0</v>
      </c>
      <c r="AX169" s="31">
        <f t="shared" si="78"/>
        <v>0</v>
      </c>
      <c r="AY169" s="31">
        <f t="shared" si="79"/>
        <v>0</v>
      </c>
      <c r="AZ169" s="31">
        <f t="shared" si="80"/>
        <v>0</v>
      </c>
      <c r="BA169" s="31">
        <f t="shared" si="81"/>
        <v>0</v>
      </c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35"/>
      <c r="CW169" s="35"/>
      <c r="CX169" s="35"/>
      <c r="CY169" s="35"/>
      <c r="CZ169" s="35"/>
      <c r="DA169" s="35"/>
      <c r="DB169" s="35"/>
      <c r="DC169" s="35"/>
      <c r="DD169" s="40"/>
      <c r="DE169" s="40"/>
      <c r="DF169" s="40"/>
      <c r="DG169" s="40"/>
      <c r="DH169" s="40"/>
      <c r="DI169" s="40"/>
      <c r="DJ169" s="40"/>
      <c r="DK169" s="40"/>
      <c r="DL169" s="35"/>
      <c r="DM169" s="35"/>
      <c r="DN169" s="35"/>
      <c r="DO169" s="35"/>
      <c r="DP169" s="35"/>
      <c r="DQ169" s="35"/>
      <c r="DR169" s="35"/>
      <c r="DS169" s="35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40"/>
      <c r="ES169" s="40"/>
      <c r="ET169" s="40"/>
      <c r="EU169" s="40"/>
      <c r="EV169" s="40"/>
      <c r="EW169" s="40"/>
      <c r="EX169" s="40"/>
      <c r="EY169" s="40"/>
    </row>
    <row r="170" spans="1:163">
      <c r="A170" s="62">
        <v>308</v>
      </c>
      <c r="E170" s="63" t="s">
        <v>76</v>
      </c>
      <c r="F170" s="56" t="s">
        <v>75</v>
      </c>
      <c r="G170" s="65" t="s">
        <v>679</v>
      </c>
      <c r="H170" s="66" t="str">
        <f t="shared" si="67"/>
        <v xml:space="preserve"> 446</v>
      </c>
      <c r="I170" s="67" t="s">
        <v>680</v>
      </c>
      <c r="J170" s="68">
        <f t="shared" si="68"/>
        <v>1</v>
      </c>
      <c r="K170" s="63" t="s">
        <v>331</v>
      </c>
      <c r="L170" s="1" t="s">
        <v>46</v>
      </c>
      <c r="O170" s="64" t="s">
        <v>789</v>
      </c>
      <c r="P170" s="82">
        <v>0</v>
      </c>
      <c r="Q170" s="74">
        <f t="shared" ref="Q170:Q201" si="88">U170+V170</f>
        <v>72500</v>
      </c>
      <c r="R170" s="71">
        <v>72500</v>
      </c>
      <c r="S170" s="72">
        <f t="shared" si="84"/>
        <v>8550</v>
      </c>
      <c r="T170" s="68" t="s">
        <v>791</v>
      </c>
      <c r="U170" s="73">
        <f t="shared" si="85"/>
        <v>63950</v>
      </c>
      <c r="V170" s="73">
        <f>2000+5500+600+200+250</f>
        <v>8550</v>
      </c>
      <c r="W170" s="2">
        <f t="shared" si="69"/>
        <v>72500</v>
      </c>
      <c r="Y170" s="80">
        <f t="shared" si="70"/>
        <v>72500</v>
      </c>
      <c r="Z170" s="93"/>
      <c r="AA170" s="93"/>
      <c r="AB170" s="94"/>
      <c r="AC170" s="2">
        <v>3000</v>
      </c>
      <c r="AD170" s="2">
        <f>Z170+AC170</f>
        <v>3000</v>
      </c>
      <c r="AF170" s="28">
        <f t="shared" si="65"/>
        <v>0</v>
      </c>
      <c r="AG170" s="55" t="s">
        <v>125</v>
      </c>
      <c r="AI170" s="20" t="s">
        <v>206</v>
      </c>
      <c r="AJ170" s="2">
        <f t="shared" si="71"/>
        <v>-72500</v>
      </c>
      <c r="AN170" s="29" t="e">
        <f t="shared" si="72"/>
        <v>#DIV/0!</v>
      </c>
      <c r="AO170" s="29" t="e">
        <f>AN170-AB170</f>
        <v>#DIV/0!</v>
      </c>
      <c r="AP170" s="3" t="s">
        <v>140</v>
      </c>
      <c r="AQ170" s="1" t="s">
        <v>166</v>
      </c>
      <c r="AR170" s="31">
        <f t="shared" si="73"/>
        <v>0</v>
      </c>
      <c r="AS170" s="31">
        <f t="shared" si="74"/>
        <v>0</v>
      </c>
      <c r="AT170" s="31">
        <f t="shared" si="87"/>
        <v>0</v>
      </c>
      <c r="AU170" s="31">
        <f t="shared" si="75"/>
        <v>0</v>
      </c>
      <c r="AV170" s="31">
        <f t="shared" si="76"/>
        <v>0</v>
      </c>
      <c r="AW170" s="31">
        <f t="shared" si="77"/>
        <v>0</v>
      </c>
      <c r="AX170" s="31">
        <f t="shared" si="78"/>
        <v>0</v>
      </c>
      <c r="AY170" s="31">
        <f t="shared" si="79"/>
        <v>0</v>
      </c>
      <c r="AZ170" s="31">
        <f t="shared" si="80"/>
        <v>0</v>
      </c>
      <c r="BA170" s="31">
        <f t="shared" si="81"/>
        <v>0</v>
      </c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35"/>
      <c r="CW170" s="35"/>
      <c r="CX170" s="35"/>
      <c r="CY170" s="35"/>
      <c r="CZ170" s="35"/>
      <c r="DA170" s="35"/>
      <c r="DB170" s="35"/>
      <c r="DC170" s="35"/>
      <c r="DD170" s="40"/>
      <c r="DE170" s="40"/>
      <c r="DF170" s="40"/>
      <c r="DG170" s="40"/>
      <c r="DH170" s="40"/>
      <c r="DI170" s="40"/>
      <c r="DJ170" s="40"/>
      <c r="DK170" s="40"/>
      <c r="DL170" s="35"/>
      <c r="DM170" s="35"/>
      <c r="DN170" s="35"/>
      <c r="DO170" s="35"/>
      <c r="DP170" s="35"/>
      <c r="DQ170" s="35"/>
      <c r="DR170" s="35"/>
      <c r="DS170" s="35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40"/>
      <c r="ES170" s="40"/>
      <c r="ET170" s="40"/>
      <c r="EU170" s="40"/>
      <c r="EV170" s="40"/>
      <c r="EW170" s="40"/>
      <c r="EX170" s="40"/>
      <c r="EY170" s="40"/>
      <c r="EZ170" s="35"/>
      <c r="FA170" s="35"/>
      <c r="FB170" s="35"/>
      <c r="FC170" s="35"/>
      <c r="FD170" s="35"/>
      <c r="FE170" s="35"/>
      <c r="FF170" s="35"/>
      <c r="FG170" s="35"/>
    </row>
    <row r="171" spans="1:163">
      <c r="A171" s="62">
        <v>317</v>
      </c>
      <c r="E171" s="63" t="s">
        <v>76</v>
      </c>
      <c r="F171" s="56" t="s">
        <v>74</v>
      </c>
      <c r="G171" s="65" t="s">
        <v>680</v>
      </c>
      <c r="H171" s="66" t="str">
        <f t="shared" si="67"/>
        <v xml:space="preserve"> 724</v>
      </c>
      <c r="I171" s="67" t="s">
        <v>679</v>
      </c>
      <c r="J171" s="68">
        <f t="shared" si="68"/>
        <v>1</v>
      </c>
      <c r="K171" s="63" t="s">
        <v>331</v>
      </c>
      <c r="L171" s="1" t="s">
        <v>46</v>
      </c>
      <c r="O171" s="64" t="s">
        <v>789</v>
      </c>
      <c r="P171" s="82">
        <v>0</v>
      </c>
      <c r="Q171" s="74">
        <f t="shared" si="88"/>
        <v>72500</v>
      </c>
      <c r="R171" s="71">
        <v>72500</v>
      </c>
      <c r="S171" s="72">
        <f t="shared" si="84"/>
        <v>8550</v>
      </c>
      <c r="T171" s="68" t="s">
        <v>791</v>
      </c>
      <c r="U171" s="73">
        <f t="shared" si="85"/>
        <v>63950</v>
      </c>
      <c r="V171" s="73">
        <f>2000+5500+600+200+250</f>
        <v>8550</v>
      </c>
      <c r="W171" s="2">
        <f t="shared" si="69"/>
        <v>72500</v>
      </c>
      <c r="Y171" s="80">
        <f t="shared" si="70"/>
        <v>72500</v>
      </c>
      <c r="Z171" s="93"/>
      <c r="AA171" s="93"/>
      <c r="AB171" s="94"/>
      <c r="AE171" s="2">
        <v>108000</v>
      </c>
      <c r="AF171" s="28">
        <f t="shared" si="65"/>
        <v>108000</v>
      </c>
      <c r="AG171" s="55" t="s">
        <v>125</v>
      </c>
      <c r="AI171" s="20" t="s">
        <v>45</v>
      </c>
      <c r="AJ171" s="2">
        <f t="shared" si="71"/>
        <v>35500</v>
      </c>
      <c r="AN171" s="29">
        <f t="shared" si="72"/>
        <v>0.32870370370370372</v>
      </c>
      <c r="AP171" s="3" t="s">
        <v>29</v>
      </c>
      <c r="AQ171" s="1" t="s">
        <v>185</v>
      </c>
      <c r="AR171" s="31">
        <f t="shared" si="73"/>
        <v>0</v>
      </c>
      <c r="AS171" s="31">
        <f t="shared" si="74"/>
        <v>0</v>
      </c>
      <c r="AT171" s="31">
        <f t="shared" si="87"/>
        <v>0</v>
      </c>
      <c r="AU171" s="31">
        <f t="shared" si="75"/>
        <v>0</v>
      </c>
      <c r="AV171" s="31">
        <f t="shared" si="76"/>
        <v>0</v>
      </c>
      <c r="AW171" s="31">
        <f t="shared" si="77"/>
        <v>0</v>
      </c>
      <c r="AX171" s="31">
        <f t="shared" si="78"/>
        <v>0</v>
      </c>
      <c r="AY171" s="31">
        <f t="shared" si="79"/>
        <v>0</v>
      </c>
      <c r="AZ171" s="31">
        <f t="shared" si="80"/>
        <v>0</v>
      </c>
      <c r="BA171" s="31">
        <f t="shared" si="81"/>
        <v>0</v>
      </c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41"/>
      <c r="BM171" s="41"/>
      <c r="BN171" s="41"/>
      <c r="BO171" s="37"/>
      <c r="BP171" s="38"/>
      <c r="BQ171" s="37"/>
      <c r="BR171" s="40"/>
      <c r="BS171" s="39"/>
      <c r="BT171" s="39"/>
      <c r="BU171" s="39"/>
      <c r="BV171" s="39"/>
      <c r="BW171" s="39"/>
      <c r="BX171" s="36"/>
      <c r="BY171" s="33"/>
      <c r="BZ171" s="33"/>
      <c r="CA171" s="33"/>
      <c r="CB171" s="34"/>
      <c r="CC171" s="33"/>
      <c r="CD171" s="35"/>
      <c r="CE171" s="48"/>
      <c r="CF171" s="48"/>
      <c r="CG171" s="48"/>
      <c r="CH171" s="48"/>
      <c r="CI171" s="48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35"/>
      <c r="CW171" s="35"/>
      <c r="CX171" s="35"/>
      <c r="CY171" s="35"/>
      <c r="CZ171" s="35"/>
      <c r="DA171" s="35"/>
      <c r="DB171" s="35"/>
      <c r="DC171" s="35"/>
      <c r="DD171" s="40"/>
      <c r="DE171" s="40"/>
      <c r="DF171" s="40"/>
      <c r="DG171" s="40"/>
      <c r="DH171" s="40"/>
      <c r="DI171" s="40"/>
      <c r="DJ171" s="40"/>
      <c r="DK171" s="40"/>
      <c r="DL171" s="35"/>
      <c r="DM171" s="35"/>
      <c r="DN171" s="35"/>
      <c r="DO171" s="35"/>
      <c r="DP171" s="35"/>
      <c r="DQ171" s="35"/>
      <c r="DR171" s="35"/>
      <c r="DS171" s="35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40"/>
      <c r="ES171" s="40"/>
      <c r="ET171" s="40"/>
      <c r="EU171" s="40"/>
      <c r="EV171" s="40"/>
      <c r="EW171" s="40"/>
      <c r="EX171" s="40"/>
      <c r="EY171" s="40"/>
      <c r="EZ171" s="35"/>
      <c r="FA171" s="35"/>
      <c r="FB171" s="35"/>
      <c r="FC171" s="35"/>
      <c r="FD171" s="35"/>
      <c r="FE171" s="35"/>
      <c r="FF171" s="35"/>
      <c r="FG171" s="35"/>
    </row>
    <row r="172" spans="1:163">
      <c r="A172" s="62">
        <v>410</v>
      </c>
      <c r="E172" s="63" t="s">
        <v>233</v>
      </c>
      <c r="F172" s="56" t="s">
        <v>81</v>
      </c>
      <c r="G172" s="65" t="s">
        <v>778</v>
      </c>
      <c r="H172" s="66" t="str">
        <f t="shared" si="67"/>
        <v xml:space="preserve"> 863</v>
      </c>
      <c r="I172" s="67" t="s">
        <v>778</v>
      </c>
      <c r="J172" s="68">
        <f t="shared" si="68"/>
        <v>0</v>
      </c>
      <c r="K172" s="63" t="s">
        <v>331</v>
      </c>
      <c r="L172" s="1" t="s">
        <v>46</v>
      </c>
      <c r="O172" s="64" t="s">
        <v>789</v>
      </c>
      <c r="P172" s="82">
        <v>0</v>
      </c>
      <c r="Q172" s="74">
        <f t="shared" si="88"/>
        <v>47500</v>
      </c>
      <c r="R172" s="71">
        <v>47500</v>
      </c>
      <c r="S172" s="72">
        <f t="shared" si="84"/>
        <v>7900</v>
      </c>
      <c r="T172" s="68" t="s">
        <v>791</v>
      </c>
      <c r="U172" s="73">
        <f t="shared" si="85"/>
        <v>39600</v>
      </c>
      <c r="V172" s="73">
        <f>2000+4850+600+200+250</f>
        <v>7900</v>
      </c>
      <c r="W172" s="2">
        <f t="shared" si="69"/>
        <v>47500</v>
      </c>
      <c r="Y172" s="80">
        <f t="shared" si="70"/>
        <v>47500</v>
      </c>
      <c r="Z172" s="93"/>
      <c r="AA172" s="93"/>
      <c r="AB172" s="94"/>
      <c r="AE172" s="2">
        <v>71000</v>
      </c>
      <c r="AF172" s="28">
        <f t="shared" si="65"/>
        <v>71000</v>
      </c>
      <c r="AG172" s="55" t="s">
        <v>125</v>
      </c>
      <c r="AI172" s="20" t="s">
        <v>45</v>
      </c>
      <c r="AJ172" s="2">
        <f t="shared" si="71"/>
        <v>23500</v>
      </c>
      <c r="AN172" s="29">
        <f t="shared" si="72"/>
        <v>0.33098591549295775</v>
      </c>
      <c r="AP172" s="3" t="s">
        <v>140</v>
      </c>
      <c r="AQ172" s="1" t="s">
        <v>126</v>
      </c>
      <c r="AR172" s="31">
        <f t="shared" si="73"/>
        <v>0</v>
      </c>
      <c r="AS172" s="31">
        <f t="shared" si="74"/>
        <v>0</v>
      </c>
      <c r="AT172" s="31">
        <f>IF(BX172&lt;&gt;"", AF172-BX172, 0)</f>
        <v>0</v>
      </c>
      <c r="AU172" s="31">
        <f t="shared" si="75"/>
        <v>0</v>
      </c>
      <c r="AV172" s="31">
        <f t="shared" si="76"/>
        <v>0</v>
      </c>
      <c r="AW172" s="31">
        <f t="shared" si="77"/>
        <v>0</v>
      </c>
      <c r="AX172" s="31">
        <f t="shared" si="78"/>
        <v>0</v>
      </c>
      <c r="AY172" s="31">
        <f t="shared" si="79"/>
        <v>0</v>
      </c>
      <c r="AZ172" s="31">
        <f t="shared" si="80"/>
        <v>0</v>
      </c>
      <c r="BA172" s="31">
        <f t="shared" si="81"/>
        <v>0</v>
      </c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35"/>
      <c r="CW172" s="35"/>
      <c r="CX172" s="35"/>
      <c r="CY172" s="35"/>
      <c r="CZ172" s="35"/>
      <c r="DA172" s="35"/>
      <c r="DB172" s="35"/>
      <c r="DC172" s="35"/>
      <c r="DD172" s="40"/>
      <c r="DE172" s="40"/>
      <c r="DF172" s="40"/>
      <c r="DG172" s="40"/>
      <c r="DH172" s="40"/>
      <c r="DI172" s="40"/>
      <c r="DJ172" s="40"/>
      <c r="DK172" s="40"/>
      <c r="DL172" s="35"/>
      <c r="DM172" s="35"/>
      <c r="DN172" s="35"/>
      <c r="DO172" s="35"/>
      <c r="DP172" s="35"/>
      <c r="DQ172" s="35"/>
      <c r="DR172" s="35"/>
      <c r="DS172" s="35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40"/>
      <c r="ES172" s="40"/>
      <c r="ET172" s="40"/>
      <c r="EU172" s="40"/>
      <c r="EV172" s="40"/>
      <c r="EW172" s="40"/>
      <c r="EX172" s="40"/>
      <c r="EY172" s="40"/>
      <c r="EZ172" s="35"/>
      <c r="FA172" s="35"/>
      <c r="FB172" s="35"/>
      <c r="FC172" s="35"/>
      <c r="FD172" s="35"/>
      <c r="FE172" s="35"/>
      <c r="FF172" s="35"/>
      <c r="FG172" s="35"/>
    </row>
    <row r="173" spans="1:163">
      <c r="A173" s="62">
        <v>316</v>
      </c>
      <c r="E173" s="63" t="s">
        <v>76</v>
      </c>
      <c r="F173" s="56" t="s">
        <v>74</v>
      </c>
      <c r="G173" s="65" t="s">
        <v>688</v>
      </c>
      <c r="H173" s="66" t="str">
        <f t="shared" si="67"/>
        <v xml:space="preserve"> 284</v>
      </c>
      <c r="I173" s="67" t="s">
        <v>688</v>
      </c>
      <c r="J173" s="68">
        <f t="shared" si="68"/>
        <v>0</v>
      </c>
      <c r="K173" s="63" t="s">
        <v>331</v>
      </c>
      <c r="L173" s="1" t="s">
        <v>46</v>
      </c>
      <c r="O173" s="88" t="s">
        <v>790</v>
      </c>
      <c r="P173" s="89">
        <v>0</v>
      </c>
      <c r="Q173" s="90">
        <f t="shared" si="88"/>
        <v>70000</v>
      </c>
      <c r="R173" s="71">
        <v>70000</v>
      </c>
      <c r="S173" s="72">
        <f t="shared" si="84"/>
        <v>8550</v>
      </c>
      <c r="T173" s="68" t="s">
        <v>791</v>
      </c>
      <c r="U173" s="73">
        <f t="shared" si="85"/>
        <v>61450</v>
      </c>
      <c r="V173" s="73">
        <f>2000+5500+600+200+250</f>
        <v>8550</v>
      </c>
      <c r="W173" s="2">
        <f t="shared" si="69"/>
        <v>70000</v>
      </c>
      <c r="Y173" s="81">
        <f t="shared" si="70"/>
        <v>70000</v>
      </c>
      <c r="Z173" s="96">
        <v>0</v>
      </c>
      <c r="AA173" s="97">
        <f t="shared" ref="AA173:AA178" si="89">U173-Z173</f>
        <v>61450</v>
      </c>
      <c r="AB173" s="98" t="e">
        <f t="shared" ref="AB173:AB178" si="90">AA173/Z173</f>
        <v>#DIV/0!</v>
      </c>
      <c r="AE173" s="2">
        <v>108000</v>
      </c>
      <c r="AF173" s="28">
        <f t="shared" si="65"/>
        <v>0</v>
      </c>
      <c r="AG173" s="55" t="s">
        <v>125</v>
      </c>
      <c r="AI173" s="20" t="s">
        <v>45</v>
      </c>
      <c r="AJ173" s="2">
        <f t="shared" si="71"/>
        <v>-70000</v>
      </c>
      <c r="AN173" s="29" t="e">
        <f t="shared" si="72"/>
        <v>#DIV/0!</v>
      </c>
      <c r="AP173" s="3" t="s">
        <v>29</v>
      </c>
      <c r="AQ173" s="1" t="s">
        <v>185</v>
      </c>
      <c r="AR173" s="31">
        <f t="shared" si="73"/>
        <v>0</v>
      </c>
      <c r="AS173" s="31">
        <f t="shared" si="74"/>
        <v>0</v>
      </c>
      <c r="AT173" s="31">
        <f>IF(BZ173&lt;&gt;"", AF173-BZ173, 0)</f>
        <v>0</v>
      </c>
      <c r="AU173" s="31">
        <f t="shared" si="75"/>
        <v>0</v>
      </c>
      <c r="AV173" s="31">
        <f t="shared" si="76"/>
        <v>0</v>
      </c>
      <c r="AW173" s="31">
        <f t="shared" si="77"/>
        <v>0</v>
      </c>
      <c r="AX173" s="31">
        <f t="shared" si="78"/>
        <v>0</v>
      </c>
      <c r="AY173" s="31">
        <f t="shared" si="79"/>
        <v>0</v>
      </c>
      <c r="AZ173" s="31">
        <f t="shared" si="80"/>
        <v>0</v>
      </c>
      <c r="BA173" s="31">
        <f t="shared" si="81"/>
        <v>0</v>
      </c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41"/>
      <c r="BM173" s="41"/>
      <c r="BN173" s="41"/>
      <c r="BO173" s="37"/>
      <c r="BP173" s="38"/>
      <c r="BQ173" s="37"/>
      <c r="BR173" s="40"/>
      <c r="BS173" s="39"/>
      <c r="BT173" s="39"/>
      <c r="BU173" s="39"/>
      <c r="BV173" s="39"/>
      <c r="BW173" s="39"/>
      <c r="BX173" s="36"/>
      <c r="BY173" s="33"/>
      <c r="BZ173" s="33"/>
      <c r="CA173" s="33"/>
      <c r="CB173" s="34"/>
      <c r="CC173" s="33"/>
      <c r="CD173" s="35"/>
      <c r="CE173" s="48"/>
      <c r="CF173" s="48"/>
      <c r="CG173" s="48"/>
      <c r="CH173" s="48"/>
      <c r="CI173" s="48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35"/>
      <c r="CW173" s="35"/>
      <c r="CX173" s="35"/>
      <c r="CY173" s="35"/>
      <c r="CZ173" s="35"/>
      <c r="DA173" s="35"/>
      <c r="DB173" s="35"/>
      <c r="DC173" s="35"/>
      <c r="DD173" s="40"/>
      <c r="DE173" s="40"/>
      <c r="DF173" s="40"/>
      <c r="DG173" s="40"/>
      <c r="DH173" s="40"/>
      <c r="DI173" s="40"/>
      <c r="DJ173" s="40"/>
      <c r="DK173" s="40"/>
      <c r="DL173" s="35"/>
      <c r="DM173" s="35"/>
      <c r="DN173" s="35"/>
      <c r="DO173" s="35"/>
      <c r="DP173" s="35"/>
      <c r="DQ173" s="35"/>
      <c r="DR173" s="35"/>
      <c r="DS173" s="35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40"/>
      <c r="ES173" s="40"/>
      <c r="ET173" s="40"/>
      <c r="EU173" s="40"/>
      <c r="EV173" s="40"/>
      <c r="EW173" s="40"/>
      <c r="EX173" s="40"/>
      <c r="EY173" s="40"/>
      <c r="EZ173" s="35"/>
      <c r="FA173" s="35"/>
      <c r="FB173" s="35"/>
      <c r="FC173" s="35"/>
      <c r="FD173" s="35"/>
      <c r="FE173" s="35"/>
      <c r="FF173" s="35"/>
      <c r="FG173" s="35"/>
    </row>
    <row r="174" spans="1:163">
      <c r="A174" s="62">
        <v>226</v>
      </c>
      <c r="E174" s="63" t="s">
        <v>220</v>
      </c>
      <c r="F174" s="56" t="s">
        <v>69</v>
      </c>
      <c r="G174" s="65" t="s">
        <v>606</v>
      </c>
      <c r="H174" s="66" t="str">
        <f t="shared" si="67"/>
        <v xml:space="preserve"> 520</v>
      </c>
      <c r="I174" s="67" t="s">
        <v>606</v>
      </c>
      <c r="J174" s="68">
        <f t="shared" si="68"/>
        <v>0</v>
      </c>
      <c r="K174" s="63" t="s">
        <v>331</v>
      </c>
      <c r="L174" s="1" t="s">
        <v>46</v>
      </c>
      <c r="O174" s="88" t="s">
        <v>790</v>
      </c>
      <c r="P174" s="89">
        <v>0</v>
      </c>
      <c r="Q174" s="90">
        <f t="shared" si="88"/>
        <v>100000</v>
      </c>
      <c r="R174" s="71">
        <v>100000</v>
      </c>
      <c r="S174" s="72">
        <f t="shared" si="84"/>
        <v>8550</v>
      </c>
      <c r="T174" s="68" t="s">
        <v>791</v>
      </c>
      <c r="U174" s="73">
        <f t="shared" si="85"/>
        <v>91450</v>
      </c>
      <c r="V174" s="73">
        <f>2000+5500+600+200+250</f>
        <v>8550</v>
      </c>
      <c r="W174" s="2">
        <f t="shared" si="69"/>
        <v>100000</v>
      </c>
      <c r="Y174" s="81">
        <f t="shared" si="70"/>
        <v>100000</v>
      </c>
      <c r="Z174" s="96">
        <v>0</v>
      </c>
      <c r="AA174" s="97">
        <f t="shared" si="89"/>
        <v>91450</v>
      </c>
      <c r="AB174" s="98" t="e">
        <f t="shared" si="90"/>
        <v>#DIV/0!</v>
      </c>
      <c r="AE174" s="2">
        <v>114000</v>
      </c>
      <c r="AF174" s="28">
        <f t="shared" si="65"/>
        <v>0</v>
      </c>
      <c r="AG174" s="55" t="s">
        <v>125</v>
      </c>
      <c r="AI174" s="20" t="s">
        <v>45</v>
      </c>
      <c r="AJ174" s="2">
        <f t="shared" si="71"/>
        <v>-100000</v>
      </c>
      <c r="AN174" s="29" t="e">
        <f t="shared" si="72"/>
        <v>#DIV/0!</v>
      </c>
      <c r="AP174" s="3" t="s">
        <v>140</v>
      </c>
      <c r="AQ174" s="1" t="s">
        <v>181</v>
      </c>
      <c r="AR174" s="31">
        <f t="shared" si="73"/>
        <v>-115500</v>
      </c>
      <c r="AS174" s="31">
        <f t="shared" si="74"/>
        <v>0</v>
      </c>
      <c r="AT174" s="31">
        <f>IF(BZ174&lt;&gt;"", AF174-BZ174, 0)</f>
        <v>-111900</v>
      </c>
      <c r="AU174" s="31">
        <f t="shared" si="75"/>
        <v>0</v>
      </c>
      <c r="AV174" s="31">
        <f t="shared" si="76"/>
        <v>0</v>
      </c>
      <c r="AW174" s="31">
        <f t="shared" si="77"/>
        <v>0</v>
      </c>
      <c r="AX174" s="31">
        <f t="shared" si="78"/>
        <v>-104167</v>
      </c>
      <c r="AY174" s="31">
        <f t="shared" si="79"/>
        <v>-111412</v>
      </c>
      <c r="AZ174" s="31">
        <f t="shared" si="80"/>
        <v>0</v>
      </c>
      <c r="BA174" s="31">
        <f t="shared" si="81"/>
        <v>0</v>
      </c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41">
        <v>112500</v>
      </c>
      <c r="BM174" s="41">
        <v>3000</v>
      </c>
      <c r="BN174" s="41">
        <f>BL174+BM174</f>
        <v>115500</v>
      </c>
      <c r="BO174" s="37">
        <f>BN174-Y174</f>
        <v>15500</v>
      </c>
      <c r="BP174" s="38">
        <f>BO174/BL174</f>
        <v>0.13777777777777778</v>
      </c>
      <c r="BQ174" s="37">
        <f>AF174-BN174</f>
        <v>-115500</v>
      </c>
      <c r="BR174" s="39" t="s">
        <v>29</v>
      </c>
      <c r="BS174" s="39"/>
      <c r="BT174" s="39"/>
      <c r="BU174" s="39"/>
      <c r="BV174" s="39"/>
      <c r="BW174" s="39"/>
      <c r="BX174" s="36">
        <v>108900</v>
      </c>
      <c r="BY174" s="33">
        <v>3000</v>
      </c>
      <c r="BZ174" s="33">
        <f>BX174+BY174</f>
        <v>111900</v>
      </c>
      <c r="CA174" s="33">
        <f>BZ174-Y174</f>
        <v>11900</v>
      </c>
      <c r="CB174" s="34">
        <f>CA174/BX174</f>
        <v>0.10927456382001836</v>
      </c>
      <c r="CC174" s="33" t="e">
        <f>AG174-BZ174</f>
        <v>#VALUE!</v>
      </c>
      <c r="CD174" s="35" t="s">
        <v>29</v>
      </c>
      <c r="CE174" s="48"/>
      <c r="CF174" s="48"/>
      <c r="CG174" s="48"/>
      <c r="CH174" s="48"/>
      <c r="CI174" s="48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35"/>
      <c r="CW174" s="35"/>
      <c r="CX174" s="35"/>
      <c r="CY174" s="35"/>
      <c r="CZ174" s="35"/>
      <c r="DA174" s="35"/>
      <c r="DB174" s="35"/>
      <c r="DC174" s="35"/>
      <c r="DD174" s="40"/>
      <c r="DE174" s="40"/>
      <c r="DF174" s="40"/>
      <c r="DG174" s="40"/>
      <c r="DH174" s="40"/>
      <c r="DI174" s="40"/>
      <c r="DJ174" s="40"/>
      <c r="DK174" s="40"/>
      <c r="DL174" s="35"/>
      <c r="DM174" s="35"/>
      <c r="DN174" s="35"/>
      <c r="DO174" s="35"/>
      <c r="DP174" s="35"/>
      <c r="DQ174" s="35"/>
      <c r="DR174" s="35"/>
      <c r="DS174" s="35"/>
      <c r="DT174" s="41">
        <v>101167</v>
      </c>
      <c r="DU174" s="37">
        <v>3000</v>
      </c>
      <c r="DV174" s="41">
        <f>DT174+DU174</f>
        <v>104167</v>
      </c>
      <c r="DW174" s="37">
        <f>DV174-Y174</f>
        <v>4167</v>
      </c>
      <c r="DX174" s="38">
        <f>DW174/DV174</f>
        <v>4.0003071990169628E-2</v>
      </c>
      <c r="DY174" s="37">
        <f>AF174-DV174</f>
        <v>-104167</v>
      </c>
      <c r="DZ174" s="40" t="s">
        <v>29</v>
      </c>
      <c r="EA174" s="40"/>
      <c r="EB174" s="40"/>
      <c r="EC174" s="40"/>
      <c r="ED174" s="40"/>
      <c r="EE174" s="40"/>
      <c r="EF174" s="36">
        <v>108412</v>
      </c>
      <c r="EG174" s="33">
        <v>3000</v>
      </c>
      <c r="EH174" s="33">
        <f>EF174+EG174</f>
        <v>111412</v>
      </c>
      <c r="EI174" s="33">
        <f>EH174-Y174</f>
        <v>11412</v>
      </c>
      <c r="EJ174" s="44">
        <f>EI174/EH174</f>
        <v>0.10243061788676265</v>
      </c>
      <c r="EK174" s="45">
        <f>AF174-EH174</f>
        <v>-111412</v>
      </c>
      <c r="EL174" s="35" t="s">
        <v>29</v>
      </c>
      <c r="EM174" s="35"/>
      <c r="EN174" s="35"/>
      <c r="EO174" s="35"/>
      <c r="EP174" s="35"/>
      <c r="EQ174" s="35"/>
      <c r="ER174" s="40"/>
      <c r="ES174" s="40"/>
      <c r="ET174" s="40"/>
      <c r="EU174" s="40"/>
      <c r="EV174" s="40"/>
      <c r="EW174" s="40"/>
      <c r="EX174" s="40"/>
      <c r="EY174" s="40"/>
      <c r="EZ174" s="35"/>
      <c r="FA174" s="35"/>
      <c r="FB174" s="35"/>
      <c r="FC174" s="35"/>
      <c r="FD174" s="35"/>
      <c r="FE174" s="35"/>
      <c r="FF174" s="35"/>
      <c r="FG174" s="35"/>
    </row>
    <row r="175" spans="1:163">
      <c r="A175" s="62">
        <v>409</v>
      </c>
      <c r="E175" s="63" t="s">
        <v>233</v>
      </c>
      <c r="F175" s="56" t="s">
        <v>81</v>
      </c>
      <c r="G175" s="65" t="s">
        <v>777</v>
      </c>
      <c r="H175" s="66" t="str">
        <f t="shared" si="67"/>
        <v xml:space="preserve"> 797</v>
      </c>
      <c r="I175" s="67" t="s">
        <v>777</v>
      </c>
      <c r="J175" s="68">
        <f t="shared" si="68"/>
        <v>0</v>
      </c>
      <c r="K175" s="63" t="s">
        <v>331</v>
      </c>
      <c r="L175" s="1" t="s">
        <v>46</v>
      </c>
      <c r="O175" s="88" t="s">
        <v>790</v>
      </c>
      <c r="P175" s="89">
        <v>0</v>
      </c>
      <c r="Q175" s="90">
        <f t="shared" si="88"/>
        <v>45000</v>
      </c>
      <c r="R175" s="71">
        <v>45000</v>
      </c>
      <c r="S175" s="72">
        <f t="shared" si="84"/>
        <v>7900</v>
      </c>
      <c r="T175" s="68" t="s">
        <v>791</v>
      </c>
      <c r="U175" s="73">
        <f t="shared" si="85"/>
        <v>37100</v>
      </c>
      <c r="V175" s="73">
        <f>2000+4850+600+200+250</f>
        <v>7900</v>
      </c>
      <c r="W175" s="2">
        <f t="shared" si="69"/>
        <v>45000</v>
      </c>
      <c r="Y175" s="81">
        <f t="shared" si="70"/>
        <v>45000</v>
      </c>
      <c r="Z175" s="96">
        <v>0</v>
      </c>
      <c r="AA175" s="97">
        <f t="shared" si="89"/>
        <v>37100</v>
      </c>
      <c r="AB175" s="98" t="e">
        <f t="shared" si="90"/>
        <v>#DIV/0!</v>
      </c>
      <c r="AE175" s="2">
        <v>71000</v>
      </c>
      <c r="AF175" s="28">
        <f t="shared" si="65"/>
        <v>0</v>
      </c>
      <c r="AG175" s="55" t="s">
        <v>125</v>
      </c>
      <c r="AI175" s="20" t="s">
        <v>45</v>
      </c>
      <c r="AJ175" s="2">
        <f t="shared" si="71"/>
        <v>-45000</v>
      </c>
      <c r="AN175" s="29" t="e">
        <f t="shared" si="72"/>
        <v>#DIV/0!</v>
      </c>
      <c r="AP175" s="3" t="s">
        <v>140</v>
      </c>
      <c r="AQ175" s="1" t="s">
        <v>126</v>
      </c>
      <c r="AR175" s="31">
        <f t="shared" si="73"/>
        <v>0</v>
      </c>
      <c r="AS175" s="31">
        <f t="shared" si="74"/>
        <v>0</v>
      </c>
      <c r="AT175" s="31">
        <f>IF(BX175&lt;&gt;"", AF175-BX175, 0)</f>
        <v>0</v>
      </c>
      <c r="AU175" s="31">
        <f t="shared" si="75"/>
        <v>0</v>
      </c>
      <c r="AV175" s="31">
        <f t="shared" si="76"/>
        <v>0</v>
      </c>
      <c r="AW175" s="31">
        <f t="shared" si="77"/>
        <v>0</v>
      </c>
      <c r="AX175" s="31">
        <f t="shared" si="78"/>
        <v>0</v>
      </c>
      <c r="AY175" s="31">
        <f t="shared" si="79"/>
        <v>0</v>
      </c>
      <c r="AZ175" s="31">
        <f t="shared" si="80"/>
        <v>0</v>
      </c>
      <c r="BA175" s="31">
        <f t="shared" si="81"/>
        <v>0</v>
      </c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35"/>
      <c r="CW175" s="35"/>
      <c r="CX175" s="35"/>
      <c r="CY175" s="35"/>
      <c r="CZ175" s="35"/>
      <c r="DA175" s="35"/>
      <c r="DB175" s="35"/>
      <c r="DC175" s="35"/>
      <c r="DD175" s="40"/>
      <c r="DE175" s="40"/>
      <c r="DF175" s="40"/>
      <c r="DG175" s="40"/>
      <c r="DH175" s="40"/>
      <c r="DI175" s="40"/>
      <c r="DJ175" s="40"/>
      <c r="DK175" s="40"/>
      <c r="DL175" s="35"/>
      <c r="DM175" s="35"/>
      <c r="DN175" s="35"/>
      <c r="DO175" s="35"/>
      <c r="DP175" s="35"/>
      <c r="DQ175" s="35"/>
      <c r="DR175" s="35"/>
      <c r="DS175" s="35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40"/>
      <c r="ES175" s="40"/>
      <c r="ET175" s="40"/>
      <c r="EU175" s="40"/>
      <c r="EV175" s="40"/>
      <c r="EW175" s="40"/>
      <c r="EX175" s="40"/>
      <c r="EY175" s="40"/>
      <c r="EZ175" s="35"/>
      <c r="FA175" s="35"/>
      <c r="FB175" s="35"/>
      <c r="FC175" s="35"/>
      <c r="FD175" s="35"/>
      <c r="FE175" s="35"/>
      <c r="FF175" s="35"/>
      <c r="FG175" s="35"/>
    </row>
    <row r="176" spans="1:163">
      <c r="A176" s="62">
        <v>300</v>
      </c>
      <c r="E176" s="63" t="s">
        <v>72</v>
      </c>
      <c r="F176" s="56" t="s">
        <v>95</v>
      </c>
      <c r="G176" s="70" t="s">
        <v>673</v>
      </c>
      <c r="H176" s="66" t="str">
        <f t="shared" si="67"/>
        <v xml:space="preserve"> 470</v>
      </c>
      <c r="I176" s="67" t="s">
        <v>673</v>
      </c>
      <c r="J176" s="68">
        <f t="shared" si="68"/>
        <v>0</v>
      </c>
      <c r="K176" s="63" t="s">
        <v>353</v>
      </c>
      <c r="L176" s="1" t="s">
        <v>46</v>
      </c>
      <c r="O176" s="88" t="s">
        <v>790</v>
      </c>
      <c r="P176" s="89">
        <v>86000</v>
      </c>
      <c r="Q176" s="90">
        <f t="shared" si="88"/>
        <v>0</v>
      </c>
      <c r="R176" s="71"/>
      <c r="S176" s="72">
        <f t="shared" si="84"/>
        <v>0</v>
      </c>
      <c r="T176" s="68"/>
      <c r="U176" s="73">
        <f t="shared" si="85"/>
        <v>0</v>
      </c>
      <c r="V176" s="73"/>
      <c r="W176" s="2">
        <f t="shared" si="69"/>
        <v>-86000</v>
      </c>
      <c r="Y176" s="81">
        <f t="shared" si="70"/>
        <v>0</v>
      </c>
      <c r="Z176" s="96">
        <v>0</v>
      </c>
      <c r="AA176" s="97">
        <f t="shared" si="89"/>
        <v>0</v>
      </c>
      <c r="AB176" s="98" t="e">
        <f t="shared" si="90"/>
        <v>#DIV/0!</v>
      </c>
      <c r="AE176" s="2">
        <v>115000</v>
      </c>
      <c r="AF176" s="28">
        <f t="shared" si="65"/>
        <v>0</v>
      </c>
      <c r="AG176" s="55" t="s">
        <v>125</v>
      </c>
      <c r="AI176" s="20" t="s">
        <v>45</v>
      </c>
      <c r="AJ176" s="2">
        <f t="shared" si="71"/>
        <v>0</v>
      </c>
      <c r="AK176" s="2">
        <f>AVERAGE(AF176,AF175,AF174,AF173,AF172,AF171,AF170,AF169,AF168,AF167,AF166,AF165,AF162,AF161,AF160,AF159,AF158,AF157,AF156,AF155,AF154,AF153,AF152,AF151,AF150,AF149,AF148,AF147,AF146,AF145,AF144,AF143,AF142,AF141,AF140,AF139,AF138,AF137,AF136,AF135,AF122,AF121,AF120,AF118,AF117,AF116,AF115,AF114,AF113,AF112,AF111,AF110,AF108,AF107,AF106,AF101,AF100,AF99,AF98,AF96,AF94,AF95,AF93)</f>
        <v>40619.047619047618</v>
      </c>
      <c r="AL176" s="2">
        <f>MIN(AF176,AF175,AF174,AF173,AF172,AF171,AF170,AF169,AF168,AF167,AF166,AF165,AF162,AF161,AF160,AF159,AF158,AF157,AF156,AF155,AF154,AF153,AF152,AF151,AF150,AF149,AF148,AF147,AF146,AF145,AF144,AF143,AF142,AF141,AF140,AF139,AF138,AF137,AF136,AF135,AF122,AF121,AF120,AF118,AF117,AF116,AF115,AF114,AF113,AF112,AF111,AF110,AF108,AF107,AF106,AF101,AF100,AF99,AF98,AF96,AF94,AF95,AF93)</f>
        <v>0</v>
      </c>
      <c r="AM176" s="2">
        <f>MAX(AF176,AF175,AF174,AF173,AF172,AF171,AF170,AF169,AF168,AF167,AF166,AF165,AF162,AF161,AF160,AF159,AF158,AF157,AF156,AF155,AF154,AF153,AF152,AF151,AF150,AF149,AF148,AF147,AF146,AF145,AF144,AF143,AF142,AF141,AF140,AF139,AF138,AF137,AF136,AF135,AF122,AF121,AF120,AF118,AF117,AF116,AF115,AF114,AF113,AF112,AF111,AF110,AF108,AF107,AF106,AF101,AF100,AF99,AF98,AF96,AF94,AF95,AF93)</f>
        <v>250000</v>
      </c>
      <c r="AN176" s="29" t="e">
        <f t="shared" si="72"/>
        <v>#DIV/0!</v>
      </c>
      <c r="AP176" s="3" t="s">
        <v>29</v>
      </c>
      <c r="AQ176" s="1" t="s">
        <v>190</v>
      </c>
      <c r="AR176" s="31">
        <f t="shared" si="73"/>
        <v>0</v>
      </c>
      <c r="AS176" s="31">
        <f t="shared" si="74"/>
        <v>0</v>
      </c>
      <c r="AT176" s="31">
        <f>IF(BZ176&lt;&gt;"", AF176-BZ176, 0)</f>
        <v>0</v>
      </c>
      <c r="AU176" s="31">
        <f t="shared" si="75"/>
        <v>0</v>
      </c>
      <c r="AV176" s="31">
        <f t="shared" si="76"/>
        <v>0</v>
      </c>
      <c r="AW176" s="31">
        <f t="shared" si="77"/>
        <v>0</v>
      </c>
      <c r="AX176" s="31">
        <f t="shared" si="78"/>
        <v>0</v>
      </c>
      <c r="AY176" s="31">
        <f t="shared" si="79"/>
        <v>0</v>
      </c>
      <c r="AZ176" s="31">
        <f t="shared" si="80"/>
        <v>0</v>
      </c>
      <c r="BA176" s="31">
        <f t="shared" si="81"/>
        <v>0</v>
      </c>
      <c r="BB176" s="32">
        <f>IF(BS176&lt;&gt;"", AK176-BS176, 0)</f>
        <v>-85770.952380952382</v>
      </c>
      <c r="BC176" s="32">
        <f>IF(DA176&lt;&gt;"", AK176-DA176, 0)</f>
        <v>-81711.952380952382</v>
      </c>
      <c r="BD176" s="32">
        <f>IF(CE176&lt;&gt;"", AK176-CE176, )</f>
        <v>-82650.952380952382</v>
      </c>
      <c r="BE176" s="32">
        <f>IF(DI176&lt;&gt;"", AK176-DI176, 0)</f>
        <v>-77503.952380952382</v>
      </c>
      <c r="BF176" s="32">
        <f>IF(CQ176&lt;&gt;"",AK176-CQ176, 0)</f>
        <v>0</v>
      </c>
      <c r="BG176" s="32">
        <f>IF(DQ176&lt;&gt;"", AK176-DQ176, 0)</f>
        <v>-77561.952380952382</v>
      </c>
      <c r="BH176" s="32">
        <f>IF(EA176&lt;&gt;"", AK176-EA176, 0)</f>
        <v>-78247.952380952382</v>
      </c>
      <c r="BI176" s="32">
        <f>IF(EM176&lt;&gt;"", AK176-EM176, 0)</f>
        <v>-80969.952380952382</v>
      </c>
      <c r="BJ176" s="32">
        <f>IF(EW176&lt;&gt;"", AK176-EW176, 0)</f>
        <v>-121070.95238095238</v>
      </c>
      <c r="BK176" s="32">
        <f>IF(FE176&lt;&gt;"", AK176-FE176, 0)</f>
        <v>0</v>
      </c>
      <c r="BL176" s="39"/>
      <c r="BM176" s="39"/>
      <c r="BN176" s="39"/>
      <c r="BO176" s="39"/>
      <c r="BP176" s="39"/>
      <c r="BQ176" s="39"/>
      <c r="BR176" s="39"/>
      <c r="BS176" s="41">
        <f>BU176+BT176</f>
        <v>126390</v>
      </c>
      <c r="BT176" s="41">
        <v>2500</v>
      </c>
      <c r="BU176" s="41">
        <v>123890</v>
      </c>
      <c r="BV176" s="41">
        <v>159750</v>
      </c>
      <c r="BW176" s="41">
        <v>84150</v>
      </c>
      <c r="BX176" s="48"/>
      <c r="BY176" s="48"/>
      <c r="BZ176" s="48"/>
      <c r="CA176" s="48"/>
      <c r="CB176" s="48"/>
      <c r="CC176" s="48"/>
      <c r="CD176" s="48"/>
      <c r="CE176" s="36">
        <f>CG176+CF176</f>
        <v>123270</v>
      </c>
      <c r="CF176" s="36">
        <v>2500</v>
      </c>
      <c r="CG176" s="36">
        <v>120770</v>
      </c>
      <c r="CH176" s="36">
        <v>165150</v>
      </c>
      <c r="CI176" s="36">
        <v>106650</v>
      </c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35"/>
      <c r="CW176" s="35"/>
      <c r="CX176" s="35"/>
      <c r="CY176" s="35"/>
      <c r="CZ176" s="35"/>
      <c r="DA176" s="36">
        <v>122331</v>
      </c>
      <c r="DB176" s="36">
        <v>172260</v>
      </c>
      <c r="DC176" s="36">
        <v>67500</v>
      </c>
      <c r="DD176" s="40"/>
      <c r="DE176" s="40"/>
      <c r="DF176" s="40"/>
      <c r="DG176" s="40"/>
      <c r="DH176" s="40"/>
      <c r="DI176" s="41">
        <v>118123</v>
      </c>
      <c r="DJ176" s="41">
        <v>162000</v>
      </c>
      <c r="DK176" s="41">
        <v>91746</v>
      </c>
      <c r="DL176" s="35"/>
      <c r="DM176" s="35"/>
      <c r="DN176" s="35"/>
      <c r="DO176" s="35"/>
      <c r="DP176" s="35"/>
      <c r="DQ176" s="36">
        <v>118181</v>
      </c>
      <c r="DR176" s="36">
        <v>141750</v>
      </c>
      <c r="DS176" s="36">
        <v>90825</v>
      </c>
      <c r="DT176" s="40"/>
      <c r="DU176" s="40"/>
      <c r="DV176" s="40"/>
      <c r="DW176" s="40"/>
      <c r="DX176" s="40"/>
      <c r="DY176" s="40"/>
      <c r="DZ176" s="40"/>
      <c r="EA176" s="41">
        <f>EC176+EB176</f>
        <v>118867</v>
      </c>
      <c r="EB176" s="41">
        <v>3000</v>
      </c>
      <c r="EC176" s="41">
        <v>115867</v>
      </c>
      <c r="ED176" s="41">
        <v>162172</v>
      </c>
      <c r="EE176" s="41">
        <v>63472</v>
      </c>
      <c r="EF176" s="35"/>
      <c r="EG176" s="35"/>
      <c r="EH176" s="35"/>
      <c r="EI176" s="35"/>
      <c r="EJ176" s="35"/>
      <c r="EK176" s="35"/>
      <c r="EL176" s="35"/>
      <c r="EM176" s="36">
        <f>EO176+EN176</f>
        <v>121589</v>
      </c>
      <c r="EN176" s="36">
        <v>2500</v>
      </c>
      <c r="EO176" s="36">
        <v>119089</v>
      </c>
      <c r="EP176" s="36">
        <v>139650</v>
      </c>
      <c r="EQ176" s="36">
        <v>100747</v>
      </c>
      <c r="ER176" s="40"/>
      <c r="ES176" s="40"/>
      <c r="ET176" s="40"/>
      <c r="EU176" s="40"/>
      <c r="EV176" s="40"/>
      <c r="EW176" s="41">
        <v>161690</v>
      </c>
      <c r="EX176" s="41">
        <v>266000</v>
      </c>
      <c r="EY176" s="41">
        <v>101000</v>
      </c>
      <c r="EZ176" s="35"/>
      <c r="FA176" s="35"/>
      <c r="FB176" s="35"/>
      <c r="FC176" s="35"/>
      <c r="FD176" s="35"/>
      <c r="FE176" s="35"/>
      <c r="FF176" s="35"/>
      <c r="FG176" s="35"/>
    </row>
    <row r="177" spans="1:163">
      <c r="A177" s="62">
        <v>302</v>
      </c>
      <c r="E177" s="63" t="s">
        <v>72</v>
      </c>
      <c r="F177" s="56" t="s">
        <v>72</v>
      </c>
      <c r="G177" s="70" t="s">
        <v>674</v>
      </c>
      <c r="H177" s="66" t="str">
        <f t="shared" si="67"/>
        <v xml:space="preserve"> 606</v>
      </c>
      <c r="I177" s="67" t="s">
        <v>674</v>
      </c>
      <c r="J177" s="68">
        <f t="shared" si="68"/>
        <v>0</v>
      </c>
      <c r="K177" s="63" t="s">
        <v>353</v>
      </c>
      <c r="L177" s="1" t="s">
        <v>46</v>
      </c>
      <c r="O177" s="88" t="s">
        <v>790</v>
      </c>
      <c r="P177" s="89">
        <v>86000</v>
      </c>
      <c r="Q177" s="90">
        <f t="shared" si="88"/>
        <v>0</v>
      </c>
      <c r="R177" s="71"/>
      <c r="S177" s="72">
        <f t="shared" si="84"/>
        <v>0</v>
      </c>
      <c r="T177" s="68"/>
      <c r="U177" s="73">
        <f t="shared" si="85"/>
        <v>0</v>
      </c>
      <c r="V177" s="73"/>
      <c r="W177" s="2">
        <f t="shared" si="69"/>
        <v>-86000</v>
      </c>
      <c r="Y177" s="81">
        <f t="shared" si="70"/>
        <v>0</v>
      </c>
      <c r="Z177" s="96">
        <v>0</v>
      </c>
      <c r="AA177" s="97">
        <f t="shared" si="89"/>
        <v>0</v>
      </c>
      <c r="AB177" s="98" t="e">
        <f t="shared" si="90"/>
        <v>#DIV/0!</v>
      </c>
      <c r="AE177" s="2">
        <v>123000</v>
      </c>
      <c r="AF177" s="28">
        <f t="shared" si="65"/>
        <v>0</v>
      </c>
      <c r="AG177" s="55" t="s">
        <v>125</v>
      </c>
      <c r="AI177" s="20" t="s">
        <v>45</v>
      </c>
      <c r="AJ177" s="2">
        <f t="shared" si="71"/>
        <v>0</v>
      </c>
      <c r="AN177" s="29" t="e">
        <f t="shared" si="72"/>
        <v>#DIV/0!</v>
      </c>
      <c r="AP177" s="3" t="s">
        <v>140</v>
      </c>
      <c r="AQ177" s="1" t="s">
        <v>196</v>
      </c>
      <c r="AR177" s="31">
        <f t="shared" si="73"/>
        <v>-121575</v>
      </c>
      <c r="AS177" s="31">
        <f t="shared" si="74"/>
        <v>-120381</v>
      </c>
      <c r="AT177" s="31">
        <f>IF(BX177&lt;&gt;"", AF177-BX177, 0)</f>
        <v>-115800</v>
      </c>
      <c r="AU177" s="31">
        <f t="shared" si="75"/>
        <v>-107460</v>
      </c>
      <c r="AV177" s="31">
        <f t="shared" si="76"/>
        <v>0</v>
      </c>
      <c r="AW177" s="31">
        <f t="shared" si="77"/>
        <v>-121392</v>
      </c>
      <c r="AX177" s="31">
        <f t="shared" si="78"/>
        <v>-122248</v>
      </c>
      <c r="AY177" s="31">
        <f t="shared" si="79"/>
        <v>-122687</v>
      </c>
      <c r="AZ177" s="31">
        <f t="shared" si="80"/>
        <v>-142500</v>
      </c>
      <c r="BA177" s="31">
        <f t="shared" si="81"/>
        <v>0</v>
      </c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41">
        <v>118575</v>
      </c>
      <c r="BM177" s="41">
        <v>3000</v>
      </c>
      <c r="BN177" s="41">
        <f>BL177+BM177</f>
        <v>121575</v>
      </c>
      <c r="BO177" s="37">
        <f>BN177-Y177</f>
        <v>121575</v>
      </c>
      <c r="BP177" s="38">
        <f>BO177/BL177</f>
        <v>1.0253004427577483</v>
      </c>
      <c r="BQ177" s="37">
        <f>AF177-BN177</f>
        <v>-121575</v>
      </c>
      <c r="BR177" s="40" t="s">
        <v>29</v>
      </c>
      <c r="BS177" s="39"/>
      <c r="BT177" s="39"/>
      <c r="BU177" s="39"/>
      <c r="BV177" s="39"/>
      <c r="BW177" s="39"/>
      <c r="BX177" s="36">
        <v>115800</v>
      </c>
      <c r="BY177" s="33">
        <v>3000</v>
      </c>
      <c r="BZ177" s="33">
        <f>BX177+BY177</f>
        <v>118800</v>
      </c>
      <c r="CA177" s="33">
        <f>BZ177-Y177</f>
        <v>118800</v>
      </c>
      <c r="CB177" s="34">
        <f>CA177/BX177</f>
        <v>1.0259067357512954</v>
      </c>
      <c r="CC177" s="33">
        <f>AF177-BZ177</f>
        <v>-118800</v>
      </c>
      <c r="CD177" s="35" t="s">
        <v>29</v>
      </c>
      <c r="CE177" s="48"/>
      <c r="CF177" s="48"/>
      <c r="CG177" s="48"/>
      <c r="CH177" s="48"/>
      <c r="CI177" s="48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36">
        <v>120381</v>
      </c>
      <c r="CW177" s="36">
        <v>3000</v>
      </c>
      <c r="CX177" s="46">
        <f>CW177/CV177</f>
        <v>2.4920876218007825E-2</v>
      </c>
      <c r="CY177" s="36">
        <f>AF177-CV177</f>
        <v>-120381</v>
      </c>
      <c r="CZ177" s="35" t="s">
        <v>29</v>
      </c>
      <c r="DA177" s="35"/>
      <c r="DB177" s="35"/>
      <c r="DC177" s="35"/>
      <c r="DD177" s="41">
        <v>107460</v>
      </c>
      <c r="DE177" s="37">
        <f>DD177-Y177</f>
        <v>107460</v>
      </c>
      <c r="DF177" s="38">
        <f>DE177/DD177</f>
        <v>1</v>
      </c>
      <c r="DG177" s="37">
        <f>AF177-DD177</f>
        <v>-107460</v>
      </c>
      <c r="DH177" s="42" t="s">
        <v>29</v>
      </c>
      <c r="DI177" s="40"/>
      <c r="DJ177" s="40"/>
      <c r="DK177" s="40"/>
      <c r="DL177" s="36">
        <v>121392</v>
      </c>
      <c r="DM177" s="33">
        <f>DL177-Y177</f>
        <v>121392</v>
      </c>
      <c r="DN177" s="34">
        <f>DM177/DL177</f>
        <v>1</v>
      </c>
      <c r="DO177" s="33">
        <f>AF177-DL177</f>
        <v>-121392</v>
      </c>
      <c r="DP177" s="35" t="s">
        <v>29</v>
      </c>
      <c r="DQ177" s="35"/>
      <c r="DR177" s="35"/>
      <c r="DS177" s="35"/>
      <c r="DT177" s="41">
        <v>119248</v>
      </c>
      <c r="DU177" s="37">
        <v>3000</v>
      </c>
      <c r="DV177" s="41">
        <f>DT177+DU177</f>
        <v>122248</v>
      </c>
      <c r="DW177" s="37">
        <f>DV177-Y177</f>
        <v>122248</v>
      </c>
      <c r="DX177" s="38">
        <f>DW177/DV177</f>
        <v>1</v>
      </c>
      <c r="DY177" s="37">
        <f>AF177-DV177</f>
        <v>-122248</v>
      </c>
      <c r="DZ177" s="40" t="s">
        <v>29</v>
      </c>
      <c r="EA177" s="40"/>
      <c r="EB177" s="40"/>
      <c r="EC177" s="40"/>
      <c r="ED177" s="40"/>
      <c r="EE177" s="40"/>
      <c r="EF177" s="36">
        <v>119687</v>
      </c>
      <c r="EG177" s="33">
        <v>3000</v>
      </c>
      <c r="EH177" s="33">
        <f>EF177+EG177</f>
        <v>122687</v>
      </c>
      <c r="EI177" s="33">
        <f>EH177-Y177</f>
        <v>122687</v>
      </c>
      <c r="EJ177" s="44">
        <f>EI177/EH177</f>
        <v>1</v>
      </c>
      <c r="EK177" s="45">
        <f>AF177-EH177</f>
        <v>-122687</v>
      </c>
      <c r="EL177" s="43" t="s">
        <v>29</v>
      </c>
      <c r="EM177" s="35"/>
      <c r="EN177" s="35"/>
      <c r="EO177" s="35"/>
      <c r="EP177" s="35"/>
      <c r="EQ177" s="35"/>
      <c r="ER177" s="41">
        <v>142500</v>
      </c>
      <c r="ES177" s="37">
        <f>ER177-Y177</f>
        <v>142500</v>
      </c>
      <c r="ET177" s="38">
        <f>ES177/ER177</f>
        <v>1</v>
      </c>
      <c r="EU177" s="37">
        <f>AF177-ER177</f>
        <v>-142500</v>
      </c>
      <c r="EV177" s="40" t="s">
        <v>29</v>
      </c>
      <c r="EW177" s="40"/>
      <c r="EX177" s="40"/>
      <c r="EY177" s="40"/>
      <c r="EZ177" s="35"/>
      <c r="FA177" s="35"/>
      <c r="FB177" s="35"/>
      <c r="FC177" s="35"/>
      <c r="FD177" s="35"/>
      <c r="FE177" s="35"/>
      <c r="FF177" s="35"/>
      <c r="FG177" s="35"/>
    </row>
    <row r="178" spans="1:163">
      <c r="A178" s="62">
        <v>298</v>
      </c>
      <c r="E178" s="63" t="s">
        <v>72</v>
      </c>
      <c r="F178" s="56" t="s">
        <v>95</v>
      </c>
      <c r="G178" s="70" t="s">
        <v>672</v>
      </c>
      <c r="H178" s="66" t="str">
        <f t="shared" si="67"/>
        <v xml:space="preserve"> 855</v>
      </c>
      <c r="I178" s="67" t="s">
        <v>672</v>
      </c>
      <c r="J178" s="68">
        <f t="shared" si="68"/>
        <v>0</v>
      </c>
      <c r="K178" s="63" t="s">
        <v>353</v>
      </c>
      <c r="L178" s="1" t="s">
        <v>46</v>
      </c>
      <c r="O178" s="88" t="s">
        <v>790</v>
      </c>
      <c r="P178" s="89">
        <v>86000</v>
      </c>
      <c r="Q178" s="90">
        <f t="shared" si="88"/>
        <v>0</v>
      </c>
      <c r="R178" s="71"/>
      <c r="S178" s="72">
        <f t="shared" si="84"/>
        <v>0</v>
      </c>
      <c r="T178" s="68"/>
      <c r="U178" s="73">
        <f t="shared" si="85"/>
        <v>0</v>
      </c>
      <c r="V178" s="73"/>
      <c r="W178" s="2">
        <f t="shared" si="69"/>
        <v>-86000</v>
      </c>
      <c r="Y178" s="81">
        <f t="shared" si="70"/>
        <v>0</v>
      </c>
      <c r="Z178" s="96">
        <v>0</v>
      </c>
      <c r="AA178" s="97">
        <f t="shared" si="89"/>
        <v>0</v>
      </c>
      <c r="AB178" s="98" t="e">
        <f t="shared" si="90"/>
        <v>#DIV/0!</v>
      </c>
      <c r="AC178" s="2">
        <v>3000</v>
      </c>
      <c r="AD178" s="2">
        <f>Z178+AC178</f>
        <v>3000</v>
      </c>
      <c r="AF178" s="28">
        <f t="shared" si="65"/>
        <v>3000</v>
      </c>
      <c r="AG178" s="55" t="s">
        <v>125</v>
      </c>
      <c r="AI178" s="20" t="s">
        <v>45</v>
      </c>
      <c r="AJ178" s="2">
        <f t="shared" si="71"/>
        <v>3000</v>
      </c>
      <c r="AN178" s="29">
        <f t="shared" si="72"/>
        <v>1</v>
      </c>
      <c r="AO178" s="29" t="e">
        <f>AN178-AB178</f>
        <v>#DIV/0!</v>
      </c>
      <c r="AP178" s="3" t="s">
        <v>29</v>
      </c>
      <c r="AQ178" s="1" t="s">
        <v>190</v>
      </c>
      <c r="AR178" s="31">
        <f t="shared" si="73"/>
        <v>0</v>
      </c>
      <c r="AS178" s="31">
        <f t="shared" si="74"/>
        <v>0</v>
      </c>
      <c r="AT178" s="31">
        <f t="shared" ref="AT178:AT217" si="91">IF(BZ178&lt;&gt;"", AF178-BZ178, 0)</f>
        <v>0</v>
      </c>
      <c r="AU178" s="31">
        <f t="shared" si="75"/>
        <v>0</v>
      </c>
      <c r="AV178" s="31">
        <f t="shared" si="76"/>
        <v>0</v>
      </c>
      <c r="AW178" s="31">
        <f t="shared" si="77"/>
        <v>0</v>
      </c>
      <c r="AX178" s="31">
        <f t="shared" si="78"/>
        <v>0</v>
      </c>
      <c r="AY178" s="31">
        <f t="shared" si="79"/>
        <v>0</v>
      </c>
      <c r="AZ178" s="31">
        <f t="shared" si="80"/>
        <v>0</v>
      </c>
      <c r="BA178" s="31">
        <f t="shared" si="81"/>
        <v>0</v>
      </c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35"/>
      <c r="CW178" s="35"/>
      <c r="CX178" s="35"/>
      <c r="CY178" s="35"/>
      <c r="CZ178" s="35"/>
      <c r="DA178" s="35"/>
      <c r="DB178" s="35"/>
      <c r="DC178" s="35"/>
      <c r="DD178" s="40"/>
      <c r="DE178" s="40"/>
      <c r="DF178" s="40"/>
      <c r="DG178" s="40"/>
      <c r="DH178" s="40"/>
      <c r="DI178" s="40"/>
      <c r="DJ178" s="40"/>
      <c r="DK178" s="40"/>
      <c r="DL178" s="35"/>
      <c r="DM178" s="35"/>
      <c r="DN178" s="35"/>
      <c r="DO178" s="35"/>
      <c r="DP178" s="35"/>
      <c r="DQ178" s="35"/>
      <c r="DR178" s="35"/>
      <c r="DS178" s="35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40"/>
      <c r="ES178" s="40"/>
      <c r="ET178" s="40"/>
      <c r="EU178" s="40"/>
      <c r="EV178" s="40"/>
      <c r="EW178" s="40"/>
      <c r="EX178" s="40"/>
      <c r="EY178" s="40"/>
      <c r="EZ178" s="35"/>
      <c r="FA178" s="35"/>
      <c r="FB178" s="35"/>
      <c r="FC178" s="35"/>
      <c r="FD178" s="35"/>
      <c r="FE178" s="35"/>
      <c r="FF178" s="35"/>
      <c r="FG178" s="35"/>
    </row>
    <row r="179" spans="1:163">
      <c r="A179" s="62">
        <v>349</v>
      </c>
      <c r="E179" s="63" t="s">
        <v>226</v>
      </c>
      <c r="F179" s="56" t="s">
        <v>85</v>
      </c>
      <c r="G179" s="70" t="s">
        <v>719</v>
      </c>
      <c r="H179" s="66" t="str">
        <f t="shared" si="67"/>
        <v xml:space="preserve"> 161</v>
      </c>
      <c r="I179" s="67" t="s">
        <v>719</v>
      </c>
      <c r="J179" s="68">
        <f t="shared" si="68"/>
        <v>0</v>
      </c>
      <c r="K179" s="63" t="s">
        <v>366</v>
      </c>
      <c r="L179" s="1" t="s">
        <v>46</v>
      </c>
      <c r="O179" s="88" t="s">
        <v>790</v>
      </c>
      <c r="P179" s="89">
        <v>65000</v>
      </c>
      <c r="Q179" s="90">
        <f t="shared" si="88"/>
        <v>0</v>
      </c>
      <c r="R179" s="71"/>
      <c r="S179" s="72">
        <f t="shared" si="84"/>
        <v>0</v>
      </c>
      <c r="T179" s="68" t="s">
        <v>791</v>
      </c>
      <c r="U179" s="73">
        <f t="shared" si="85"/>
        <v>0</v>
      </c>
      <c r="V179" s="75"/>
      <c r="W179" s="2">
        <f t="shared" si="69"/>
        <v>-65000</v>
      </c>
      <c r="Y179" s="81">
        <f t="shared" si="70"/>
        <v>0</v>
      </c>
      <c r="Z179" s="96">
        <v>0</v>
      </c>
      <c r="AA179" s="97"/>
      <c r="AB179" s="98"/>
      <c r="AE179" s="2">
        <v>99000</v>
      </c>
      <c r="AF179" s="28">
        <f t="shared" si="65"/>
        <v>0</v>
      </c>
      <c r="AG179" s="55" t="s">
        <v>125</v>
      </c>
      <c r="AI179" s="20" t="s">
        <v>45</v>
      </c>
      <c r="AJ179" s="2">
        <f t="shared" si="71"/>
        <v>0</v>
      </c>
      <c r="AN179" s="29" t="e">
        <f t="shared" si="72"/>
        <v>#DIV/0!</v>
      </c>
      <c r="AP179" s="3" t="s">
        <v>29</v>
      </c>
      <c r="AQ179" s="1" t="s">
        <v>203</v>
      </c>
      <c r="AR179" s="31">
        <f t="shared" si="73"/>
        <v>0</v>
      </c>
      <c r="AS179" s="31">
        <f t="shared" si="74"/>
        <v>0</v>
      </c>
      <c r="AT179" s="31">
        <f t="shared" si="91"/>
        <v>0</v>
      </c>
      <c r="AU179" s="31">
        <f t="shared" si="75"/>
        <v>0</v>
      </c>
      <c r="AV179" s="31">
        <f t="shared" si="76"/>
        <v>0</v>
      </c>
      <c r="AW179" s="31">
        <f t="shared" si="77"/>
        <v>0</v>
      </c>
      <c r="AX179" s="31">
        <f t="shared" si="78"/>
        <v>0</v>
      </c>
      <c r="AY179" s="31">
        <f t="shared" si="79"/>
        <v>0</v>
      </c>
      <c r="AZ179" s="31">
        <f t="shared" si="80"/>
        <v>0</v>
      </c>
      <c r="BA179" s="31">
        <f t="shared" si="81"/>
        <v>0</v>
      </c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35"/>
      <c r="CW179" s="35"/>
      <c r="CX179" s="35"/>
      <c r="CY179" s="35"/>
      <c r="CZ179" s="35"/>
      <c r="DA179" s="35"/>
      <c r="DB179" s="35"/>
      <c r="DC179" s="35"/>
      <c r="DD179" s="40"/>
      <c r="DE179" s="40"/>
      <c r="DF179" s="40"/>
      <c r="DG179" s="40"/>
      <c r="DH179" s="40"/>
      <c r="DI179" s="40"/>
      <c r="DJ179" s="40"/>
      <c r="DK179" s="40"/>
      <c r="DL179" s="35"/>
      <c r="DM179" s="35"/>
      <c r="DN179" s="35"/>
      <c r="DO179" s="35"/>
      <c r="DP179" s="35"/>
      <c r="DQ179" s="35"/>
      <c r="DR179" s="35"/>
      <c r="DS179" s="35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40"/>
      <c r="ES179" s="40"/>
      <c r="ET179" s="40"/>
      <c r="EU179" s="40"/>
      <c r="EV179" s="40"/>
      <c r="EW179" s="40"/>
      <c r="EX179" s="40"/>
      <c r="EY179" s="40"/>
    </row>
    <row r="180" spans="1:163">
      <c r="A180" s="60">
        <v>110</v>
      </c>
      <c r="E180" s="63" t="s">
        <v>58</v>
      </c>
      <c r="F180" s="56" t="s">
        <v>58</v>
      </c>
      <c r="G180" s="69" t="s">
        <v>489</v>
      </c>
      <c r="H180" s="66" t="str">
        <f t="shared" si="67"/>
        <v xml:space="preserve"> 440</v>
      </c>
      <c r="I180" s="67" t="s">
        <v>489</v>
      </c>
      <c r="J180" s="68">
        <f t="shared" si="68"/>
        <v>0</v>
      </c>
      <c r="K180" s="63" t="s">
        <v>280</v>
      </c>
      <c r="L180" s="1" t="s">
        <v>46</v>
      </c>
      <c r="O180" s="64" t="s">
        <v>789</v>
      </c>
      <c r="P180" s="82">
        <v>0</v>
      </c>
      <c r="Q180" s="74">
        <f t="shared" si="88"/>
        <v>62500</v>
      </c>
      <c r="R180" s="76">
        <v>62500</v>
      </c>
      <c r="S180" s="72">
        <f t="shared" si="84"/>
        <v>7900</v>
      </c>
      <c r="T180" s="68" t="s">
        <v>791</v>
      </c>
      <c r="U180" s="73">
        <f t="shared" si="85"/>
        <v>54600</v>
      </c>
      <c r="V180" s="76">
        <f>2000+4850+600+200+250</f>
        <v>7900</v>
      </c>
      <c r="W180" s="2">
        <f t="shared" si="69"/>
        <v>62500</v>
      </c>
      <c r="Y180" s="80">
        <f t="shared" si="70"/>
        <v>62500</v>
      </c>
      <c r="Z180" s="93"/>
      <c r="AA180" s="93"/>
      <c r="AB180" s="94"/>
      <c r="AE180" s="2">
        <v>91000</v>
      </c>
      <c r="AF180" s="28">
        <f t="shared" si="65"/>
        <v>91000</v>
      </c>
      <c r="AG180" s="55" t="s">
        <v>125</v>
      </c>
      <c r="AI180" s="20" t="s">
        <v>45</v>
      </c>
      <c r="AJ180" s="2">
        <f t="shared" si="71"/>
        <v>28500</v>
      </c>
      <c r="AN180" s="29">
        <f t="shared" si="72"/>
        <v>0.31318681318681318</v>
      </c>
      <c r="AP180" s="3" t="s">
        <v>29</v>
      </c>
      <c r="AQ180" s="1" t="s">
        <v>143</v>
      </c>
      <c r="AR180" s="31">
        <f t="shared" si="73"/>
        <v>0</v>
      </c>
      <c r="AS180" s="31">
        <f t="shared" si="74"/>
        <v>0</v>
      </c>
      <c r="AT180" s="31">
        <f t="shared" si="91"/>
        <v>0</v>
      </c>
      <c r="AU180" s="31">
        <f t="shared" si="75"/>
        <v>0</v>
      </c>
      <c r="AV180" s="31">
        <f t="shared" si="76"/>
        <v>0</v>
      </c>
      <c r="AW180" s="31">
        <f t="shared" si="77"/>
        <v>0</v>
      </c>
      <c r="AX180" s="31">
        <f t="shared" si="78"/>
        <v>0</v>
      </c>
      <c r="AY180" s="31">
        <f t="shared" si="79"/>
        <v>0</v>
      </c>
      <c r="AZ180" s="31">
        <f t="shared" si="80"/>
        <v>0</v>
      </c>
      <c r="BA180" s="31">
        <f t="shared" si="81"/>
        <v>0</v>
      </c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41"/>
      <c r="BM180" s="41"/>
      <c r="BN180" s="41"/>
      <c r="BO180" s="37"/>
      <c r="BP180" s="38"/>
      <c r="BQ180" s="37"/>
      <c r="BR180" s="40"/>
      <c r="BS180" s="39"/>
      <c r="BT180" s="39"/>
      <c r="BU180" s="39"/>
      <c r="BV180" s="39"/>
      <c r="BW180" s="39"/>
      <c r="BX180" s="36"/>
      <c r="BY180" s="33"/>
      <c r="BZ180" s="33"/>
      <c r="CA180" s="33"/>
      <c r="CB180" s="34"/>
      <c r="CC180" s="33"/>
      <c r="CD180" s="35"/>
      <c r="CE180" s="48"/>
      <c r="CF180" s="48"/>
      <c r="CG180" s="48"/>
      <c r="CH180" s="48"/>
      <c r="CI180" s="48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35"/>
      <c r="CW180" s="35"/>
      <c r="CX180" s="35"/>
      <c r="CY180" s="35"/>
      <c r="CZ180" s="35"/>
      <c r="DA180" s="35"/>
      <c r="DB180" s="35"/>
      <c r="DC180" s="35"/>
      <c r="DD180" s="40"/>
      <c r="DE180" s="40"/>
      <c r="DF180" s="40"/>
      <c r="DG180" s="40"/>
      <c r="DH180" s="40"/>
      <c r="DI180" s="40"/>
      <c r="DJ180" s="40"/>
      <c r="DK180" s="40"/>
      <c r="DL180" s="35"/>
      <c r="DM180" s="35"/>
      <c r="DN180" s="35"/>
      <c r="DO180" s="35"/>
      <c r="DP180" s="35"/>
      <c r="DQ180" s="35"/>
      <c r="DR180" s="35"/>
      <c r="DS180" s="35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40"/>
      <c r="ES180" s="40"/>
      <c r="ET180" s="40"/>
      <c r="EU180" s="40"/>
      <c r="EV180" s="40"/>
      <c r="EW180" s="40"/>
      <c r="EX180" s="40"/>
      <c r="EY180" s="40"/>
      <c r="EZ180" s="35"/>
      <c r="FA180" s="35"/>
      <c r="FB180" s="35"/>
      <c r="FC180" s="35"/>
      <c r="FD180" s="35"/>
      <c r="FE180" s="35"/>
      <c r="FF180" s="35"/>
      <c r="FG180" s="35"/>
    </row>
    <row r="181" spans="1:163">
      <c r="A181" s="60">
        <v>136</v>
      </c>
      <c r="E181" s="63" t="s">
        <v>63</v>
      </c>
      <c r="F181" s="56" t="s">
        <v>123</v>
      </c>
      <c r="G181" s="65" t="s">
        <v>515</v>
      </c>
      <c r="H181" s="66" t="str">
        <f t="shared" si="67"/>
        <v xml:space="preserve"> 374</v>
      </c>
      <c r="I181" s="67" t="s">
        <v>515</v>
      </c>
      <c r="J181" s="68">
        <f t="shared" si="68"/>
        <v>0</v>
      </c>
      <c r="K181" s="63" t="s">
        <v>287</v>
      </c>
      <c r="L181" s="1" t="s">
        <v>46</v>
      </c>
      <c r="O181" s="64" t="s">
        <v>789</v>
      </c>
      <c r="P181" s="82">
        <v>0</v>
      </c>
      <c r="Q181" s="74">
        <f t="shared" si="88"/>
        <v>80000</v>
      </c>
      <c r="R181" s="71">
        <v>80000</v>
      </c>
      <c r="S181" s="72">
        <f t="shared" si="84"/>
        <v>8250</v>
      </c>
      <c r="T181" s="68" t="s">
        <v>791</v>
      </c>
      <c r="U181" s="73">
        <f t="shared" si="85"/>
        <v>71750</v>
      </c>
      <c r="V181" s="73">
        <f>2000+5200+600+200+250</f>
        <v>8250</v>
      </c>
      <c r="W181" s="2">
        <f t="shared" si="69"/>
        <v>80000</v>
      </c>
      <c r="Y181" s="80">
        <f t="shared" si="70"/>
        <v>80000</v>
      </c>
      <c r="Z181" s="93"/>
      <c r="AA181" s="93"/>
      <c r="AB181" s="94"/>
      <c r="AE181" s="2">
        <v>189000</v>
      </c>
      <c r="AF181" s="28">
        <f t="shared" si="65"/>
        <v>189000</v>
      </c>
      <c r="AG181" s="55" t="s">
        <v>125</v>
      </c>
      <c r="AI181" s="20" t="s">
        <v>205</v>
      </c>
      <c r="AJ181" s="2">
        <f t="shared" si="71"/>
        <v>109000</v>
      </c>
      <c r="AN181" s="29">
        <f t="shared" si="72"/>
        <v>0.57671957671957674</v>
      </c>
      <c r="AP181" s="3" t="s">
        <v>140</v>
      </c>
      <c r="AQ181" s="1" t="s">
        <v>168</v>
      </c>
      <c r="AR181" s="31">
        <f t="shared" si="73"/>
        <v>42800</v>
      </c>
      <c r="AS181" s="31">
        <f t="shared" si="74"/>
        <v>28509</v>
      </c>
      <c r="AT181" s="31">
        <f t="shared" si="91"/>
        <v>45600</v>
      </c>
      <c r="AU181" s="31">
        <f t="shared" si="75"/>
        <v>42750</v>
      </c>
      <c r="AV181" s="31">
        <f t="shared" si="76"/>
        <v>0</v>
      </c>
      <c r="AW181" s="31">
        <f t="shared" si="77"/>
        <v>21000</v>
      </c>
      <c r="AX181" s="31">
        <f t="shared" si="78"/>
        <v>64152</v>
      </c>
      <c r="AY181" s="31">
        <f t="shared" si="79"/>
        <v>64464</v>
      </c>
      <c r="AZ181" s="31">
        <f t="shared" si="80"/>
        <v>32000</v>
      </c>
      <c r="BA181" s="31">
        <f t="shared" si="81"/>
        <v>0</v>
      </c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41">
        <v>142200</v>
      </c>
      <c r="BM181" s="41">
        <v>4000</v>
      </c>
      <c r="BN181" s="41">
        <f>BL181+BM181</f>
        <v>146200</v>
      </c>
      <c r="BO181" s="37">
        <f>BN181-Y181</f>
        <v>66200</v>
      </c>
      <c r="BP181" s="38">
        <f>BO181/BL181</f>
        <v>0.46554149085794655</v>
      </c>
      <c r="BQ181" s="37">
        <f>AF181-BN181</f>
        <v>42800</v>
      </c>
      <c r="BR181" s="40" t="s">
        <v>29</v>
      </c>
      <c r="BS181" s="39"/>
      <c r="BT181" s="39"/>
      <c r="BU181" s="39"/>
      <c r="BV181" s="39"/>
      <c r="BW181" s="39"/>
      <c r="BX181" s="36">
        <v>140400</v>
      </c>
      <c r="BY181" s="33">
        <v>3000</v>
      </c>
      <c r="BZ181" s="33">
        <f>BX181+BY181</f>
        <v>143400</v>
      </c>
      <c r="CA181" s="33">
        <f>BZ181-Y181</f>
        <v>63400</v>
      </c>
      <c r="CB181" s="34">
        <f>CA181/BX181</f>
        <v>0.45156695156695159</v>
      </c>
      <c r="CC181" s="33">
        <f>AF181-BZ181</f>
        <v>45600</v>
      </c>
      <c r="CD181" s="35" t="s">
        <v>29</v>
      </c>
      <c r="CE181" s="48"/>
      <c r="CF181" s="48"/>
      <c r="CG181" s="48"/>
      <c r="CH181" s="48"/>
      <c r="CI181" s="48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36">
        <v>160491</v>
      </c>
      <c r="CW181" s="36">
        <f>CV181-Y181</f>
        <v>80491</v>
      </c>
      <c r="CX181" s="46">
        <f>CW181/CV181</f>
        <v>0.50152968079206939</v>
      </c>
      <c r="CY181" s="36">
        <f>AF181-CV181</f>
        <v>28509</v>
      </c>
      <c r="CZ181" s="35" t="s">
        <v>29</v>
      </c>
      <c r="DA181" s="35"/>
      <c r="DB181" s="35"/>
      <c r="DC181" s="35"/>
      <c r="DD181" s="41">
        <v>146250</v>
      </c>
      <c r="DE181" s="37">
        <f>DD181-Y181</f>
        <v>66250</v>
      </c>
      <c r="DF181" s="38">
        <f>DE181/DD181</f>
        <v>0.45299145299145299</v>
      </c>
      <c r="DG181" s="37">
        <f>AF181-DD181</f>
        <v>42750</v>
      </c>
      <c r="DH181" s="42" t="s">
        <v>29</v>
      </c>
      <c r="DI181" s="40"/>
      <c r="DJ181" s="40"/>
      <c r="DK181" s="40"/>
      <c r="DL181" s="36">
        <v>168000</v>
      </c>
      <c r="DM181" s="33">
        <f>DL181-Y181</f>
        <v>88000</v>
      </c>
      <c r="DN181" s="34">
        <f>DM181/DL181</f>
        <v>0.52380952380952384</v>
      </c>
      <c r="DO181" s="33">
        <f>AF181-DL181</f>
        <v>21000</v>
      </c>
      <c r="DP181" s="43" t="s">
        <v>29</v>
      </c>
      <c r="DQ181" s="35"/>
      <c r="DR181" s="35"/>
      <c r="DS181" s="35"/>
      <c r="DT181" s="41">
        <v>121348</v>
      </c>
      <c r="DU181" s="37">
        <v>3500</v>
      </c>
      <c r="DV181" s="41">
        <f>DT181+DU181</f>
        <v>124848</v>
      </c>
      <c r="DW181" s="37">
        <f>DV181-Y181</f>
        <v>44848</v>
      </c>
      <c r="DX181" s="38">
        <f>DW181/DV181</f>
        <v>0.35922081250800975</v>
      </c>
      <c r="DY181" s="37">
        <f>AF181-DV181</f>
        <v>64152</v>
      </c>
      <c r="DZ181" s="40" t="s">
        <v>29</v>
      </c>
      <c r="EA181" s="40"/>
      <c r="EB181" s="40"/>
      <c r="EC181" s="40"/>
      <c r="ED181" s="40"/>
      <c r="EE181" s="40"/>
      <c r="EF181" s="36">
        <v>122036</v>
      </c>
      <c r="EG181" s="33">
        <v>2500</v>
      </c>
      <c r="EH181" s="33">
        <f>EF181+EG181</f>
        <v>124536</v>
      </c>
      <c r="EI181" s="33">
        <f>EH181-Y181</f>
        <v>44536</v>
      </c>
      <c r="EJ181" s="44">
        <f>EI181/EH181</f>
        <v>0.35761546861951565</v>
      </c>
      <c r="EK181" s="45">
        <f>AF181-EH181</f>
        <v>64464</v>
      </c>
      <c r="EL181" s="35" t="s">
        <v>29</v>
      </c>
      <c r="EM181" s="35"/>
      <c r="EN181" s="35"/>
      <c r="EO181" s="35"/>
      <c r="EP181" s="35"/>
      <c r="EQ181" s="35"/>
      <c r="ER181" s="41">
        <v>157000</v>
      </c>
      <c r="ES181" s="37">
        <f>ER181-Y181</f>
        <v>77000</v>
      </c>
      <c r="ET181" s="38">
        <f>ES181/ER181</f>
        <v>0.49044585987261147</v>
      </c>
      <c r="EU181" s="37">
        <f>AF181-ER181</f>
        <v>32000</v>
      </c>
      <c r="EV181" s="40" t="s">
        <v>29</v>
      </c>
      <c r="EW181" s="40"/>
      <c r="EX181" s="40"/>
      <c r="EY181" s="40"/>
      <c r="EZ181" s="35"/>
      <c r="FA181" s="35"/>
      <c r="FB181" s="35"/>
      <c r="FC181" s="35"/>
      <c r="FD181" s="35"/>
      <c r="FE181" s="35"/>
      <c r="FF181" s="35"/>
      <c r="FG181" s="35"/>
    </row>
    <row r="182" spans="1:163">
      <c r="A182" s="60">
        <v>139</v>
      </c>
      <c r="E182" s="63" t="s">
        <v>63</v>
      </c>
      <c r="F182" s="56" t="s">
        <v>123</v>
      </c>
      <c r="G182" s="65" t="s">
        <v>518</v>
      </c>
      <c r="H182" s="66" t="str">
        <f t="shared" si="67"/>
        <v xml:space="preserve"> 616</v>
      </c>
      <c r="I182" s="67" t="s">
        <v>518</v>
      </c>
      <c r="J182" s="68">
        <f t="shared" si="68"/>
        <v>0</v>
      </c>
      <c r="K182" s="63" t="s">
        <v>287</v>
      </c>
      <c r="L182" s="1" t="s">
        <v>46</v>
      </c>
      <c r="O182" s="64" t="s">
        <v>789</v>
      </c>
      <c r="P182" s="82">
        <v>0</v>
      </c>
      <c r="Q182" s="74">
        <f t="shared" si="88"/>
        <v>80000</v>
      </c>
      <c r="R182" s="71">
        <v>80000</v>
      </c>
      <c r="S182" s="72">
        <f t="shared" si="84"/>
        <v>8250</v>
      </c>
      <c r="T182" s="68" t="s">
        <v>791</v>
      </c>
      <c r="U182" s="73">
        <f t="shared" si="85"/>
        <v>71750</v>
      </c>
      <c r="V182" s="73">
        <f>2000+5200+600+200+250</f>
        <v>8250</v>
      </c>
      <c r="W182" s="2">
        <f t="shared" si="69"/>
        <v>80000</v>
      </c>
      <c r="Y182" s="80">
        <f t="shared" si="70"/>
        <v>80000</v>
      </c>
      <c r="Z182" s="93"/>
      <c r="AA182" s="93"/>
      <c r="AB182" s="94"/>
      <c r="AE182" s="2">
        <v>160000</v>
      </c>
      <c r="AF182" s="28">
        <f t="shared" si="65"/>
        <v>160000</v>
      </c>
      <c r="AG182" s="55" t="s">
        <v>125</v>
      </c>
      <c r="AI182" s="20" t="s">
        <v>205</v>
      </c>
      <c r="AJ182" s="2">
        <f t="shared" si="71"/>
        <v>80000</v>
      </c>
      <c r="AN182" s="29">
        <f t="shared" si="72"/>
        <v>0.5</v>
      </c>
      <c r="AP182" s="3" t="s">
        <v>140</v>
      </c>
      <c r="AQ182" s="1" t="s">
        <v>170</v>
      </c>
      <c r="AR182" s="31">
        <f t="shared" si="73"/>
        <v>13800</v>
      </c>
      <c r="AS182" s="31">
        <f t="shared" si="74"/>
        <v>-491</v>
      </c>
      <c r="AT182" s="31">
        <f t="shared" si="91"/>
        <v>16600</v>
      </c>
      <c r="AU182" s="31">
        <f t="shared" si="75"/>
        <v>13750</v>
      </c>
      <c r="AV182" s="31">
        <f t="shared" si="76"/>
        <v>0</v>
      </c>
      <c r="AW182" s="31">
        <f t="shared" si="77"/>
        <v>-8000</v>
      </c>
      <c r="AX182" s="31">
        <f t="shared" si="78"/>
        <v>35152</v>
      </c>
      <c r="AY182" s="31">
        <f t="shared" si="79"/>
        <v>35464</v>
      </c>
      <c r="AZ182" s="31">
        <f t="shared" si="80"/>
        <v>3000</v>
      </c>
      <c r="BA182" s="31">
        <f t="shared" si="81"/>
        <v>0</v>
      </c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41">
        <v>142200</v>
      </c>
      <c r="BM182" s="41">
        <v>4000</v>
      </c>
      <c r="BN182" s="41">
        <f>BL182+BM182</f>
        <v>146200</v>
      </c>
      <c r="BO182" s="37">
        <f>BN182-Y182</f>
        <v>66200</v>
      </c>
      <c r="BP182" s="38">
        <f>BO182/BL182</f>
        <v>0.46554149085794655</v>
      </c>
      <c r="BQ182" s="37">
        <f>AF182-BN182</f>
        <v>13800</v>
      </c>
      <c r="BR182" s="40" t="s">
        <v>29</v>
      </c>
      <c r="BS182" s="39"/>
      <c r="BT182" s="39"/>
      <c r="BU182" s="39"/>
      <c r="BV182" s="39"/>
      <c r="BW182" s="39"/>
      <c r="BX182" s="36">
        <v>140400</v>
      </c>
      <c r="BY182" s="33">
        <v>3000</v>
      </c>
      <c r="BZ182" s="33">
        <f>BX182+BY182</f>
        <v>143400</v>
      </c>
      <c r="CA182" s="33">
        <f>BZ182-Y182</f>
        <v>63400</v>
      </c>
      <c r="CB182" s="34">
        <f>CA182/BX182</f>
        <v>0.45156695156695159</v>
      </c>
      <c r="CC182" s="33">
        <f>AF182-BZ182</f>
        <v>16600</v>
      </c>
      <c r="CD182" s="35" t="s">
        <v>29</v>
      </c>
      <c r="CE182" s="48"/>
      <c r="CF182" s="48"/>
      <c r="CG182" s="48"/>
      <c r="CH182" s="48"/>
      <c r="CI182" s="48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36">
        <v>160491</v>
      </c>
      <c r="CW182" s="36">
        <f>CV182-Y182</f>
        <v>80491</v>
      </c>
      <c r="CX182" s="46">
        <f>CW182/CV182</f>
        <v>0.50152968079206939</v>
      </c>
      <c r="CY182" s="36">
        <f>AF182-CV182</f>
        <v>-491</v>
      </c>
      <c r="CZ182" s="35" t="s">
        <v>29</v>
      </c>
      <c r="DA182" s="35"/>
      <c r="DB182" s="35"/>
      <c r="DC182" s="35"/>
      <c r="DD182" s="41">
        <v>146250</v>
      </c>
      <c r="DE182" s="37">
        <f>DD182-Y182</f>
        <v>66250</v>
      </c>
      <c r="DF182" s="38">
        <f>DE182/DD182</f>
        <v>0.45299145299145299</v>
      </c>
      <c r="DG182" s="37">
        <f>AF182-DD182</f>
        <v>13750</v>
      </c>
      <c r="DH182" s="42" t="s">
        <v>29</v>
      </c>
      <c r="DI182" s="40"/>
      <c r="DJ182" s="40"/>
      <c r="DK182" s="40"/>
      <c r="DL182" s="36">
        <v>168000</v>
      </c>
      <c r="DM182" s="33">
        <f>DL182-Y182</f>
        <v>88000</v>
      </c>
      <c r="DN182" s="34">
        <f>DM182/DL182</f>
        <v>0.52380952380952384</v>
      </c>
      <c r="DO182" s="33">
        <f>AF182-DL182</f>
        <v>-8000</v>
      </c>
      <c r="DP182" s="43" t="s">
        <v>29</v>
      </c>
      <c r="DQ182" s="35"/>
      <c r="DR182" s="35"/>
      <c r="DS182" s="35"/>
      <c r="DT182" s="41">
        <v>121348</v>
      </c>
      <c r="DU182" s="37">
        <v>3500</v>
      </c>
      <c r="DV182" s="41">
        <f>DT182+DU182</f>
        <v>124848</v>
      </c>
      <c r="DW182" s="37">
        <f>DV182-Y182</f>
        <v>44848</v>
      </c>
      <c r="DX182" s="38">
        <f>DW182/DV182</f>
        <v>0.35922081250800975</v>
      </c>
      <c r="DY182" s="37">
        <f>AF182-DV182</f>
        <v>35152</v>
      </c>
      <c r="DZ182" s="40" t="s">
        <v>29</v>
      </c>
      <c r="EA182" s="40"/>
      <c r="EB182" s="40"/>
      <c r="EC182" s="40"/>
      <c r="ED182" s="40"/>
      <c r="EE182" s="40"/>
      <c r="EF182" s="36">
        <v>122036</v>
      </c>
      <c r="EG182" s="33">
        <v>2500</v>
      </c>
      <c r="EH182" s="33">
        <f>EF182+EG182</f>
        <v>124536</v>
      </c>
      <c r="EI182" s="33">
        <f>EH182-Y182</f>
        <v>44536</v>
      </c>
      <c r="EJ182" s="44">
        <f>EI182/EH182</f>
        <v>0.35761546861951565</v>
      </c>
      <c r="EK182" s="45">
        <f>AF182-EH182</f>
        <v>35464</v>
      </c>
      <c r="EL182" s="35" t="s">
        <v>29</v>
      </c>
      <c r="EM182" s="35"/>
      <c r="EN182" s="35"/>
      <c r="EO182" s="35"/>
      <c r="EP182" s="35"/>
      <c r="EQ182" s="35"/>
      <c r="ER182" s="41">
        <v>157000</v>
      </c>
      <c r="ES182" s="37">
        <f>ER182-Y182</f>
        <v>77000</v>
      </c>
      <c r="ET182" s="38">
        <f>ES182/ER182</f>
        <v>0.49044585987261147</v>
      </c>
      <c r="EU182" s="37">
        <f>AF182-ER182</f>
        <v>3000</v>
      </c>
      <c r="EV182" s="40" t="s">
        <v>29</v>
      </c>
      <c r="EW182" s="40"/>
      <c r="EX182" s="40"/>
      <c r="EY182" s="40"/>
      <c r="EZ182" s="35"/>
      <c r="FA182" s="35"/>
      <c r="FB182" s="35"/>
      <c r="FC182" s="35"/>
      <c r="FD182" s="35"/>
      <c r="FE182" s="35"/>
      <c r="FF182" s="35"/>
      <c r="FG182" s="35"/>
    </row>
    <row r="183" spans="1:163">
      <c r="A183" s="62">
        <v>313</v>
      </c>
      <c r="E183" s="63" t="s">
        <v>76</v>
      </c>
      <c r="F183" s="56" t="s">
        <v>74</v>
      </c>
      <c r="G183" s="65" t="s">
        <v>685</v>
      </c>
      <c r="H183" s="66" t="str">
        <f t="shared" si="67"/>
        <v xml:space="preserve"> 363</v>
      </c>
      <c r="I183" s="67" t="s">
        <v>685</v>
      </c>
      <c r="J183" s="68">
        <f t="shared" si="68"/>
        <v>0</v>
      </c>
      <c r="K183" s="63" t="s">
        <v>287</v>
      </c>
      <c r="L183" s="1" t="s">
        <v>46</v>
      </c>
      <c r="O183" s="64" t="s">
        <v>789</v>
      </c>
      <c r="P183" s="82">
        <v>0</v>
      </c>
      <c r="Q183" s="74">
        <f t="shared" si="88"/>
        <v>71000</v>
      </c>
      <c r="R183" s="71">
        <v>71000</v>
      </c>
      <c r="S183" s="72">
        <f t="shared" si="84"/>
        <v>8550</v>
      </c>
      <c r="T183" s="68" t="s">
        <v>791</v>
      </c>
      <c r="U183" s="73">
        <f t="shared" si="85"/>
        <v>62450</v>
      </c>
      <c r="V183" s="73">
        <f>2000+5500+600+200+250</f>
        <v>8550</v>
      </c>
      <c r="W183" s="2">
        <f t="shared" si="69"/>
        <v>71000</v>
      </c>
      <c r="Y183" s="80">
        <f t="shared" si="70"/>
        <v>71000</v>
      </c>
      <c r="Z183" s="93"/>
      <c r="AA183" s="93"/>
      <c r="AB183" s="94"/>
      <c r="AE183" s="2">
        <v>107000</v>
      </c>
      <c r="AF183" s="28">
        <f t="shared" si="65"/>
        <v>107000</v>
      </c>
      <c r="AG183" s="55" t="s">
        <v>125</v>
      </c>
      <c r="AI183" s="20" t="s">
        <v>45</v>
      </c>
      <c r="AJ183" s="2">
        <f t="shared" si="71"/>
        <v>36000</v>
      </c>
      <c r="AN183" s="29">
        <f t="shared" si="72"/>
        <v>0.3364485981308411</v>
      </c>
      <c r="AP183" s="3" t="s">
        <v>29</v>
      </c>
      <c r="AQ183" s="1" t="s">
        <v>185</v>
      </c>
      <c r="AR183" s="31">
        <f t="shared" si="73"/>
        <v>0</v>
      </c>
      <c r="AS183" s="31">
        <f t="shared" si="74"/>
        <v>0</v>
      </c>
      <c r="AT183" s="31">
        <f t="shared" si="91"/>
        <v>0</v>
      </c>
      <c r="AU183" s="31">
        <f t="shared" si="75"/>
        <v>0</v>
      </c>
      <c r="AV183" s="31">
        <f t="shared" si="76"/>
        <v>0</v>
      </c>
      <c r="AW183" s="31">
        <f t="shared" si="77"/>
        <v>0</v>
      </c>
      <c r="AX183" s="31">
        <f t="shared" si="78"/>
        <v>0</v>
      </c>
      <c r="AY183" s="31">
        <f t="shared" si="79"/>
        <v>0</v>
      </c>
      <c r="AZ183" s="31">
        <f t="shared" si="80"/>
        <v>0</v>
      </c>
      <c r="BA183" s="31">
        <f t="shared" si="81"/>
        <v>0</v>
      </c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41"/>
      <c r="BM183" s="41"/>
      <c r="BN183" s="41"/>
      <c r="BO183" s="37"/>
      <c r="BP183" s="38"/>
      <c r="BQ183" s="37"/>
      <c r="BR183" s="40"/>
      <c r="BS183" s="39"/>
      <c r="BT183" s="39"/>
      <c r="BU183" s="39"/>
      <c r="BV183" s="39"/>
      <c r="BW183" s="39"/>
      <c r="BX183" s="36"/>
      <c r="BY183" s="33"/>
      <c r="BZ183" s="33"/>
      <c r="CA183" s="33"/>
      <c r="CB183" s="34"/>
      <c r="CC183" s="33"/>
      <c r="CD183" s="35"/>
      <c r="CE183" s="48"/>
      <c r="CF183" s="48"/>
      <c r="CG183" s="48"/>
      <c r="CH183" s="48"/>
      <c r="CI183" s="48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35"/>
      <c r="CW183" s="35"/>
      <c r="CX183" s="35"/>
      <c r="CY183" s="35"/>
      <c r="CZ183" s="35"/>
      <c r="DA183" s="35"/>
      <c r="DB183" s="35"/>
      <c r="DC183" s="35"/>
      <c r="DD183" s="40"/>
      <c r="DE183" s="40"/>
      <c r="DF183" s="40"/>
      <c r="DG183" s="40"/>
      <c r="DH183" s="40"/>
      <c r="DI183" s="40"/>
      <c r="DJ183" s="40"/>
      <c r="DK183" s="40"/>
      <c r="DL183" s="35"/>
      <c r="DM183" s="35"/>
      <c r="DN183" s="35"/>
      <c r="DO183" s="35"/>
      <c r="DP183" s="35"/>
      <c r="DQ183" s="35"/>
      <c r="DR183" s="35"/>
      <c r="DS183" s="35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40"/>
      <c r="ES183" s="40"/>
      <c r="ET183" s="40"/>
      <c r="EU183" s="40"/>
      <c r="EV183" s="40"/>
      <c r="EW183" s="40"/>
      <c r="EX183" s="40"/>
      <c r="EY183" s="40"/>
      <c r="EZ183" s="35"/>
      <c r="FA183" s="35"/>
      <c r="FB183" s="35"/>
      <c r="FC183" s="35"/>
      <c r="FD183" s="35"/>
      <c r="FE183" s="35"/>
      <c r="FF183" s="35"/>
      <c r="FG183" s="35"/>
    </row>
    <row r="184" spans="1:163">
      <c r="A184" s="60">
        <v>323</v>
      </c>
      <c r="E184" s="63" t="s">
        <v>76</v>
      </c>
      <c r="F184" s="56" t="s">
        <v>74</v>
      </c>
      <c r="G184" s="65" t="s">
        <v>694</v>
      </c>
      <c r="H184" s="66" t="str">
        <f t="shared" si="67"/>
        <v xml:space="preserve"> 127</v>
      </c>
      <c r="I184" s="67" t="s">
        <v>694</v>
      </c>
      <c r="J184" s="68">
        <f t="shared" si="68"/>
        <v>0</v>
      </c>
      <c r="K184" s="63" t="s">
        <v>287</v>
      </c>
      <c r="L184" s="1" t="s">
        <v>46</v>
      </c>
      <c r="O184" s="64" t="s">
        <v>789</v>
      </c>
      <c r="P184" s="82">
        <v>0</v>
      </c>
      <c r="Q184" s="74">
        <f t="shared" si="88"/>
        <v>71000</v>
      </c>
      <c r="R184" s="71">
        <v>71000</v>
      </c>
      <c r="S184" s="72">
        <f t="shared" si="84"/>
        <v>8550</v>
      </c>
      <c r="T184" s="68" t="s">
        <v>791</v>
      </c>
      <c r="U184" s="73">
        <f t="shared" si="85"/>
        <v>62450</v>
      </c>
      <c r="V184" s="73">
        <f>2000+5500+600+200+250</f>
        <v>8550</v>
      </c>
      <c r="W184" s="2">
        <f t="shared" si="69"/>
        <v>71000</v>
      </c>
      <c r="Y184" s="80">
        <f t="shared" si="70"/>
        <v>71000</v>
      </c>
      <c r="Z184" s="93"/>
      <c r="AA184" s="93"/>
      <c r="AB184" s="94"/>
      <c r="AE184" s="2">
        <v>108000</v>
      </c>
      <c r="AF184" s="28">
        <f t="shared" si="65"/>
        <v>108000</v>
      </c>
      <c r="AG184" s="55" t="s">
        <v>125</v>
      </c>
      <c r="AI184" s="20" t="s">
        <v>45</v>
      </c>
      <c r="AJ184" s="2">
        <f t="shared" si="71"/>
        <v>37000</v>
      </c>
      <c r="AN184" s="29">
        <f t="shared" si="72"/>
        <v>0.34259259259259262</v>
      </c>
      <c r="AP184" s="3" t="s">
        <v>29</v>
      </c>
      <c r="AQ184" s="1" t="s">
        <v>185</v>
      </c>
      <c r="AR184" s="31">
        <f t="shared" si="73"/>
        <v>0</v>
      </c>
      <c r="AS184" s="31">
        <f t="shared" si="74"/>
        <v>0</v>
      </c>
      <c r="AT184" s="31">
        <f t="shared" si="91"/>
        <v>0</v>
      </c>
      <c r="AU184" s="31">
        <f t="shared" si="75"/>
        <v>0</v>
      </c>
      <c r="AV184" s="31">
        <f t="shared" si="76"/>
        <v>0</v>
      </c>
      <c r="AW184" s="31">
        <f t="shared" si="77"/>
        <v>0</v>
      </c>
      <c r="AX184" s="31">
        <f t="shared" si="78"/>
        <v>0</v>
      </c>
      <c r="AY184" s="31">
        <f t="shared" si="79"/>
        <v>0</v>
      </c>
      <c r="AZ184" s="31">
        <f t="shared" si="80"/>
        <v>0</v>
      </c>
      <c r="BA184" s="31">
        <f t="shared" si="81"/>
        <v>0</v>
      </c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41"/>
      <c r="BM184" s="41"/>
      <c r="BN184" s="41"/>
      <c r="BO184" s="37"/>
      <c r="BP184" s="38"/>
      <c r="BQ184" s="37"/>
      <c r="BR184" s="40"/>
      <c r="BS184" s="39"/>
      <c r="BT184" s="39"/>
      <c r="BU184" s="39"/>
      <c r="BV184" s="39"/>
      <c r="BW184" s="39"/>
      <c r="BX184" s="36"/>
      <c r="BY184" s="33"/>
      <c r="BZ184" s="33"/>
      <c r="CA184" s="33"/>
      <c r="CB184" s="34"/>
      <c r="CC184" s="33"/>
      <c r="CD184" s="35"/>
      <c r="CE184" s="48"/>
      <c r="CF184" s="48"/>
      <c r="CG184" s="48"/>
      <c r="CH184" s="48"/>
      <c r="CI184" s="48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35"/>
      <c r="CW184" s="35"/>
      <c r="CX184" s="35"/>
      <c r="CY184" s="35"/>
      <c r="CZ184" s="35"/>
      <c r="DA184" s="35"/>
      <c r="DB184" s="35"/>
      <c r="DC184" s="35"/>
      <c r="DD184" s="40"/>
      <c r="DE184" s="40"/>
      <c r="DF184" s="40"/>
      <c r="DG184" s="40"/>
      <c r="DH184" s="40"/>
      <c r="DI184" s="40"/>
      <c r="DJ184" s="40"/>
      <c r="DK184" s="40"/>
      <c r="DL184" s="35"/>
      <c r="DM184" s="35"/>
      <c r="DN184" s="35"/>
      <c r="DO184" s="35"/>
      <c r="DP184" s="35"/>
      <c r="DQ184" s="35"/>
      <c r="DR184" s="35"/>
      <c r="DS184" s="35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40"/>
      <c r="ES184" s="40"/>
      <c r="ET184" s="40"/>
      <c r="EU184" s="40"/>
      <c r="EV184" s="40"/>
      <c r="EW184" s="40"/>
      <c r="EX184" s="40"/>
      <c r="EY184" s="40"/>
      <c r="EZ184" s="35"/>
      <c r="FA184" s="35"/>
      <c r="FB184" s="35"/>
      <c r="FC184" s="35"/>
      <c r="FD184" s="35"/>
      <c r="FE184" s="35"/>
      <c r="FF184" s="35"/>
      <c r="FG184" s="35"/>
    </row>
    <row r="185" spans="1:163">
      <c r="A185" s="62">
        <v>180</v>
      </c>
      <c r="E185" s="63" t="s">
        <v>215</v>
      </c>
      <c r="F185" s="56" t="s">
        <v>63</v>
      </c>
      <c r="G185" s="70" t="s">
        <v>560</v>
      </c>
      <c r="H185" s="66" t="str">
        <f t="shared" si="67"/>
        <v xml:space="preserve"> 313</v>
      </c>
      <c r="I185" s="67" t="s">
        <v>560</v>
      </c>
      <c r="J185" s="68">
        <f t="shared" si="68"/>
        <v>0</v>
      </c>
      <c r="K185" s="63" t="s">
        <v>287</v>
      </c>
      <c r="L185" s="1" t="s">
        <v>46</v>
      </c>
      <c r="O185" s="88" t="s">
        <v>790</v>
      </c>
      <c r="P185" s="89">
        <v>0</v>
      </c>
      <c r="Q185" s="90">
        <f t="shared" si="88"/>
        <v>70000</v>
      </c>
      <c r="R185" s="71">
        <v>70000</v>
      </c>
      <c r="S185" s="72">
        <f t="shared" si="84"/>
        <v>7900</v>
      </c>
      <c r="T185" s="68" t="s">
        <v>791</v>
      </c>
      <c r="U185" s="73">
        <f t="shared" si="85"/>
        <v>62100</v>
      </c>
      <c r="V185" s="73">
        <v>7900</v>
      </c>
      <c r="W185" s="2">
        <f t="shared" si="69"/>
        <v>70000</v>
      </c>
      <c r="Y185" s="81">
        <f t="shared" si="70"/>
        <v>70000</v>
      </c>
      <c r="Z185" s="96">
        <v>0</v>
      </c>
      <c r="AA185" s="97">
        <f>U185-Z185</f>
        <v>62100</v>
      </c>
      <c r="AB185" s="98" t="e">
        <f>AA185/Z185</f>
        <v>#DIV/0!</v>
      </c>
      <c r="AE185" s="2">
        <v>95000</v>
      </c>
      <c r="AF185" s="28">
        <f t="shared" si="65"/>
        <v>0</v>
      </c>
      <c r="AG185" s="55" t="s">
        <v>125</v>
      </c>
      <c r="AI185" s="20" t="s">
        <v>206</v>
      </c>
      <c r="AJ185" s="2">
        <f t="shared" si="71"/>
        <v>-70000</v>
      </c>
      <c r="AN185" s="29" t="e">
        <f t="shared" si="72"/>
        <v>#DIV/0!</v>
      </c>
      <c r="AP185" s="3" t="s">
        <v>29</v>
      </c>
      <c r="AQ185" s="1" t="s">
        <v>165</v>
      </c>
      <c r="AR185" s="31">
        <f t="shared" si="73"/>
        <v>0</v>
      </c>
      <c r="AS185" s="31">
        <f t="shared" si="74"/>
        <v>0</v>
      </c>
      <c r="AT185" s="31">
        <f t="shared" si="91"/>
        <v>0</v>
      </c>
      <c r="AU185" s="31">
        <f t="shared" si="75"/>
        <v>0</v>
      </c>
      <c r="AV185" s="31">
        <f t="shared" si="76"/>
        <v>0</v>
      </c>
      <c r="AW185" s="31">
        <f t="shared" si="77"/>
        <v>0</v>
      </c>
      <c r="AX185" s="31">
        <f t="shared" si="78"/>
        <v>0</v>
      </c>
      <c r="AY185" s="31">
        <f t="shared" si="79"/>
        <v>0</v>
      </c>
      <c r="AZ185" s="31">
        <f t="shared" si="80"/>
        <v>0</v>
      </c>
      <c r="BA185" s="31">
        <f t="shared" si="81"/>
        <v>0</v>
      </c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41"/>
      <c r="BM185" s="41"/>
      <c r="BN185" s="41"/>
      <c r="BO185" s="37"/>
      <c r="BP185" s="38"/>
      <c r="BQ185" s="37"/>
      <c r="BR185" s="40"/>
      <c r="BS185" s="39"/>
      <c r="BT185" s="39"/>
      <c r="BU185" s="39"/>
      <c r="BV185" s="39"/>
      <c r="BW185" s="39"/>
      <c r="BX185" s="36"/>
      <c r="BY185" s="33"/>
      <c r="BZ185" s="33"/>
      <c r="CA185" s="33"/>
      <c r="CB185" s="34"/>
      <c r="CC185" s="33"/>
      <c r="CD185" s="35"/>
      <c r="CE185" s="48"/>
      <c r="CF185" s="48"/>
      <c r="CG185" s="48"/>
      <c r="CH185" s="48"/>
      <c r="CI185" s="48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35"/>
      <c r="CW185" s="35"/>
      <c r="CX185" s="35"/>
      <c r="CY185" s="35"/>
      <c r="CZ185" s="35"/>
      <c r="DA185" s="35"/>
      <c r="DB185" s="35"/>
      <c r="DC185" s="35"/>
      <c r="DD185" s="40"/>
      <c r="DE185" s="40"/>
      <c r="DF185" s="40"/>
      <c r="DG185" s="40"/>
      <c r="DH185" s="40"/>
      <c r="DI185" s="40"/>
      <c r="DJ185" s="40"/>
      <c r="DK185" s="40"/>
      <c r="DL185" s="35"/>
      <c r="DM185" s="35"/>
      <c r="DN185" s="35"/>
      <c r="DO185" s="35"/>
      <c r="DP185" s="35"/>
      <c r="DQ185" s="35"/>
      <c r="DR185" s="35"/>
      <c r="DS185" s="35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40"/>
      <c r="ES185" s="40"/>
      <c r="ET185" s="40"/>
      <c r="EU185" s="40"/>
      <c r="EV185" s="40"/>
      <c r="EW185" s="40"/>
      <c r="EX185" s="40"/>
      <c r="EY185" s="40"/>
      <c r="EZ185" s="35"/>
      <c r="FA185" s="35"/>
      <c r="FB185" s="35"/>
      <c r="FC185" s="35"/>
      <c r="FD185" s="35"/>
      <c r="FE185" s="35"/>
      <c r="FF185" s="35"/>
      <c r="FG185" s="35"/>
    </row>
    <row r="186" spans="1:163">
      <c r="A186" s="60">
        <v>182</v>
      </c>
      <c r="E186" s="63" t="s">
        <v>62</v>
      </c>
      <c r="F186" s="56" t="s">
        <v>63</v>
      </c>
      <c r="G186" s="65" t="s">
        <v>562</v>
      </c>
      <c r="H186" s="66" t="str">
        <f t="shared" si="67"/>
        <v xml:space="preserve"> 436</v>
      </c>
      <c r="I186" s="67" t="s">
        <v>562</v>
      </c>
      <c r="J186" s="68">
        <f t="shared" si="68"/>
        <v>0</v>
      </c>
      <c r="K186" s="63" t="s">
        <v>287</v>
      </c>
      <c r="L186" s="1" t="s">
        <v>46</v>
      </c>
      <c r="O186" s="88" t="s">
        <v>790</v>
      </c>
      <c r="P186" s="89">
        <v>0</v>
      </c>
      <c r="Q186" s="90">
        <f t="shared" si="88"/>
        <v>72000</v>
      </c>
      <c r="R186" s="71">
        <v>72000</v>
      </c>
      <c r="S186" s="72">
        <f t="shared" si="84"/>
        <v>7900</v>
      </c>
      <c r="T186" s="68" t="s">
        <v>791</v>
      </c>
      <c r="U186" s="73">
        <f t="shared" si="85"/>
        <v>64100</v>
      </c>
      <c r="V186" s="73">
        <f>2000+4850+600+200+250</f>
        <v>7900</v>
      </c>
      <c r="W186" s="2">
        <f t="shared" si="69"/>
        <v>72000</v>
      </c>
      <c r="Y186" s="81">
        <f t="shared" si="70"/>
        <v>72000</v>
      </c>
      <c r="Z186" s="96">
        <v>0</v>
      </c>
      <c r="AA186" s="97">
        <f>U186-Z186</f>
        <v>64100</v>
      </c>
      <c r="AB186" s="98" t="e">
        <f>AA186/Z186</f>
        <v>#DIV/0!</v>
      </c>
      <c r="AC186" s="2">
        <v>3000</v>
      </c>
      <c r="AD186" s="2">
        <f>Z186+AC186</f>
        <v>3000</v>
      </c>
      <c r="AF186" s="28">
        <f t="shared" si="65"/>
        <v>3000</v>
      </c>
      <c r="AG186" s="55" t="s">
        <v>125</v>
      </c>
      <c r="AI186" s="20" t="s">
        <v>206</v>
      </c>
      <c r="AJ186" s="2">
        <f t="shared" si="71"/>
        <v>-69000</v>
      </c>
      <c r="AN186" s="29">
        <f t="shared" si="72"/>
        <v>-23</v>
      </c>
      <c r="AO186" s="29" t="e">
        <f>AN186-AB186</f>
        <v>#DIV/0!</v>
      </c>
      <c r="AP186" s="3" t="s">
        <v>29</v>
      </c>
      <c r="AQ186" s="1" t="s">
        <v>165</v>
      </c>
      <c r="AR186" s="31">
        <f t="shared" si="73"/>
        <v>0</v>
      </c>
      <c r="AS186" s="31">
        <f t="shared" si="74"/>
        <v>0</v>
      </c>
      <c r="AT186" s="31">
        <f t="shared" si="91"/>
        <v>0</v>
      </c>
      <c r="AU186" s="31">
        <f t="shared" si="75"/>
        <v>0</v>
      </c>
      <c r="AV186" s="31">
        <f t="shared" si="76"/>
        <v>0</v>
      </c>
      <c r="AW186" s="31">
        <f t="shared" si="77"/>
        <v>0</v>
      </c>
      <c r="AX186" s="31">
        <f t="shared" si="78"/>
        <v>0</v>
      </c>
      <c r="AY186" s="31">
        <f t="shared" si="79"/>
        <v>0</v>
      </c>
      <c r="AZ186" s="31">
        <f t="shared" si="80"/>
        <v>0</v>
      </c>
      <c r="BA186" s="31">
        <f t="shared" si="81"/>
        <v>0</v>
      </c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41"/>
      <c r="BM186" s="41"/>
      <c r="BN186" s="41"/>
      <c r="BO186" s="37"/>
      <c r="BP186" s="38"/>
      <c r="BQ186" s="37"/>
      <c r="BR186" s="40"/>
      <c r="BS186" s="39"/>
      <c r="BT186" s="39"/>
      <c r="BU186" s="39"/>
      <c r="BV186" s="39"/>
      <c r="BW186" s="39"/>
      <c r="BX186" s="36"/>
      <c r="BY186" s="33"/>
      <c r="BZ186" s="33"/>
      <c r="CA186" s="33"/>
      <c r="CB186" s="34"/>
      <c r="CC186" s="33"/>
      <c r="CD186" s="35"/>
      <c r="CE186" s="48"/>
      <c r="CF186" s="48"/>
      <c r="CG186" s="48"/>
      <c r="CH186" s="48"/>
      <c r="CI186" s="48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35"/>
      <c r="CW186" s="35"/>
      <c r="CX186" s="35"/>
      <c r="CY186" s="35"/>
      <c r="CZ186" s="35"/>
      <c r="DA186" s="35"/>
      <c r="DB186" s="35"/>
      <c r="DC186" s="35"/>
      <c r="DD186" s="40"/>
      <c r="DE186" s="40"/>
      <c r="DF186" s="40"/>
      <c r="DG186" s="40"/>
      <c r="DH186" s="40"/>
      <c r="DI186" s="40"/>
      <c r="DJ186" s="40"/>
      <c r="DK186" s="40"/>
      <c r="DL186" s="35"/>
      <c r="DM186" s="35"/>
      <c r="DN186" s="35"/>
      <c r="DO186" s="35"/>
      <c r="DP186" s="35"/>
      <c r="DQ186" s="35"/>
      <c r="DR186" s="35"/>
      <c r="DS186" s="35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40"/>
      <c r="ES186" s="40"/>
      <c r="ET186" s="40"/>
      <c r="EU186" s="40"/>
      <c r="EV186" s="40"/>
      <c r="EW186" s="40"/>
      <c r="EX186" s="40"/>
      <c r="EY186" s="40"/>
      <c r="EZ186" s="35"/>
      <c r="FA186" s="35"/>
      <c r="FB186" s="35"/>
      <c r="FC186" s="35"/>
      <c r="FD186" s="35"/>
      <c r="FE186" s="35"/>
      <c r="FF186" s="35"/>
      <c r="FG186" s="35"/>
    </row>
    <row r="187" spans="1:163">
      <c r="A187" s="62">
        <v>46</v>
      </c>
      <c r="E187" s="63" t="s">
        <v>113</v>
      </c>
      <c r="F187" s="56" t="s">
        <v>113</v>
      </c>
      <c r="G187" s="65" t="s">
        <v>426</v>
      </c>
      <c r="H187" s="66" t="str">
        <f t="shared" si="67"/>
        <v xml:space="preserve"> 743</v>
      </c>
      <c r="I187" s="67" t="s">
        <v>426</v>
      </c>
      <c r="J187" s="68">
        <f t="shared" si="68"/>
        <v>0</v>
      </c>
      <c r="K187" s="63" t="s">
        <v>263</v>
      </c>
      <c r="L187" s="1" t="s">
        <v>46</v>
      </c>
      <c r="O187" s="64" t="s">
        <v>789</v>
      </c>
      <c r="P187" s="82">
        <v>0</v>
      </c>
      <c r="Q187" s="74">
        <f t="shared" si="88"/>
        <v>71500</v>
      </c>
      <c r="R187" s="71">
        <v>71500</v>
      </c>
      <c r="S187" s="72">
        <f t="shared" si="84"/>
        <v>8150</v>
      </c>
      <c r="T187" s="68" t="s">
        <v>791</v>
      </c>
      <c r="U187" s="73">
        <f t="shared" si="85"/>
        <v>63350</v>
      </c>
      <c r="V187" s="73">
        <f>2000+5100+600+200+250</f>
        <v>8150</v>
      </c>
      <c r="W187" s="2">
        <f t="shared" si="69"/>
        <v>71500</v>
      </c>
      <c r="Y187" s="80">
        <f t="shared" si="70"/>
        <v>71500</v>
      </c>
      <c r="Z187" s="93"/>
      <c r="AA187" s="93"/>
      <c r="AB187" s="94"/>
      <c r="AE187" s="2">
        <v>112000</v>
      </c>
      <c r="AF187" s="28">
        <f t="shared" si="65"/>
        <v>112000</v>
      </c>
      <c r="AG187" s="55" t="s">
        <v>125</v>
      </c>
      <c r="AI187" s="20" t="s">
        <v>45</v>
      </c>
      <c r="AJ187" s="2">
        <f t="shared" si="71"/>
        <v>40500</v>
      </c>
      <c r="AN187" s="29">
        <f t="shared" si="72"/>
        <v>0.36160714285714285</v>
      </c>
      <c r="AP187" s="3" t="s">
        <v>29</v>
      </c>
      <c r="AQ187" s="1" t="s">
        <v>148</v>
      </c>
      <c r="AR187" s="31">
        <f t="shared" si="73"/>
        <v>0</v>
      </c>
      <c r="AS187" s="31">
        <f t="shared" si="74"/>
        <v>0</v>
      </c>
      <c r="AT187" s="31">
        <f t="shared" si="91"/>
        <v>0</v>
      </c>
      <c r="AU187" s="31">
        <f t="shared" si="75"/>
        <v>0</v>
      </c>
      <c r="AV187" s="31">
        <f t="shared" si="76"/>
        <v>0</v>
      </c>
      <c r="AW187" s="31">
        <f t="shared" si="77"/>
        <v>0</v>
      </c>
      <c r="AX187" s="31">
        <f t="shared" si="78"/>
        <v>0</v>
      </c>
      <c r="AY187" s="31">
        <f t="shared" si="79"/>
        <v>0</v>
      </c>
      <c r="AZ187" s="31">
        <f t="shared" si="80"/>
        <v>0</v>
      </c>
      <c r="BA187" s="31">
        <f t="shared" si="81"/>
        <v>0</v>
      </c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41"/>
      <c r="BM187" s="41"/>
      <c r="BN187" s="41"/>
      <c r="BO187" s="37"/>
      <c r="BP187" s="38"/>
      <c r="BQ187" s="37"/>
      <c r="BR187" s="40"/>
      <c r="BS187" s="39"/>
      <c r="BT187" s="39"/>
      <c r="BU187" s="39"/>
      <c r="BV187" s="39"/>
      <c r="BW187" s="39"/>
      <c r="BX187" s="36"/>
      <c r="BY187" s="33"/>
      <c r="BZ187" s="33"/>
      <c r="CA187" s="33"/>
      <c r="CB187" s="34"/>
      <c r="CC187" s="33"/>
      <c r="CD187" s="35"/>
      <c r="CE187" s="48"/>
      <c r="CF187" s="48"/>
      <c r="CG187" s="48"/>
      <c r="CH187" s="48"/>
      <c r="CI187" s="48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35"/>
      <c r="CW187" s="35"/>
      <c r="CX187" s="35"/>
      <c r="CY187" s="35"/>
      <c r="CZ187" s="35"/>
      <c r="DA187" s="35"/>
      <c r="DB187" s="35"/>
      <c r="DC187" s="35"/>
      <c r="DD187" s="40"/>
      <c r="DE187" s="40"/>
      <c r="DF187" s="40"/>
      <c r="DG187" s="40"/>
      <c r="DH187" s="40"/>
      <c r="DI187" s="40"/>
      <c r="DJ187" s="40"/>
      <c r="DK187" s="40"/>
      <c r="DL187" s="35"/>
      <c r="DM187" s="35"/>
      <c r="DN187" s="35"/>
      <c r="DO187" s="35"/>
      <c r="DP187" s="35"/>
      <c r="DQ187" s="35"/>
      <c r="DR187" s="35"/>
      <c r="DS187" s="35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40"/>
      <c r="ES187" s="40"/>
      <c r="ET187" s="40"/>
      <c r="EU187" s="40"/>
      <c r="EV187" s="40"/>
      <c r="EW187" s="40"/>
      <c r="EX187" s="40"/>
      <c r="EY187" s="40"/>
      <c r="EZ187" s="35"/>
      <c r="FA187" s="35"/>
      <c r="FB187" s="35"/>
      <c r="FC187" s="35"/>
      <c r="FD187" s="35"/>
      <c r="FE187" s="35"/>
      <c r="FF187" s="35"/>
      <c r="FG187" s="35"/>
    </row>
    <row r="188" spans="1:163">
      <c r="A188" s="60">
        <v>85</v>
      </c>
      <c r="E188" s="63" t="s">
        <v>113</v>
      </c>
      <c r="F188" s="56" t="s">
        <v>115</v>
      </c>
      <c r="G188" s="65" t="s">
        <v>466</v>
      </c>
      <c r="H188" s="66" t="str">
        <f t="shared" si="67"/>
        <v xml:space="preserve"> 442</v>
      </c>
      <c r="I188" s="67" t="s">
        <v>466</v>
      </c>
      <c r="J188" s="68">
        <f t="shared" si="68"/>
        <v>0</v>
      </c>
      <c r="K188" s="63" t="s">
        <v>263</v>
      </c>
      <c r="L188" s="1" t="s">
        <v>46</v>
      </c>
      <c r="O188" s="64" t="s">
        <v>789</v>
      </c>
      <c r="P188" s="82">
        <v>0</v>
      </c>
      <c r="Q188" s="74">
        <f t="shared" si="88"/>
        <v>70500</v>
      </c>
      <c r="R188" s="71">
        <v>70500</v>
      </c>
      <c r="S188" s="72">
        <f t="shared" si="84"/>
        <v>8150</v>
      </c>
      <c r="T188" s="68" t="s">
        <v>791</v>
      </c>
      <c r="U188" s="73">
        <f t="shared" si="85"/>
        <v>62350</v>
      </c>
      <c r="V188" s="73">
        <f>2000+5100+600+200+250</f>
        <v>8150</v>
      </c>
      <c r="W188" s="2">
        <f t="shared" si="69"/>
        <v>70500</v>
      </c>
      <c r="Y188" s="80">
        <f t="shared" si="70"/>
        <v>70500</v>
      </c>
      <c r="Z188" s="93"/>
      <c r="AA188" s="93"/>
      <c r="AB188" s="94"/>
      <c r="AE188" s="2">
        <v>103000</v>
      </c>
      <c r="AF188" s="28">
        <f t="shared" si="65"/>
        <v>103000</v>
      </c>
      <c r="AG188" s="55" t="s">
        <v>125</v>
      </c>
      <c r="AI188" s="20" t="s">
        <v>45</v>
      </c>
      <c r="AJ188" s="2">
        <f t="shared" si="71"/>
        <v>32500</v>
      </c>
      <c r="AN188" s="29">
        <f t="shared" si="72"/>
        <v>0.3155339805825243</v>
      </c>
      <c r="AP188" s="3" t="s">
        <v>29</v>
      </c>
      <c r="AQ188" s="1" t="s">
        <v>153</v>
      </c>
      <c r="AR188" s="31">
        <f t="shared" si="73"/>
        <v>0</v>
      </c>
      <c r="AS188" s="31">
        <f t="shared" si="74"/>
        <v>0</v>
      </c>
      <c r="AT188" s="31">
        <f t="shared" si="91"/>
        <v>0</v>
      </c>
      <c r="AU188" s="31">
        <f t="shared" si="75"/>
        <v>0</v>
      </c>
      <c r="AV188" s="31">
        <f t="shared" si="76"/>
        <v>0</v>
      </c>
      <c r="AW188" s="31">
        <f t="shared" si="77"/>
        <v>0</v>
      </c>
      <c r="AX188" s="31">
        <f t="shared" si="78"/>
        <v>0</v>
      </c>
      <c r="AY188" s="31">
        <f t="shared" si="79"/>
        <v>0</v>
      </c>
      <c r="AZ188" s="31">
        <f t="shared" si="80"/>
        <v>0</v>
      </c>
      <c r="BA188" s="31">
        <f t="shared" si="81"/>
        <v>0</v>
      </c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41"/>
      <c r="BM188" s="41"/>
      <c r="BN188" s="41"/>
      <c r="BO188" s="37"/>
      <c r="BP188" s="38"/>
      <c r="BQ188" s="37"/>
      <c r="BR188" s="40"/>
      <c r="BS188" s="39"/>
      <c r="BT188" s="39"/>
      <c r="BU188" s="39"/>
      <c r="BV188" s="39"/>
      <c r="BW188" s="39"/>
      <c r="BX188" s="36"/>
      <c r="BY188" s="33"/>
      <c r="BZ188" s="33"/>
      <c r="CA188" s="33"/>
      <c r="CB188" s="34"/>
      <c r="CC188" s="33"/>
      <c r="CD188" s="35"/>
      <c r="CE188" s="48"/>
      <c r="CF188" s="48"/>
      <c r="CG188" s="48"/>
      <c r="CH188" s="48"/>
      <c r="CI188" s="48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35"/>
      <c r="CW188" s="35"/>
      <c r="CX188" s="35"/>
      <c r="CY188" s="35"/>
      <c r="CZ188" s="35"/>
      <c r="DA188" s="35"/>
      <c r="DB188" s="35"/>
      <c r="DC188" s="35"/>
      <c r="DD188" s="40"/>
      <c r="DE188" s="40"/>
      <c r="DF188" s="40"/>
      <c r="DG188" s="40"/>
      <c r="DH188" s="40"/>
      <c r="DI188" s="40"/>
      <c r="DJ188" s="40"/>
      <c r="DK188" s="40"/>
      <c r="DL188" s="35"/>
      <c r="DM188" s="35"/>
      <c r="DN188" s="35"/>
      <c r="DO188" s="35"/>
      <c r="DP188" s="35"/>
      <c r="DQ188" s="35"/>
      <c r="DR188" s="35"/>
      <c r="DS188" s="35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40"/>
      <c r="ES188" s="40"/>
      <c r="ET188" s="40"/>
      <c r="EU188" s="40"/>
      <c r="EV188" s="40"/>
      <c r="EW188" s="40"/>
      <c r="EX188" s="40"/>
      <c r="EY188" s="40"/>
      <c r="EZ188" s="35"/>
      <c r="FA188" s="35"/>
      <c r="FB188" s="35"/>
      <c r="FC188" s="35"/>
      <c r="FD188" s="35"/>
      <c r="FE188" s="35"/>
      <c r="FF188" s="35"/>
      <c r="FG188" s="35"/>
    </row>
    <row r="189" spans="1:163">
      <c r="A189" s="60">
        <v>87</v>
      </c>
      <c r="E189" s="63" t="s">
        <v>113</v>
      </c>
      <c r="F189" s="56" t="s">
        <v>115</v>
      </c>
      <c r="G189" s="65" t="s">
        <v>468</v>
      </c>
      <c r="H189" s="66" t="str">
        <f t="shared" si="67"/>
        <v xml:space="preserve"> 612</v>
      </c>
      <c r="I189" s="67" t="s">
        <v>468</v>
      </c>
      <c r="J189" s="68">
        <f t="shared" si="68"/>
        <v>0</v>
      </c>
      <c r="K189" s="63" t="s">
        <v>263</v>
      </c>
      <c r="L189" s="1" t="s">
        <v>46</v>
      </c>
      <c r="O189" s="64" t="s">
        <v>789</v>
      </c>
      <c r="P189" s="82">
        <v>0</v>
      </c>
      <c r="Q189" s="74">
        <f t="shared" si="88"/>
        <v>71500</v>
      </c>
      <c r="R189" s="71">
        <v>71500</v>
      </c>
      <c r="S189" s="72">
        <f t="shared" si="84"/>
        <v>8150</v>
      </c>
      <c r="T189" s="68" t="s">
        <v>791</v>
      </c>
      <c r="U189" s="73">
        <f t="shared" si="85"/>
        <v>63350</v>
      </c>
      <c r="V189" s="73">
        <f>2000+5100+600+200+250</f>
        <v>8150</v>
      </c>
      <c r="W189" s="2">
        <f t="shared" si="69"/>
        <v>71500</v>
      </c>
      <c r="Y189" s="80">
        <f t="shared" si="70"/>
        <v>71500</v>
      </c>
      <c r="Z189" s="93"/>
      <c r="AA189" s="93"/>
      <c r="AB189" s="94"/>
      <c r="AE189" s="2">
        <v>125000</v>
      </c>
      <c r="AF189" s="28">
        <f t="shared" si="65"/>
        <v>125000</v>
      </c>
      <c r="AG189" s="55" t="s">
        <v>125</v>
      </c>
      <c r="AI189" s="20" t="s">
        <v>45</v>
      </c>
      <c r="AJ189" s="2">
        <f t="shared" si="71"/>
        <v>53500</v>
      </c>
      <c r="AN189" s="29">
        <f t="shared" si="72"/>
        <v>0.42799999999999999</v>
      </c>
      <c r="AP189" s="3" t="s">
        <v>29</v>
      </c>
      <c r="AQ189" s="1" t="s">
        <v>153</v>
      </c>
      <c r="AR189" s="31">
        <f t="shared" si="73"/>
        <v>0</v>
      </c>
      <c r="AS189" s="31">
        <f t="shared" si="74"/>
        <v>0</v>
      </c>
      <c r="AT189" s="31">
        <f t="shared" si="91"/>
        <v>0</v>
      </c>
      <c r="AU189" s="31">
        <f t="shared" si="75"/>
        <v>0</v>
      </c>
      <c r="AV189" s="31">
        <f t="shared" si="76"/>
        <v>0</v>
      </c>
      <c r="AW189" s="31">
        <f t="shared" si="77"/>
        <v>0</v>
      </c>
      <c r="AX189" s="31">
        <f t="shared" si="78"/>
        <v>0</v>
      </c>
      <c r="AY189" s="31">
        <f t="shared" si="79"/>
        <v>0</v>
      </c>
      <c r="AZ189" s="31">
        <f t="shared" si="80"/>
        <v>0</v>
      </c>
      <c r="BA189" s="31">
        <f t="shared" si="81"/>
        <v>0</v>
      </c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41"/>
      <c r="BM189" s="41"/>
      <c r="BN189" s="41"/>
      <c r="BO189" s="37"/>
      <c r="BP189" s="38"/>
      <c r="BQ189" s="37"/>
      <c r="BR189" s="40"/>
      <c r="BS189" s="39"/>
      <c r="BT189" s="39"/>
      <c r="BU189" s="39"/>
      <c r="BV189" s="39"/>
      <c r="BW189" s="39"/>
      <c r="BX189" s="36"/>
      <c r="BY189" s="33"/>
      <c r="BZ189" s="33"/>
      <c r="CA189" s="33"/>
      <c r="CB189" s="34"/>
      <c r="CC189" s="33"/>
      <c r="CD189" s="35"/>
      <c r="CE189" s="48"/>
      <c r="CF189" s="48"/>
      <c r="CG189" s="48"/>
      <c r="CH189" s="48"/>
      <c r="CI189" s="48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35"/>
      <c r="CW189" s="35"/>
      <c r="CX189" s="35"/>
      <c r="CY189" s="35"/>
      <c r="CZ189" s="35"/>
      <c r="DA189" s="35"/>
      <c r="DB189" s="35"/>
      <c r="DC189" s="35"/>
      <c r="DD189" s="40"/>
      <c r="DE189" s="40"/>
      <c r="DF189" s="40"/>
      <c r="DG189" s="40"/>
      <c r="DH189" s="40"/>
      <c r="DI189" s="40"/>
      <c r="DJ189" s="40"/>
      <c r="DK189" s="40"/>
      <c r="DL189" s="35"/>
      <c r="DM189" s="35"/>
      <c r="DN189" s="35"/>
      <c r="DO189" s="35"/>
      <c r="DP189" s="35"/>
      <c r="DQ189" s="35"/>
      <c r="DR189" s="35"/>
      <c r="DS189" s="35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40"/>
      <c r="ES189" s="40"/>
      <c r="ET189" s="40"/>
      <c r="EU189" s="40"/>
      <c r="EV189" s="40"/>
      <c r="EW189" s="40"/>
      <c r="EX189" s="40"/>
      <c r="EY189" s="40"/>
      <c r="EZ189" s="35"/>
      <c r="FA189" s="35"/>
      <c r="FB189" s="35"/>
      <c r="FC189" s="35"/>
      <c r="FD189" s="35"/>
      <c r="FE189" s="35"/>
      <c r="FF189" s="35"/>
      <c r="FG189" s="35"/>
    </row>
    <row r="190" spans="1:163">
      <c r="A190" s="62">
        <v>360</v>
      </c>
      <c r="E190" s="63" t="s">
        <v>229</v>
      </c>
      <c r="F190" s="56" t="s">
        <v>85</v>
      </c>
      <c r="G190" s="65" t="s">
        <v>729</v>
      </c>
      <c r="H190" s="66" t="str">
        <f t="shared" si="67"/>
        <v xml:space="preserve"> 828</v>
      </c>
      <c r="I190" s="67" t="s">
        <v>729</v>
      </c>
      <c r="J190" s="68">
        <f t="shared" si="68"/>
        <v>0</v>
      </c>
      <c r="K190" s="63" t="s">
        <v>263</v>
      </c>
      <c r="L190" s="1" t="s">
        <v>46</v>
      </c>
      <c r="O190" s="64" t="s">
        <v>789</v>
      </c>
      <c r="P190" s="82">
        <v>0</v>
      </c>
      <c r="Q190" s="74">
        <f t="shared" si="88"/>
        <v>69000</v>
      </c>
      <c r="R190" s="71">
        <v>69000</v>
      </c>
      <c r="S190" s="72">
        <f t="shared" si="84"/>
        <v>8900</v>
      </c>
      <c r="T190" s="68" t="s">
        <v>791</v>
      </c>
      <c r="U190" s="73">
        <f t="shared" si="85"/>
        <v>60100</v>
      </c>
      <c r="V190" s="73">
        <f>2000+4850+600+200+250+1000</f>
        <v>8900</v>
      </c>
      <c r="W190" s="2">
        <f t="shared" si="69"/>
        <v>69000</v>
      </c>
      <c r="Y190" s="80">
        <f t="shared" si="70"/>
        <v>69000</v>
      </c>
      <c r="Z190" s="93"/>
      <c r="AA190" s="93"/>
      <c r="AB190" s="94"/>
      <c r="AE190" s="2">
        <v>99000</v>
      </c>
      <c r="AF190" s="28">
        <f t="shared" si="65"/>
        <v>99000</v>
      </c>
      <c r="AG190" s="55" t="s">
        <v>125</v>
      </c>
      <c r="AI190" s="20" t="s">
        <v>45</v>
      </c>
      <c r="AJ190" s="2">
        <f t="shared" si="71"/>
        <v>30000</v>
      </c>
      <c r="AN190" s="29">
        <f t="shared" si="72"/>
        <v>0.30303030303030304</v>
      </c>
      <c r="AP190" s="3" t="s">
        <v>29</v>
      </c>
      <c r="AQ190" s="1" t="s">
        <v>203</v>
      </c>
      <c r="AR190" s="31">
        <f t="shared" si="73"/>
        <v>0</v>
      </c>
      <c r="AS190" s="31">
        <f t="shared" si="74"/>
        <v>0</v>
      </c>
      <c r="AT190" s="31">
        <f t="shared" si="91"/>
        <v>0</v>
      </c>
      <c r="AU190" s="31">
        <f t="shared" si="75"/>
        <v>0</v>
      </c>
      <c r="AV190" s="31">
        <f t="shared" si="76"/>
        <v>0</v>
      </c>
      <c r="AW190" s="31">
        <f t="shared" si="77"/>
        <v>0</v>
      </c>
      <c r="AX190" s="31">
        <f t="shared" si="78"/>
        <v>0</v>
      </c>
      <c r="AY190" s="31">
        <f t="shared" si="79"/>
        <v>0</v>
      </c>
      <c r="AZ190" s="31">
        <f t="shared" si="80"/>
        <v>0</v>
      </c>
      <c r="BA190" s="31">
        <f t="shared" si="81"/>
        <v>0</v>
      </c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35"/>
      <c r="CW190" s="35"/>
      <c r="CX190" s="35"/>
      <c r="CY190" s="35"/>
      <c r="CZ190" s="35"/>
      <c r="DA190" s="35"/>
      <c r="DB190" s="35"/>
      <c r="DC190" s="35"/>
      <c r="DD190" s="40"/>
      <c r="DE190" s="40"/>
      <c r="DF190" s="40"/>
      <c r="DG190" s="40"/>
      <c r="DH190" s="40"/>
      <c r="DI190" s="40"/>
      <c r="DJ190" s="40"/>
      <c r="DK190" s="40"/>
      <c r="DL190" s="35"/>
      <c r="DM190" s="35"/>
      <c r="DN190" s="35"/>
      <c r="DO190" s="35"/>
      <c r="DP190" s="35"/>
      <c r="DQ190" s="35"/>
      <c r="DR190" s="35"/>
      <c r="DS190" s="35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40"/>
      <c r="ES190" s="40"/>
      <c r="ET190" s="40"/>
      <c r="EU190" s="40"/>
      <c r="EV190" s="40"/>
      <c r="EW190" s="40"/>
      <c r="EX190" s="40"/>
      <c r="EY190" s="40"/>
    </row>
    <row r="191" spans="1:163">
      <c r="A191" s="62">
        <v>399</v>
      </c>
      <c r="E191" s="63" t="s">
        <v>234</v>
      </c>
      <c r="F191" s="56" t="s">
        <v>87</v>
      </c>
      <c r="G191" s="65" t="s">
        <v>767</v>
      </c>
      <c r="H191" s="66" t="str">
        <f t="shared" si="67"/>
        <v xml:space="preserve"> 146</v>
      </c>
      <c r="I191" s="67" t="s">
        <v>767</v>
      </c>
      <c r="J191" s="68">
        <f t="shared" si="68"/>
        <v>0</v>
      </c>
      <c r="K191" s="63" t="s">
        <v>263</v>
      </c>
      <c r="L191" s="1" t="s">
        <v>46</v>
      </c>
      <c r="O191" s="64" t="s">
        <v>789</v>
      </c>
      <c r="P191" s="82">
        <v>0</v>
      </c>
      <c r="Q191" s="74">
        <f t="shared" si="88"/>
        <v>68000</v>
      </c>
      <c r="R191" s="71">
        <v>68000</v>
      </c>
      <c r="S191" s="72">
        <f t="shared" si="84"/>
        <v>7900</v>
      </c>
      <c r="T191" s="68" t="s">
        <v>791</v>
      </c>
      <c r="U191" s="73">
        <f t="shared" si="85"/>
        <v>60100</v>
      </c>
      <c r="V191" s="73">
        <f>2000+4850+600+200+250</f>
        <v>7900</v>
      </c>
      <c r="W191" s="2">
        <f t="shared" si="69"/>
        <v>68000</v>
      </c>
      <c r="Y191" s="80">
        <f t="shared" si="70"/>
        <v>68000</v>
      </c>
      <c r="Z191" s="93"/>
      <c r="AA191" s="93"/>
      <c r="AB191" s="94"/>
      <c r="AC191" s="2">
        <v>3500</v>
      </c>
      <c r="AD191" s="2">
        <f>Z191+AC191</f>
        <v>3500</v>
      </c>
      <c r="AF191" s="28">
        <f t="shared" si="65"/>
        <v>0</v>
      </c>
      <c r="AG191" s="55" t="s">
        <v>125</v>
      </c>
      <c r="AH191" s="2"/>
      <c r="AI191" s="20" t="s">
        <v>206</v>
      </c>
      <c r="AJ191" s="2">
        <f t="shared" si="71"/>
        <v>-68000</v>
      </c>
      <c r="AN191" s="29" t="e">
        <f t="shared" si="72"/>
        <v>#DIV/0!</v>
      </c>
      <c r="AO191" s="29" t="e">
        <f>AN191-AB191</f>
        <v>#DIV/0!</v>
      </c>
      <c r="AP191" s="3" t="s">
        <v>140</v>
      </c>
      <c r="AQ191" s="1" t="s">
        <v>199</v>
      </c>
      <c r="AR191" s="31">
        <f t="shared" si="73"/>
        <v>0</v>
      </c>
      <c r="AS191" s="31">
        <f t="shared" si="74"/>
        <v>0</v>
      </c>
      <c r="AT191" s="31">
        <f t="shared" si="91"/>
        <v>0</v>
      </c>
      <c r="AU191" s="31">
        <f t="shared" si="75"/>
        <v>0</v>
      </c>
      <c r="AV191" s="31">
        <f t="shared" si="76"/>
        <v>0</v>
      </c>
      <c r="AW191" s="31">
        <f t="shared" si="77"/>
        <v>0</v>
      </c>
      <c r="AX191" s="31">
        <f t="shared" si="78"/>
        <v>0</v>
      </c>
      <c r="AY191" s="31">
        <f t="shared" si="79"/>
        <v>0</v>
      </c>
      <c r="AZ191" s="31">
        <f t="shared" si="80"/>
        <v>0</v>
      </c>
      <c r="BA191" s="31">
        <f t="shared" si="81"/>
        <v>0</v>
      </c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35"/>
      <c r="CW191" s="35"/>
      <c r="CX191" s="35"/>
      <c r="CY191" s="35"/>
      <c r="CZ191" s="35"/>
      <c r="DA191" s="35"/>
      <c r="DB191" s="35"/>
      <c r="DC191" s="35"/>
      <c r="DD191" s="40"/>
      <c r="DE191" s="40"/>
      <c r="DF191" s="40"/>
      <c r="DG191" s="40"/>
      <c r="DH191" s="40"/>
      <c r="DI191" s="40"/>
      <c r="DJ191" s="40"/>
      <c r="DK191" s="40"/>
      <c r="DL191" s="35"/>
      <c r="DM191" s="35"/>
      <c r="DN191" s="35"/>
      <c r="DO191" s="35"/>
      <c r="DP191" s="35"/>
      <c r="DQ191" s="35"/>
      <c r="DR191" s="35"/>
      <c r="DS191" s="35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40"/>
      <c r="ES191" s="40"/>
      <c r="ET191" s="40"/>
      <c r="EU191" s="40"/>
      <c r="EV191" s="40"/>
      <c r="EW191" s="40"/>
      <c r="EX191" s="40"/>
      <c r="EY191" s="40"/>
      <c r="EZ191" s="35"/>
      <c r="FA191" s="35"/>
      <c r="FB191" s="35"/>
      <c r="FC191" s="35"/>
      <c r="FD191" s="35"/>
      <c r="FE191" s="35"/>
      <c r="FF191" s="35"/>
      <c r="FG191" s="35"/>
    </row>
    <row r="192" spans="1:163">
      <c r="A192" s="60">
        <v>45</v>
      </c>
      <c r="E192" s="63" t="s">
        <v>113</v>
      </c>
      <c r="F192" s="56" t="s">
        <v>113</v>
      </c>
      <c r="G192" s="65" t="s">
        <v>425</v>
      </c>
      <c r="H192" s="66" t="str">
        <f t="shared" si="67"/>
        <v xml:space="preserve"> 019</v>
      </c>
      <c r="I192" s="67" t="s">
        <v>425</v>
      </c>
      <c r="J192" s="68">
        <f t="shared" si="68"/>
        <v>0</v>
      </c>
      <c r="K192" s="63" t="s">
        <v>263</v>
      </c>
      <c r="L192" s="1" t="s">
        <v>46</v>
      </c>
      <c r="O192" s="88" t="s">
        <v>790</v>
      </c>
      <c r="P192" s="89">
        <v>0</v>
      </c>
      <c r="Q192" s="90">
        <f t="shared" si="88"/>
        <v>71500</v>
      </c>
      <c r="R192" s="71">
        <v>71500</v>
      </c>
      <c r="S192" s="72">
        <f t="shared" si="84"/>
        <v>8150</v>
      </c>
      <c r="T192" s="68" t="s">
        <v>791</v>
      </c>
      <c r="U192" s="73">
        <f t="shared" si="85"/>
        <v>63350</v>
      </c>
      <c r="V192" s="73">
        <f>2000+5100+600+200+250</f>
        <v>8150</v>
      </c>
      <c r="W192" s="2">
        <f t="shared" si="69"/>
        <v>71500</v>
      </c>
      <c r="Y192" s="81">
        <f t="shared" si="70"/>
        <v>71500</v>
      </c>
      <c r="Z192" s="96">
        <v>0</v>
      </c>
      <c r="AA192" s="97">
        <f>U192-Z192</f>
        <v>63350</v>
      </c>
      <c r="AB192" s="98" t="e">
        <f>AA192/Z192</f>
        <v>#DIV/0!</v>
      </c>
      <c r="AE192" s="2">
        <v>103000</v>
      </c>
      <c r="AF192" s="28">
        <f t="shared" ref="AF192:AF255" si="92">IF(O192="Baru",AE192,AD192)</f>
        <v>0</v>
      </c>
      <c r="AG192" s="55" t="s">
        <v>125</v>
      </c>
      <c r="AI192" s="20" t="s">
        <v>45</v>
      </c>
      <c r="AJ192" s="2">
        <f t="shared" si="71"/>
        <v>-71500</v>
      </c>
      <c r="AN192" s="29" t="e">
        <f t="shared" si="72"/>
        <v>#DIV/0!</v>
      </c>
      <c r="AP192" s="3" t="s">
        <v>29</v>
      </c>
      <c r="AQ192" s="1" t="s">
        <v>148</v>
      </c>
      <c r="AR192" s="31">
        <f t="shared" si="73"/>
        <v>0</v>
      </c>
      <c r="AS192" s="31">
        <f t="shared" si="74"/>
        <v>0</v>
      </c>
      <c r="AT192" s="31">
        <f t="shared" si="91"/>
        <v>0</v>
      </c>
      <c r="AU192" s="31">
        <f t="shared" si="75"/>
        <v>0</v>
      </c>
      <c r="AV192" s="31">
        <f t="shared" si="76"/>
        <v>0</v>
      </c>
      <c r="AW192" s="31">
        <f t="shared" si="77"/>
        <v>0</v>
      </c>
      <c r="AX192" s="31">
        <f t="shared" si="78"/>
        <v>0</v>
      </c>
      <c r="AY192" s="31">
        <f t="shared" si="79"/>
        <v>0</v>
      </c>
      <c r="AZ192" s="31">
        <f t="shared" si="80"/>
        <v>0</v>
      </c>
      <c r="BA192" s="31">
        <f t="shared" si="81"/>
        <v>0</v>
      </c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41"/>
      <c r="BM192" s="41"/>
      <c r="BN192" s="41"/>
      <c r="BO192" s="37"/>
      <c r="BP192" s="38"/>
      <c r="BQ192" s="37"/>
      <c r="BR192" s="40"/>
      <c r="BS192" s="39"/>
      <c r="BT192" s="39"/>
      <c r="BU192" s="39"/>
      <c r="BV192" s="39"/>
      <c r="BW192" s="39"/>
      <c r="BX192" s="36"/>
      <c r="BY192" s="33"/>
      <c r="BZ192" s="33"/>
      <c r="CA192" s="33"/>
      <c r="CB192" s="34"/>
      <c r="CC192" s="33"/>
      <c r="CD192" s="35"/>
      <c r="CE192" s="48"/>
      <c r="CF192" s="48"/>
      <c r="CG192" s="48"/>
      <c r="CH192" s="48"/>
      <c r="CI192" s="48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35"/>
      <c r="CW192" s="35"/>
      <c r="CX192" s="35"/>
      <c r="CY192" s="35"/>
      <c r="CZ192" s="35"/>
      <c r="DA192" s="35"/>
      <c r="DB192" s="35"/>
      <c r="DC192" s="35"/>
      <c r="DD192" s="40"/>
      <c r="DE192" s="40"/>
      <c r="DF192" s="40"/>
      <c r="DG192" s="40"/>
      <c r="DH192" s="40"/>
      <c r="DI192" s="40"/>
      <c r="DJ192" s="40"/>
      <c r="DK192" s="40"/>
      <c r="DL192" s="35"/>
      <c r="DM192" s="35"/>
      <c r="DN192" s="35"/>
      <c r="DO192" s="35"/>
      <c r="DP192" s="35"/>
      <c r="DQ192" s="35"/>
      <c r="DR192" s="35"/>
      <c r="DS192" s="35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40"/>
      <c r="ES192" s="40"/>
      <c r="ET192" s="40"/>
      <c r="EU192" s="40"/>
      <c r="EV192" s="40"/>
      <c r="EW192" s="40"/>
      <c r="EX192" s="40"/>
      <c r="EY192" s="40"/>
      <c r="EZ192" s="35"/>
      <c r="FA192" s="35"/>
      <c r="FB192" s="35"/>
      <c r="FC192" s="35"/>
      <c r="FD192" s="35"/>
      <c r="FE192" s="35"/>
      <c r="FF192" s="35"/>
      <c r="FG192" s="35"/>
    </row>
    <row r="193" spans="1:163">
      <c r="A193" s="60">
        <v>77</v>
      </c>
      <c r="E193" s="63" t="s">
        <v>113</v>
      </c>
      <c r="F193" s="56" t="s">
        <v>56</v>
      </c>
      <c r="G193" s="65" t="s">
        <v>458</v>
      </c>
      <c r="H193" s="66" t="str">
        <f t="shared" si="67"/>
        <v xml:space="preserve"> 132</v>
      </c>
      <c r="I193" s="67" t="s">
        <v>458</v>
      </c>
      <c r="J193" s="68">
        <f t="shared" si="68"/>
        <v>0</v>
      </c>
      <c r="K193" s="63" t="s">
        <v>263</v>
      </c>
      <c r="L193" s="1" t="s">
        <v>46</v>
      </c>
      <c r="O193" s="88" t="s">
        <v>790</v>
      </c>
      <c r="P193" s="89">
        <v>0</v>
      </c>
      <c r="Q193" s="90">
        <f t="shared" si="88"/>
        <v>71500</v>
      </c>
      <c r="R193" s="71">
        <v>71500</v>
      </c>
      <c r="S193" s="72">
        <f t="shared" si="84"/>
        <v>8150</v>
      </c>
      <c r="T193" s="68" t="s">
        <v>791</v>
      </c>
      <c r="U193" s="73">
        <f t="shared" si="85"/>
        <v>63350</v>
      </c>
      <c r="V193" s="73">
        <f>2000+5100+600+200+250</f>
        <v>8150</v>
      </c>
      <c r="W193" s="2">
        <f t="shared" si="69"/>
        <v>71500</v>
      </c>
      <c r="Y193" s="81">
        <f t="shared" si="70"/>
        <v>71500</v>
      </c>
      <c r="Z193" s="96">
        <v>0</v>
      </c>
      <c r="AA193" s="97">
        <f>U193-Z193</f>
        <v>63350</v>
      </c>
      <c r="AB193" s="98" t="e">
        <f>AA193/Z193</f>
        <v>#DIV/0!</v>
      </c>
      <c r="AE193" s="2">
        <v>89000</v>
      </c>
      <c r="AF193" s="28">
        <f t="shared" si="92"/>
        <v>0</v>
      </c>
      <c r="AG193" s="55" t="s">
        <v>125</v>
      </c>
      <c r="AI193" s="20" t="s">
        <v>204</v>
      </c>
      <c r="AJ193" s="2">
        <f t="shared" si="71"/>
        <v>-71500</v>
      </c>
      <c r="AN193" s="29" t="e">
        <f t="shared" si="72"/>
        <v>#DIV/0!</v>
      </c>
      <c r="AP193" s="3" t="s">
        <v>29</v>
      </c>
      <c r="AQ193" s="1" t="s">
        <v>145</v>
      </c>
      <c r="AR193" s="31">
        <f t="shared" si="73"/>
        <v>0</v>
      </c>
      <c r="AS193" s="31">
        <f t="shared" si="74"/>
        <v>0</v>
      </c>
      <c r="AT193" s="31">
        <f t="shared" si="91"/>
        <v>0</v>
      </c>
      <c r="AU193" s="31">
        <f t="shared" si="75"/>
        <v>0</v>
      </c>
      <c r="AV193" s="31">
        <f t="shared" si="76"/>
        <v>0</v>
      </c>
      <c r="AW193" s="31">
        <f t="shared" si="77"/>
        <v>0</v>
      </c>
      <c r="AX193" s="31">
        <f t="shared" si="78"/>
        <v>0</v>
      </c>
      <c r="AY193" s="31">
        <f t="shared" si="79"/>
        <v>0</v>
      </c>
      <c r="AZ193" s="31">
        <f t="shared" si="80"/>
        <v>0</v>
      </c>
      <c r="BA193" s="31">
        <f t="shared" si="81"/>
        <v>0</v>
      </c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41"/>
      <c r="BM193" s="41"/>
      <c r="BN193" s="41"/>
      <c r="BO193" s="37"/>
      <c r="BP193" s="38"/>
      <c r="BQ193" s="37"/>
      <c r="BR193" s="40"/>
      <c r="BS193" s="39"/>
      <c r="BT193" s="39"/>
      <c r="BU193" s="39"/>
      <c r="BV193" s="39"/>
      <c r="BW193" s="39"/>
      <c r="BX193" s="36"/>
      <c r="BY193" s="33"/>
      <c r="BZ193" s="33"/>
      <c r="CA193" s="33"/>
      <c r="CB193" s="34"/>
      <c r="CC193" s="33"/>
      <c r="CD193" s="35"/>
      <c r="CE193" s="48"/>
      <c r="CF193" s="48"/>
      <c r="CG193" s="48"/>
      <c r="CH193" s="48"/>
      <c r="CI193" s="48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35"/>
      <c r="CW193" s="35"/>
      <c r="CX193" s="35"/>
      <c r="CY193" s="35"/>
      <c r="CZ193" s="35"/>
      <c r="DA193" s="35"/>
      <c r="DB193" s="35"/>
      <c r="DC193" s="35"/>
      <c r="DD193" s="40"/>
      <c r="DE193" s="40"/>
      <c r="DF193" s="40"/>
      <c r="DG193" s="40"/>
      <c r="DH193" s="40"/>
      <c r="DI193" s="40"/>
      <c r="DJ193" s="40"/>
      <c r="DK193" s="40"/>
      <c r="DL193" s="35"/>
      <c r="DM193" s="35"/>
      <c r="DN193" s="35"/>
      <c r="DO193" s="35"/>
      <c r="DP193" s="35"/>
      <c r="DQ193" s="35"/>
      <c r="DR193" s="35"/>
      <c r="DS193" s="35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40"/>
      <c r="ES193" s="40"/>
      <c r="ET193" s="40"/>
      <c r="EU193" s="40"/>
      <c r="EV193" s="40"/>
      <c r="EW193" s="40"/>
      <c r="EX193" s="40"/>
      <c r="EY193" s="40"/>
      <c r="EZ193" s="35"/>
      <c r="FA193" s="35"/>
      <c r="FB193" s="35"/>
      <c r="FC193" s="35"/>
      <c r="FD193" s="35"/>
      <c r="FE193" s="35"/>
      <c r="FF193" s="35"/>
      <c r="FG193" s="35"/>
    </row>
    <row r="194" spans="1:163">
      <c r="A194" s="60">
        <v>116</v>
      </c>
      <c r="E194" s="63" t="s">
        <v>58</v>
      </c>
      <c r="F194" s="56" t="s">
        <v>59</v>
      </c>
      <c r="G194" s="70" t="s">
        <v>495</v>
      </c>
      <c r="H194" s="66" t="str">
        <f t="shared" si="67"/>
        <v xml:space="preserve"> 492</v>
      </c>
      <c r="I194" s="67" t="s">
        <v>495</v>
      </c>
      <c r="J194" s="68">
        <f t="shared" si="68"/>
        <v>0</v>
      </c>
      <c r="K194" s="63" t="s">
        <v>279</v>
      </c>
      <c r="L194" s="1" t="s">
        <v>46</v>
      </c>
      <c r="O194" s="64" t="s">
        <v>789</v>
      </c>
      <c r="P194" s="82">
        <v>0</v>
      </c>
      <c r="Q194" s="74">
        <f t="shared" si="88"/>
        <v>70000</v>
      </c>
      <c r="R194" s="77">
        <v>70000</v>
      </c>
      <c r="S194" s="72">
        <f t="shared" si="84"/>
        <v>8150</v>
      </c>
      <c r="T194" s="68" t="s">
        <v>791</v>
      </c>
      <c r="U194" s="73">
        <f t="shared" si="85"/>
        <v>61850</v>
      </c>
      <c r="V194" s="73">
        <f>2000+5100+600+200+250</f>
        <v>8150</v>
      </c>
      <c r="W194" s="2">
        <f t="shared" si="69"/>
        <v>70000</v>
      </c>
      <c r="Y194" s="80">
        <f t="shared" si="70"/>
        <v>70000</v>
      </c>
      <c r="Z194" s="93"/>
      <c r="AA194" s="93"/>
      <c r="AB194" s="94"/>
      <c r="AE194" s="2">
        <v>102000</v>
      </c>
      <c r="AF194" s="28">
        <f t="shared" si="92"/>
        <v>102000</v>
      </c>
      <c r="AG194" s="55" t="s">
        <v>125</v>
      </c>
      <c r="AI194" s="20" t="s">
        <v>206</v>
      </c>
      <c r="AJ194" s="2">
        <f t="shared" si="71"/>
        <v>32000</v>
      </c>
      <c r="AN194" s="29">
        <f t="shared" si="72"/>
        <v>0.31372549019607843</v>
      </c>
      <c r="AP194" s="3" t="s">
        <v>29</v>
      </c>
      <c r="AQ194" s="1" t="s">
        <v>139</v>
      </c>
      <c r="AR194" s="31">
        <f t="shared" si="73"/>
        <v>0</v>
      </c>
      <c r="AS194" s="31">
        <f t="shared" si="74"/>
        <v>0</v>
      </c>
      <c r="AT194" s="31">
        <f t="shared" si="91"/>
        <v>0</v>
      </c>
      <c r="AU194" s="31">
        <f t="shared" si="75"/>
        <v>0</v>
      </c>
      <c r="AV194" s="31">
        <f t="shared" si="76"/>
        <v>0</v>
      </c>
      <c r="AW194" s="31">
        <f t="shared" si="77"/>
        <v>0</v>
      </c>
      <c r="AX194" s="31">
        <f t="shared" si="78"/>
        <v>0</v>
      </c>
      <c r="AY194" s="31">
        <f t="shared" si="79"/>
        <v>0</v>
      </c>
      <c r="AZ194" s="31">
        <f t="shared" si="80"/>
        <v>0</v>
      </c>
      <c r="BA194" s="31">
        <f t="shared" si="81"/>
        <v>0</v>
      </c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41"/>
      <c r="BM194" s="41"/>
      <c r="BN194" s="41"/>
      <c r="BO194" s="37"/>
      <c r="BP194" s="38"/>
      <c r="BQ194" s="37"/>
      <c r="BR194" s="40"/>
      <c r="BS194" s="39"/>
      <c r="BT194" s="39"/>
      <c r="BU194" s="39"/>
      <c r="BV194" s="39"/>
      <c r="BW194" s="39"/>
      <c r="BX194" s="36"/>
      <c r="BY194" s="33"/>
      <c r="BZ194" s="33"/>
      <c r="CA194" s="33"/>
      <c r="CB194" s="34"/>
      <c r="CC194" s="33"/>
      <c r="CD194" s="35"/>
      <c r="CE194" s="48"/>
      <c r="CF194" s="48"/>
      <c r="CG194" s="48"/>
      <c r="CH194" s="48"/>
      <c r="CI194" s="48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35"/>
      <c r="CW194" s="35"/>
      <c r="CX194" s="35"/>
      <c r="CY194" s="35"/>
      <c r="CZ194" s="35"/>
      <c r="DA194" s="35"/>
      <c r="DB194" s="35"/>
      <c r="DC194" s="35"/>
      <c r="DD194" s="40"/>
      <c r="DE194" s="40"/>
      <c r="DF194" s="40"/>
      <c r="DG194" s="40"/>
      <c r="DH194" s="40"/>
      <c r="DI194" s="40"/>
      <c r="DJ194" s="40"/>
      <c r="DK194" s="40"/>
      <c r="DL194" s="35"/>
      <c r="DM194" s="35"/>
      <c r="DN194" s="35"/>
      <c r="DO194" s="35"/>
      <c r="DP194" s="35"/>
      <c r="DQ194" s="35"/>
      <c r="DR194" s="35"/>
      <c r="DS194" s="35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40"/>
      <c r="ES194" s="40"/>
      <c r="ET194" s="40"/>
      <c r="EU194" s="40"/>
      <c r="EV194" s="40"/>
      <c r="EW194" s="40"/>
      <c r="EX194" s="40"/>
      <c r="EY194" s="40"/>
      <c r="EZ194" s="35"/>
      <c r="FA194" s="35"/>
      <c r="FB194" s="35"/>
      <c r="FC194" s="35"/>
      <c r="FD194" s="35"/>
      <c r="FE194" s="35"/>
      <c r="FF194" s="35"/>
      <c r="FG194" s="35"/>
    </row>
    <row r="195" spans="1:163">
      <c r="A195" s="62">
        <v>121</v>
      </c>
      <c r="E195" s="63" t="s">
        <v>58</v>
      </c>
      <c r="F195" s="56" t="s">
        <v>59</v>
      </c>
      <c r="G195" s="70" t="s">
        <v>500</v>
      </c>
      <c r="H195" s="66" t="str">
        <f t="shared" si="67"/>
        <v xml:space="preserve"> 220</v>
      </c>
      <c r="I195" s="67" t="s">
        <v>500</v>
      </c>
      <c r="J195" s="68">
        <f t="shared" si="68"/>
        <v>0</v>
      </c>
      <c r="K195" s="63" t="s">
        <v>279</v>
      </c>
      <c r="L195" s="1" t="s">
        <v>46</v>
      </c>
      <c r="O195" s="64" t="s">
        <v>789</v>
      </c>
      <c r="P195" s="82">
        <v>0</v>
      </c>
      <c r="Q195" s="74">
        <f t="shared" si="88"/>
        <v>72500</v>
      </c>
      <c r="R195" s="71">
        <v>72500</v>
      </c>
      <c r="S195" s="72">
        <f t="shared" si="84"/>
        <v>8150</v>
      </c>
      <c r="T195" s="68" t="s">
        <v>791</v>
      </c>
      <c r="U195" s="73">
        <f t="shared" si="85"/>
        <v>64350</v>
      </c>
      <c r="V195" s="73">
        <f>2000+5100+600+200+250</f>
        <v>8150</v>
      </c>
      <c r="W195" s="2">
        <f t="shared" si="69"/>
        <v>72500</v>
      </c>
      <c r="Y195" s="80">
        <f t="shared" si="70"/>
        <v>72500</v>
      </c>
      <c r="Z195" s="93"/>
      <c r="AA195" s="93"/>
      <c r="AB195" s="94"/>
      <c r="AC195" s="2">
        <v>3000</v>
      </c>
      <c r="AD195" s="2">
        <f>Z195+AC195</f>
        <v>3000</v>
      </c>
      <c r="AF195" s="28">
        <f t="shared" si="92"/>
        <v>0</v>
      </c>
      <c r="AG195" s="55" t="s">
        <v>125</v>
      </c>
      <c r="AI195" s="20" t="s">
        <v>206</v>
      </c>
      <c r="AJ195" s="2">
        <f t="shared" si="71"/>
        <v>-72500</v>
      </c>
      <c r="AN195" s="29" t="e">
        <f t="shared" si="72"/>
        <v>#DIV/0!</v>
      </c>
      <c r="AO195" s="29" t="e">
        <f>AN195-AB195</f>
        <v>#DIV/0!</v>
      </c>
      <c r="AP195" s="3" t="s">
        <v>29</v>
      </c>
      <c r="AQ195" s="1" t="s">
        <v>139</v>
      </c>
      <c r="AR195" s="31">
        <f t="shared" si="73"/>
        <v>0</v>
      </c>
      <c r="AS195" s="31">
        <f t="shared" si="74"/>
        <v>0</v>
      </c>
      <c r="AT195" s="31">
        <f t="shared" si="91"/>
        <v>0</v>
      </c>
      <c r="AU195" s="31">
        <f t="shared" si="75"/>
        <v>0</v>
      </c>
      <c r="AV195" s="31">
        <f t="shared" si="76"/>
        <v>0</v>
      </c>
      <c r="AW195" s="31">
        <f t="shared" si="77"/>
        <v>0</v>
      </c>
      <c r="AX195" s="31">
        <f t="shared" si="78"/>
        <v>0</v>
      </c>
      <c r="AY195" s="31">
        <f t="shared" si="79"/>
        <v>0</v>
      </c>
      <c r="AZ195" s="31">
        <f t="shared" si="80"/>
        <v>0</v>
      </c>
      <c r="BA195" s="31">
        <f t="shared" si="81"/>
        <v>0</v>
      </c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41"/>
      <c r="BM195" s="41"/>
      <c r="BN195" s="41"/>
      <c r="BO195" s="37"/>
      <c r="BP195" s="38"/>
      <c r="BQ195" s="37"/>
      <c r="BR195" s="40"/>
      <c r="BS195" s="39"/>
      <c r="BT195" s="39"/>
      <c r="BU195" s="39"/>
      <c r="BV195" s="39"/>
      <c r="BW195" s="39"/>
      <c r="BX195" s="36"/>
      <c r="BY195" s="33"/>
      <c r="BZ195" s="33"/>
      <c r="CA195" s="33"/>
      <c r="CB195" s="34"/>
      <c r="CC195" s="33"/>
      <c r="CD195" s="35"/>
      <c r="CE195" s="48"/>
      <c r="CF195" s="48"/>
      <c r="CG195" s="48"/>
      <c r="CH195" s="48"/>
      <c r="CI195" s="48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35"/>
      <c r="CW195" s="35"/>
      <c r="CX195" s="35"/>
      <c r="CY195" s="35"/>
      <c r="CZ195" s="35"/>
      <c r="DA195" s="35"/>
      <c r="DB195" s="35"/>
      <c r="DC195" s="35"/>
      <c r="DD195" s="40"/>
      <c r="DE195" s="40"/>
      <c r="DF195" s="40"/>
      <c r="DG195" s="40"/>
      <c r="DH195" s="40"/>
      <c r="DI195" s="40"/>
      <c r="DJ195" s="40"/>
      <c r="DK195" s="40"/>
      <c r="DL195" s="35"/>
      <c r="DM195" s="35"/>
      <c r="DN195" s="35"/>
      <c r="DO195" s="35"/>
      <c r="DP195" s="35"/>
      <c r="DQ195" s="35"/>
      <c r="DR195" s="35"/>
      <c r="DS195" s="35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40"/>
      <c r="ES195" s="40"/>
      <c r="ET195" s="40"/>
      <c r="EU195" s="40"/>
      <c r="EV195" s="40"/>
      <c r="EW195" s="40"/>
      <c r="EX195" s="40"/>
      <c r="EY195" s="40"/>
      <c r="EZ195" s="35"/>
      <c r="FA195" s="35"/>
      <c r="FB195" s="35"/>
      <c r="FC195" s="35"/>
      <c r="FD195" s="35"/>
      <c r="FE195" s="35"/>
      <c r="FF195" s="35"/>
      <c r="FG195" s="35"/>
    </row>
    <row r="196" spans="1:163">
      <c r="A196" s="62">
        <v>417</v>
      </c>
      <c r="E196" s="63" t="s">
        <v>233</v>
      </c>
      <c r="F196" s="56" t="s">
        <v>82</v>
      </c>
      <c r="G196" s="70" t="s">
        <v>785</v>
      </c>
      <c r="H196" s="66" t="str">
        <f t="shared" si="67"/>
        <v xml:space="preserve"> 626</v>
      </c>
      <c r="I196" s="67" t="s">
        <v>785</v>
      </c>
      <c r="J196" s="68">
        <f t="shared" si="68"/>
        <v>0</v>
      </c>
      <c r="K196" s="63" t="s">
        <v>279</v>
      </c>
      <c r="L196" s="1" t="s">
        <v>46</v>
      </c>
      <c r="O196" s="88" t="s">
        <v>790</v>
      </c>
      <c r="P196" s="89">
        <v>0</v>
      </c>
      <c r="Q196" s="90">
        <f t="shared" si="88"/>
        <v>57000</v>
      </c>
      <c r="R196" s="71">
        <v>57000</v>
      </c>
      <c r="S196" s="72">
        <f t="shared" si="84"/>
        <v>7900</v>
      </c>
      <c r="T196" s="68" t="s">
        <v>791</v>
      </c>
      <c r="U196" s="73">
        <f t="shared" si="85"/>
        <v>49100</v>
      </c>
      <c r="V196" s="75">
        <f>2000+4850+600+200+250</f>
        <v>7900</v>
      </c>
      <c r="W196" s="2">
        <f t="shared" si="69"/>
        <v>57000</v>
      </c>
      <c r="Y196" s="81">
        <f t="shared" si="70"/>
        <v>57000</v>
      </c>
      <c r="Z196" s="96">
        <v>0</v>
      </c>
      <c r="AA196" s="97">
        <f>U196-Z196</f>
        <v>49100</v>
      </c>
      <c r="AB196" s="98" t="e">
        <f>AA196/Z196</f>
        <v>#DIV/0!</v>
      </c>
      <c r="AE196" s="2">
        <v>88000</v>
      </c>
      <c r="AF196" s="28">
        <f t="shared" si="92"/>
        <v>0</v>
      </c>
      <c r="AG196" s="55" t="s">
        <v>125</v>
      </c>
      <c r="AI196" s="20" t="s">
        <v>205</v>
      </c>
      <c r="AJ196" s="2">
        <f t="shared" si="71"/>
        <v>-57000</v>
      </c>
      <c r="AN196" s="29" t="e">
        <f t="shared" si="72"/>
        <v>#DIV/0!</v>
      </c>
      <c r="AP196" s="3" t="s">
        <v>140</v>
      </c>
      <c r="AQ196" s="1" t="s">
        <v>198</v>
      </c>
      <c r="AR196" s="31">
        <f t="shared" si="73"/>
        <v>0</v>
      </c>
      <c r="AS196" s="31">
        <f t="shared" si="74"/>
        <v>0</v>
      </c>
      <c r="AT196" s="31">
        <f t="shared" si="91"/>
        <v>0</v>
      </c>
      <c r="AU196" s="31">
        <f t="shared" si="75"/>
        <v>0</v>
      </c>
      <c r="AV196" s="31">
        <f t="shared" si="76"/>
        <v>0</v>
      </c>
      <c r="AW196" s="31">
        <f t="shared" si="77"/>
        <v>0</v>
      </c>
      <c r="AX196" s="31">
        <f t="shared" si="78"/>
        <v>0</v>
      </c>
      <c r="AY196" s="31">
        <f t="shared" si="79"/>
        <v>0</v>
      </c>
      <c r="AZ196" s="31">
        <f t="shared" si="80"/>
        <v>0</v>
      </c>
      <c r="BA196" s="31">
        <f t="shared" si="81"/>
        <v>0</v>
      </c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35"/>
      <c r="CW196" s="35"/>
      <c r="CX196" s="35"/>
      <c r="CY196" s="35"/>
      <c r="CZ196" s="35"/>
      <c r="DA196" s="35"/>
      <c r="DB196" s="35"/>
      <c r="DC196" s="35"/>
      <c r="DD196" s="40"/>
      <c r="DE196" s="40"/>
      <c r="DF196" s="40"/>
      <c r="DG196" s="40"/>
      <c r="DH196" s="40"/>
      <c r="DI196" s="40"/>
      <c r="DJ196" s="40"/>
      <c r="DK196" s="40"/>
      <c r="DL196" s="36"/>
      <c r="DM196" s="36"/>
      <c r="DN196" s="36"/>
      <c r="DO196" s="36"/>
      <c r="DP196" s="36"/>
      <c r="DQ196" s="36"/>
      <c r="DR196" s="36"/>
      <c r="DS196" s="36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40"/>
      <c r="ES196" s="40"/>
      <c r="ET196" s="40"/>
      <c r="EU196" s="40"/>
      <c r="EV196" s="40"/>
      <c r="EW196" s="40"/>
      <c r="EX196" s="40"/>
      <c r="EY196" s="40"/>
      <c r="EZ196" s="35"/>
      <c r="FA196" s="35"/>
      <c r="FB196" s="35"/>
      <c r="FC196" s="35"/>
      <c r="FD196" s="35"/>
      <c r="FE196" s="35"/>
      <c r="FF196" s="35"/>
      <c r="FG196" s="35"/>
    </row>
    <row r="197" spans="1:163">
      <c r="A197" s="60">
        <v>101</v>
      </c>
      <c r="E197" s="63" t="s">
        <v>56</v>
      </c>
      <c r="F197" s="56" t="s">
        <v>58</v>
      </c>
      <c r="G197" s="70" t="s">
        <v>480</v>
      </c>
      <c r="H197" s="66" t="str">
        <f t="shared" si="67"/>
        <v xml:space="preserve"> 999</v>
      </c>
      <c r="I197" s="67" t="s">
        <v>480</v>
      </c>
      <c r="J197" s="68">
        <f t="shared" si="68"/>
        <v>0</v>
      </c>
      <c r="K197" s="63" t="s">
        <v>279</v>
      </c>
      <c r="L197" s="1" t="s">
        <v>46</v>
      </c>
      <c r="O197" s="88" t="s">
        <v>790</v>
      </c>
      <c r="P197" s="89">
        <v>0</v>
      </c>
      <c r="Q197" s="90">
        <f t="shared" si="88"/>
        <v>90000</v>
      </c>
      <c r="R197" s="71">
        <v>90000</v>
      </c>
      <c r="S197" s="72">
        <f t="shared" si="84"/>
        <v>8250</v>
      </c>
      <c r="T197" s="68" t="s">
        <v>791</v>
      </c>
      <c r="U197" s="73">
        <f t="shared" si="85"/>
        <v>81750</v>
      </c>
      <c r="V197" s="73">
        <f>2000+5200+600+200+250</f>
        <v>8250</v>
      </c>
      <c r="W197" s="2">
        <f t="shared" si="69"/>
        <v>90000</v>
      </c>
      <c r="Y197" s="81">
        <f t="shared" si="70"/>
        <v>90000</v>
      </c>
      <c r="Z197" s="96">
        <v>0</v>
      </c>
      <c r="AA197" s="97">
        <f>U197-Z197</f>
        <v>81750</v>
      </c>
      <c r="AB197" s="98" t="e">
        <f>AA197/Z197</f>
        <v>#DIV/0!</v>
      </c>
      <c r="AC197" s="2">
        <v>4000</v>
      </c>
      <c r="AD197" s="2">
        <f>Z197+AC197</f>
        <v>4000</v>
      </c>
      <c r="AF197" s="28">
        <f t="shared" si="92"/>
        <v>4000</v>
      </c>
      <c r="AG197" s="55" t="s">
        <v>125</v>
      </c>
      <c r="AI197" s="20" t="s">
        <v>45</v>
      </c>
      <c r="AJ197" s="2">
        <f t="shared" si="71"/>
        <v>-86000</v>
      </c>
      <c r="AN197" s="29">
        <f t="shared" si="72"/>
        <v>-21.5</v>
      </c>
      <c r="AO197" s="29" t="e">
        <f>AN197-AB197</f>
        <v>#DIV/0!</v>
      </c>
      <c r="AP197" s="3" t="s">
        <v>29</v>
      </c>
      <c r="AQ197" s="1" t="s">
        <v>143</v>
      </c>
      <c r="AR197" s="31">
        <f t="shared" si="73"/>
        <v>0</v>
      </c>
      <c r="AS197" s="31">
        <f t="shared" si="74"/>
        <v>0</v>
      </c>
      <c r="AT197" s="31">
        <f t="shared" si="91"/>
        <v>0</v>
      </c>
      <c r="AU197" s="31">
        <f t="shared" si="75"/>
        <v>0</v>
      </c>
      <c r="AV197" s="31">
        <f t="shared" si="76"/>
        <v>0</v>
      </c>
      <c r="AW197" s="31">
        <f t="shared" si="77"/>
        <v>0</v>
      </c>
      <c r="AX197" s="31">
        <f t="shared" si="78"/>
        <v>0</v>
      </c>
      <c r="AY197" s="31">
        <f t="shared" si="79"/>
        <v>0</v>
      </c>
      <c r="AZ197" s="31">
        <f t="shared" si="80"/>
        <v>0</v>
      </c>
      <c r="BA197" s="31">
        <f t="shared" si="81"/>
        <v>0</v>
      </c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41"/>
      <c r="BM197" s="41"/>
      <c r="BN197" s="41"/>
      <c r="BO197" s="37"/>
      <c r="BP197" s="38"/>
      <c r="BQ197" s="37"/>
      <c r="BR197" s="40"/>
      <c r="BS197" s="39"/>
      <c r="BT197" s="39"/>
      <c r="BU197" s="39"/>
      <c r="BV197" s="39"/>
      <c r="BW197" s="39"/>
      <c r="BX197" s="36"/>
      <c r="BY197" s="33"/>
      <c r="BZ197" s="33"/>
      <c r="CA197" s="33"/>
      <c r="CB197" s="34"/>
      <c r="CC197" s="33"/>
      <c r="CD197" s="35"/>
      <c r="CE197" s="48"/>
      <c r="CF197" s="48"/>
      <c r="CG197" s="48"/>
      <c r="CH197" s="48"/>
      <c r="CI197" s="48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35"/>
      <c r="CW197" s="35"/>
      <c r="CX197" s="35"/>
      <c r="CY197" s="35"/>
      <c r="CZ197" s="35"/>
      <c r="DA197" s="35"/>
      <c r="DB197" s="35"/>
      <c r="DC197" s="35"/>
      <c r="DD197" s="40"/>
      <c r="DE197" s="40"/>
      <c r="DF197" s="40"/>
      <c r="DG197" s="40"/>
      <c r="DH197" s="40"/>
      <c r="DI197" s="40"/>
      <c r="DJ197" s="40"/>
      <c r="DK197" s="40"/>
      <c r="DL197" s="35"/>
      <c r="DM197" s="35"/>
      <c r="DN197" s="35"/>
      <c r="DO197" s="35"/>
      <c r="DP197" s="35"/>
      <c r="DQ197" s="35"/>
      <c r="DR197" s="35"/>
      <c r="DS197" s="35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40"/>
      <c r="ES197" s="40"/>
      <c r="ET197" s="40"/>
      <c r="EU197" s="40"/>
      <c r="EV197" s="40"/>
      <c r="EW197" s="40"/>
      <c r="EX197" s="40"/>
      <c r="EY197" s="40"/>
      <c r="EZ197" s="35"/>
      <c r="FA197" s="35"/>
      <c r="FB197" s="35"/>
      <c r="FC197" s="35"/>
      <c r="FD197" s="35"/>
      <c r="FE197" s="35"/>
      <c r="FF197" s="35"/>
      <c r="FG197" s="35"/>
    </row>
    <row r="198" spans="1:163">
      <c r="A198" s="60">
        <v>51</v>
      </c>
      <c r="E198" s="63" t="s">
        <v>113</v>
      </c>
      <c r="F198" s="56" t="s">
        <v>115</v>
      </c>
      <c r="G198" s="65" t="s">
        <v>431</v>
      </c>
      <c r="H198" s="66" t="str">
        <f t="shared" si="67"/>
        <v xml:space="preserve"> 868</v>
      </c>
      <c r="I198" s="67" t="s">
        <v>431</v>
      </c>
      <c r="J198" s="68">
        <f t="shared" si="68"/>
        <v>0</v>
      </c>
      <c r="K198" s="63" t="s">
        <v>262</v>
      </c>
      <c r="L198" s="1" t="s">
        <v>46</v>
      </c>
      <c r="O198" s="64" t="s">
        <v>789</v>
      </c>
      <c r="P198" s="82">
        <v>0</v>
      </c>
      <c r="Q198" s="74">
        <f t="shared" si="88"/>
        <v>78000</v>
      </c>
      <c r="R198" s="71">
        <v>78000</v>
      </c>
      <c r="S198" s="72">
        <f t="shared" si="84"/>
        <v>8250</v>
      </c>
      <c r="T198" s="68" t="s">
        <v>791</v>
      </c>
      <c r="U198" s="73">
        <f t="shared" si="85"/>
        <v>69750</v>
      </c>
      <c r="V198" s="73">
        <f>2000+5200+600+200+250</f>
        <v>8250</v>
      </c>
      <c r="W198" s="2">
        <f t="shared" si="69"/>
        <v>78000</v>
      </c>
      <c r="Y198" s="80">
        <f t="shared" si="70"/>
        <v>78000</v>
      </c>
      <c r="Z198" s="93"/>
      <c r="AA198" s="93"/>
      <c r="AB198" s="94"/>
      <c r="AC198" s="2">
        <v>3000</v>
      </c>
      <c r="AD198" s="2">
        <f>Z198+AC198</f>
        <v>3000</v>
      </c>
      <c r="AF198" s="28">
        <f t="shared" si="92"/>
        <v>0</v>
      </c>
      <c r="AG198" s="55" t="s">
        <v>125</v>
      </c>
      <c r="AI198" s="20" t="s">
        <v>45</v>
      </c>
      <c r="AJ198" s="2">
        <f t="shared" si="71"/>
        <v>-78000</v>
      </c>
      <c r="AN198" s="29" t="e">
        <f t="shared" si="72"/>
        <v>#DIV/0!</v>
      </c>
      <c r="AO198" s="29" t="e">
        <f>AN198-AB198</f>
        <v>#DIV/0!</v>
      </c>
      <c r="AP198" s="3" t="s">
        <v>29</v>
      </c>
      <c r="AQ198" s="1" t="s">
        <v>153</v>
      </c>
      <c r="AR198" s="31">
        <f t="shared" si="73"/>
        <v>0</v>
      </c>
      <c r="AS198" s="31">
        <f t="shared" si="74"/>
        <v>0</v>
      </c>
      <c r="AT198" s="31">
        <f t="shared" si="91"/>
        <v>0</v>
      </c>
      <c r="AU198" s="31">
        <f t="shared" si="75"/>
        <v>0</v>
      </c>
      <c r="AV198" s="31">
        <f t="shared" si="76"/>
        <v>0</v>
      </c>
      <c r="AW198" s="31">
        <f t="shared" si="77"/>
        <v>0</v>
      </c>
      <c r="AX198" s="31">
        <f t="shared" si="78"/>
        <v>0</v>
      </c>
      <c r="AY198" s="31">
        <f t="shared" si="79"/>
        <v>0</v>
      </c>
      <c r="AZ198" s="31">
        <f t="shared" si="80"/>
        <v>0</v>
      </c>
      <c r="BA198" s="31">
        <f t="shared" si="81"/>
        <v>0</v>
      </c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41"/>
      <c r="BM198" s="41"/>
      <c r="BN198" s="41"/>
      <c r="BO198" s="37"/>
      <c r="BP198" s="38"/>
      <c r="BQ198" s="37"/>
      <c r="BR198" s="40"/>
      <c r="BS198" s="39"/>
      <c r="BT198" s="39"/>
      <c r="BU198" s="39"/>
      <c r="BV198" s="39"/>
      <c r="BW198" s="39"/>
      <c r="BX198" s="36"/>
      <c r="BY198" s="33"/>
      <c r="BZ198" s="33"/>
      <c r="CA198" s="33"/>
      <c r="CB198" s="34"/>
      <c r="CC198" s="33"/>
      <c r="CD198" s="35"/>
      <c r="CE198" s="48"/>
      <c r="CF198" s="48"/>
      <c r="CG198" s="48"/>
      <c r="CH198" s="48"/>
      <c r="CI198" s="48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35"/>
      <c r="CW198" s="35"/>
      <c r="CX198" s="35"/>
      <c r="CY198" s="35"/>
      <c r="CZ198" s="35"/>
      <c r="DA198" s="35"/>
      <c r="DB198" s="35"/>
      <c r="DC198" s="35"/>
      <c r="DD198" s="40"/>
      <c r="DE198" s="40"/>
      <c r="DF198" s="40"/>
      <c r="DG198" s="40"/>
      <c r="DH198" s="40"/>
      <c r="DI198" s="40"/>
      <c r="DJ198" s="40"/>
      <c r="DK198" s="40"/>
      <c r="DL198" s="35"/>
      <c r="DM198" s="35"/>
      <c r="DN198" s="35"/>
      <c r="DO198" s="35"/>
      <c r="DP198" s="35"/>
      <c r="DQ198" s="35"/>
      <c r="DR198" s="35"/>
      <c r="DS198" s="35"/>
      <c r="DT198" s="40"/>
      <c r="DU198" s="40"/>
      <c r="DV198" s="40"/>
      <c r="DW198" s="40"/>
      <c r="DX198" s="40"/>
      <c r="DY198" s="40"/>
      <c r="DZ198" s="40"/>
      <c r="EA198" s="41"/>
      <c r="EB198" s="41"/>
      <c r="EC198" s="40"/>
      <c r="ED198" s="40"/>
      <c r="EE198" s="40"/>
      <c r="EF198" s="35"/>
      <c r="EG198" s="35"/>
      <c r="EH198" s="35"/>
      <c r="EI198" s="35"/>
      <c r="EJ198" s="35"/>
      <c r="EK198" s="35"/>
      <c r="EL198" s="35"/>
      <c r="EM198" s="36"/>
      <c r="EN198" s="36"/>
      <c r="EO198" s="36"/>
      <c r="EP198" s="36"/>
      <c r="EQ198" s="36"/>
      <c r="ER198" s="40"/>
      <c r="ES198" s="40"/>
      <c r="ET198" s="40"/>
      <c r="EU198" s="40"/>
      <c r="EV198" s="40"/>
      <c r="EW198" s="40"/>
      <c r="EX198" s="40"/>
      <c r="EY198" s="40"/>
      <c r="EZ198" s="35"/>
      <c r="FA198" s="35"/>
      <c r="FB198" s="35"/>
      <c r="FC198" s="35"/>
      <c r="FD198" s="35"/>
      <c r="FE198" s="35"/>
      <c r="FF198" s="35"/>
      <c r="FG198" s="35"/>
    </row>
    <row r="199" spans="1:163">
      <c r="A199" s="60">
        <v>39</v>
      </c>
      <c r="E199" s="63" t="s">
        <v>113</v>
      </c>
      <c r="F199" s="56" t="s">
        <v>113</v>
      </c>
      <c r="G199" s="65" t="s">
        <v>419</v>
      </c>
      <c r="H199" s="66" t="str">
        <f t="shared" ref="H199:H262" si="93">REPLACE(G199,1,3, )</f>
        <v xml:space="preserve"> 495</v>
      </c>
      <c r="I199" s="67" t="s">
        <v>419</v>
      </c>
      <c r="J199" s="68">
        <f t="shared" ref="J199:J262" si="94">IF(G199=I199,0,1)</f>
        <v>0</v>
      </c>
      <c r="K199" s="63" t="s">
        <v>262</v>
      </c>
      <c r="L199" s="1" t="s">
        <v>46</v>
      </c>
      <c r="O199" s="88" t="s">
        <v>790</v>
      </c>
      <c r="P199" s="89">
        <v>0</v>
      </c>
      <c r="Q199" s="90">
        <f t="shared" si="88"/>
        <v>74000</v>
      </c>
      <c r="R199" s="71">
        <v>74000</v>
      </c>
      <c r="S199" s="72">
        <f t="shared" si="84"/>
        <v>8250</v>
      </c>
      <c r="T199" s="68" t="s">
        <v>791</v>
      </c>
      <c r="U199" s="73">
        <f t="shared" si="85"/>
        <v>65750</v>
      </c>
      <c r="V199" s="73">
        <f>2000+5200+600+200+250</f>
        <v>8250</v>
      </c>
      <c r="W199" s="2">
        <f t="shared" ref="W199:W262" si="95">Q199-P199</f>
        <v>74000</v>
      </c>
      <c r="Y199" s="81">
        <f t="shared" ref="Y199:Y262" si="96">Q199</f>
        <v>74000</v>
      </c>
      <c r="Z199" s="96">
        <v>0</v>
      </c>
      <c r="AA199" s="97">
        <f>U199-Z199</f>
        <v>65750</v>
      </c>
      <c r="AB199" s="98" t="e">
        <f>AA199/Z199</f>
        <v>#DIV/0!</v>
      </c>
      <c r="AE199" s="2">
        <v>99000</v>
      </c>
      <c r="AF199" s="28">
        <f t="shared" si="92"/>
        <v>0</v>
      </c>
      <c r="AG199" s="55" t="s">
        <v>125</v>
      </c>
      <c r="AI199" s="20" t="s">
        <v>45</v>
      </c>
      <c r="AJ199" s="2">
        <f t="shared" ref="AJ199:AJ262" si="97">AF199-Y199</f>
        <v>-74000</v>
      </c>
      <c r="AN199" s="29" t="e">
        <f t="shared" ref="AN199:AN262" si="98">AJ199/AF199</f>
        <v>#DIV/0!</v>
      </c>
      <c r="AP199" s="3" t="s">
        <v>29</v>
      </c>
      <c r="AQ199" s="1" t="s">
        <v>148</v>
      </c>
      <c r="AR199" s="31">
        <f t="shared" ref="AR199:AR262" si="99">IF(BN199&lt;&gt;"", AF199-BN199, 0)</f>
        <v>0</v>
      </c>
      <c r="AS199" s="31">
        <f t="shared" ref="AS199:AS262" si="100">IF(CV199&lt;&gt;"", AF199-CV199, 0)</f>
        <v>0</v>
      </c>
      <c r="AT199" s="31">
        <f t="shared" si="91"/>
        <v>0</v>
      </c>
      <c r="AU199" s="31">
        <f t="shared" ref="AU199:AU262" si="101">IF(DD199&lt;&gt;"", AF199-DD199, 0)</f>
        <v>0</v>
      </c>
      <c r="AV199" s="31">
        <f t="shared" ref="AV199:AV262" si="102">IF(CL199&lt;&gt;"", AF199-CL199, 0)</f>
        <v>0</v>
      </c>
      <c r="AW199" s="31">
        <f t="shared" ref="AW199:AW262" si="103">IF(DL199&lt;&gt;"", AF199-DL199, 0)</f>
        <v>0</v>
      </c>
      <c r="AX199" s="31">
        <f t="shared" ref="AX199:AX262" si="104">IF(DV199&lt;&gt;"",AF199-DV199, 0)</f>
        <v>0</v>
      </c>
      <c r="AY199" s="31">
        <f t="shared" ref="AY199:AY262" si="105">IF(EH199&lt;&gt;"",AF199-EH199, 0)</f>
        <v>0</v>
      </c>
      <c r="AZ199" s="31">
        <f t="shared" ref="AZ199:AZ262" si="106">IF(ER199&lt;&gt;"", AF199-ER199, 0)</f>
        <v>0</v>
      </c>
      <c r="BA199" s="31">
        <f t="shared" ref="BA199:BA262" si="107">IF(EZ199&lt;&gt;"", AF199-EZ199, 0)</f>
        <v>0</v>
      </c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41"/>
      <c r="BM199" s="41"/>
      <c r="BN199" s="41"/>
      <c r="BO199" s="37"/>
      <c r="BP199" s="38"/>
      <c r="BQ199" s="37"/>
      <c r="BR199" s="40"/>
      <c r="BS199" s="39"/>
      <c r="BT199" s="39"/>
      <c r="BU199" s="39"/>
      <c r="BV199" s="39"/>
      <c r="BW199" s="39"/>
      <c r="BX199" s="36"/>
      <c r="BY199" s="33"/>
      <c r="BZ199" s="33"/>
      <c r="CA199" s="33"/>
      <c r="CB199" s="34"/>
      <c r="CC199" s="33"/>
      <c r="CD199" s="35"/>
      <c r="CE199" s="48"/>
      <c r="CF199" s="48"/>
      <c r="CG199" s="48"/>
      <c r="CH199" s="48"/>
      <c r="CI199" s="48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35"/>
      <c r="CW199" s="35"/>
      <c r="CX199" s="35"/>
      <c r="CY199" s="35"/>
      <c r="CZ199" s="35"/>
      <c r="DA199" s="35"/>
      <c r="DB199" s="35"/>
      <c r="DC199" s="35"/>
      <c r="DD199" s="40"/>
      <c r="DE199" s="40"/>
      <c r="DF199" s="40"/>
      <c r="DG199" s="40"/>
      <c r="DH199" s="40"/>
      <c r="DI199" s="40"/>
      <c r="DJ199" s="40"/>
      <c r="DK199" s="40"/>
      <c r="DL199" s="35"/>
      <c r="DM199" s="35"/>
      <c r="DN199" s="35"/>
      <c r="DO199" s="35"/>
      <c r="DP199" s="35"/>
      <c r="DQ199" s="35"/>
      <c r="DR199" s="35"/>
      <c r="DS199" s="35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40"/>
      <c r="ES199" s="40"/>
      <c r="ET199" s="40"/>
      <c r="EU199" s="40"/>
      <c r="EV199" s="40"/>
      <c r="EW199" s="40"/>
      <c r="EX199" s="40"/>
      <c r="EY199" s="40"/>
      <c r="EZ199" s="35"/>
      <c r="FA199" s="35"/>
      <c r="FB199" s="35"/>
      <c r="FC199" s="35"/>
      <c r="FD199" s="35"/>
      <c r="FE199" s="35"/>
      <c r="FF199" s="35"/>
      <c r="FG199" s="35"/>
    </row>
    <row r="200" spans="1:163">
      <c r="A200" s="60">
        <v>20</v>
      </c>
      <c r="E200" s="63" t="s">
        <v>211</v>
      </c>
      <c r="F200" s="56" t="s">
        <v>114</v>
      </c>
      <c r="G200" s="70" t="s">
        <v>402</v>
      </c>
      <c r="H200" s="66" t="str">
        <f t="shared" si="93"/>
        <v xml:space="preserve"> 047</v>
      </c>
      <c r="I200" s="67" t="s">
        <v>402</v>
      </c>
      <c r="J200" s="68">
        <f t="shared" si="94"/>
        <v>0</v>
      </c>
      <c r="K200" s="63" t="s">
        <v>252</v>
      </c>
      <c r="L200" s="1" t="s">
        <v>46</v>
      </c>
      <c r="O200" s="88" t="s">
        <v>790</v>
      </c>
      <c r="P200" s="89">
        <v>70000</v>
      </c>
      <c r="Q200" s="90">
        <f t="shared" si="88"/>
        <v>0</v>
      </c>
      <c r="R200" s="71"/>
      <c r="S200" s="72">
        <f t="shared" si="84"/>
        <v>0</v>
      </c>
      <c r="T200" s="68"/>
      <c r="U200" s="73">
        <f t="shared" si="85"/>
        <v>0</v>
      </c>
      <c r="V200" s="73"/>
      <c r="W200" s="2">
        <f t="shared" si="95"/>
        <v>-70000</v>
      </c>
      <c r="Y200" s="81">
        <f t="shared" si="96"/>
        <v>0</v>
      </c>
      <c r="Z200" s="96">
        <v>0</v>
      </c>
      <c r="AA200" s="97">
        <f>U200-Z200</f>
        <v>0</v>
      </c>
      <c r="AB200" s="98" t="e">
        <f>AA200/Z200</f>
        <v>#DIV/0!</v>
      </c>
      <c r="AE200" s="2">
        <v>114000</v>
      </c>
      <c r="AF200" s="28">
        <f t="shared" si="92"/>
        <v>0</v>
      </c>
      <c r="AG200" s="55" t="s">
        <v>125</v>
      </c>
      <c r="AI200" s="20" t="s">
        <v>206</v>
      </c>
      <c r="AJ200" s="2">
        <f t="shared" si="97"/>
        <v>0</v>
      </c>
      <c r="AN200" s="29" t="e">
        <f t="shared" si="98"/>
        <v>#DIV/0!</v>
      </c>
      <c r="AP200" s="3" t="s">
        <v>29</v>
      </c>
      <c r="AQ200" s="1" t="s">
        <v>154</v>
      </c>
      <c r="AR200" s="31">
        <f t="shared" si="99"/>
        <v>0</v>
      </c>
      <c r="AS200" s="31">
        <f t="shared" si="100"/>
        <v>0</v>
      </c>
      <c r="AT200" s="31">
        <f t="shared" si="91"/>
        <v>0</v>
      </c>
      <c r="AU200" s="31">
        <f t="shared" si="101"/>
        <v>0</v>
      </c>
      <c r="AV200" s="31">
        <f t="shared" si="102"/>
        <v>0</v>
      </c>
      <c r="AW200" s="31">
        <f t="shared" si="103"/>
        <v>0</v>
      </c>
      <c r="AX200" s="31">
        <f t="shared" si="104"/>
        <v>0</v>
      </c>
      <c r="AY200" s="31">
        <f t="shared" si="105"/>
        <v>0</v>
      </c>
      <c r="AZ200" s="31">
        <f t="shared" si="106"/>
        <v>0</v>
      </c>
      <c r="BA200" s="31">
        <f t="shared" si="107"/>
        <v>0</v>
      </c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41"/>
      <c r="BM200" s="41"/>
      <c r="BN200" s="41"/>
      <c r="BO200" s="37"/>
      <c r="BP200" s="38"/>
      <c r="BQ200" s="37"/>
      <c r="BR200" s="40"/>
      <c r="BS200" s="39"/>
      <c r="BT200" s="39"/>
      <c r="BU200" s="39"/>
      <c r="BV200" s="39"/>
      <c r="BW200" s="39"/>
      <c r="BX200" s="36"/>
      <c r="BY200" s="33"/>
      <c r="BZ200" s="33"/>
      <c r="CA200" s="33"/>
      <c r="CB200" s="34"/>
      <c r="CC200" s="33"/>
      <c r="CD200" s="35"/>
      <c r="CE200" s="48"/>
      <c r="CF200" s="48"/>
      <c r="CG200" s="48"/>
      <c r="CH200" s="48"/>
      <c r="CI200" s="48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35"/>
      <c r="CW200" s="35"/>
      <c r="CX200" s="35"/>
      <c r="CY200" s="35"/>
      <c r="CZ200" s="35"/>
      <c r="DA200" s="35"/>
      <c r="DB200" s="35"/>
      <c r="DC200" s="35"/>
      <c r="DD200" s="40"/>
      <c r="DE200" s="40"/>
      <c r="DF200" s="40"/>
      <c r="DG200" s="40"/>
      <c r="DH200" s="40"/>
      <c r="DI200" s="40"/>
      <c r="DJ200" s="40"/>
      <c r="DK200" s="40"/>
      <c r="DL200" s="35"/>
      <c r="DM200" s="35"/>
      <c r="DN200" s="35"/>
      <c r="DO200" s="35"/>
      <c r="DP200" s="35"/>
      <c r="DQ200" s="35"/>
      <c r="DR200" s="35"/>
      <c r="DS200" s="35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40"/>
      <c r="ES200" s="40"/>
      <c r="ET200" s="40"/>
      <c r="EU200" s="40"/>
      <c r="EV200" s="40"/>
      <c r="EW200" s="40"/>
      <c r="EX200" s="40"/>
      <c r="EY200" s="40"/>
      <c r="EZ200" s="35"/>
      <c r="FA200" s="35"/>
      <c r="FB200" s="35"/>
      <c r="FC200" s="35"/>
      <c r="FD200" s="35"/>
      <c r="FE200" s="35"/>
      <c r="FF200" s="35"/>
      <c r="FG200" s="35"/>
    </row>
    <row r="201" spans="1:163">
      <c r="A201" s="60">
        <v>166</v>
      </c>
      <c r="E201" s="63" t="s">
        <v>63</v>
      </c>
      <c r="F201" s="56" t="s">
        <v>62</v>
      </c>
      <c r="G201" s="70" t="s">
        <v>545</v>
      </c>
      <c r="H201" s="66" t="str">
        <f t="shared" si="93"/>
        <v xml:space="preserve"> 524</v>
      </c>
      <c r="I201" s="67" t="s">
        <v>545</v>
      </c>
      <c r="J201" s="68">
        <f t="shared" si="94"/>
        <v>0</v>
      </c>
      <c r="K201" s="63" t="s">
        <v>252</v>
      </c>
      <c r="L201" s="1" t="s">
        <v>46</v>
      </c>
      <c r="O201" s="88" t="s">
        <v>790</v>
      </c>
      <c r="P201" s="89">
        <v>66000</v>
      </c>
      <c r="Q201" s="90">
        <f t="shared" si="88"/>
        <v>0</v>
      </c>
      <c r="R201" s="71"/>
      <c r="S201" s="72">
        <f t="shared" si="84"/>
        <v>0</v>
      </c>
      <c r="T201" s="68"/>
      <c r="U201" s="73">
        <f t="shared" si="85"/>
        <v>0</v>
      </c>
      <c r="V201" s="75"/>
      <c r="W201" s="2">
        <f t="shared" si="95"/>
        <v>-66000</v>
      </c>
      <c r="Y201" s="81">
        <f t="shared" si="96"/>
        <v>0</v>
      </c>
      <c r="Z201" s="96">
        <v>0</v>
      </c>
      <c r="AA201" s="97">
        <f>U201-Z201</f>
        <v>0</v>
      </c>
      <c r="AB201" s="98" t="e">
        <f>AA201/Z201</f>
        <v>#DIV/0!</v>
      </c>
      <c r="AC201" s="2">
        <v>3000</v>
      </c>
      <c r="AD201" s="2">
        <f>Z201+AC201</f>
        <v>3000</v>
      </c>
      <c r="AF201" s="28">
        <f t="shared" si="92"/>
        <v>3000</v>
      </c>
      <c r="AG201" s="55" t="s">
        <v>125</v>
      </c>
      <c r="AI201" s="20" t="s">
        <v>45</v>
      </c>
      <c r="AJ201" s="2">
        <f t="shared" si="97"/>
        <v>3000</v>
      </c>
      <c r="AN201" s="29">
        <f t="shared" si="98"/>
        <v>1</v>
      </c>
      <c r="AO201" s="29" t="e">
        <f>AN201-AB201</f>
        <v>#DIV/0!</v>
      </c>
      <c r="AP201" s="3" t="s">
        <v>29</v>
      </c>
      <c r="AQ201" s="1" t="s">
        <v>155</v>
      </c>
      <c r="AR201" s="31">
        <f t="shared" si="99"/>
        <v>0</v>
      </c>
      <c r="AS201" s="31">
        <f t="shared" si="100"/>
        <v>0</v>
      </c>
      <c r="AT201" s="31">
        <f t="shared" si="91"/>
        <v>0</v>
      </c>
      <c r="AU201" s="31">
        <f t="shared" si="101"/>
        <v>0</v>
      </c>
      <c r="AV201" s="31">
        <f t="shared" si="102"/>
        <v>0</v>
      </c>
      <c r="AW201" s="31">
        <f t="shared" si="103"/>
        <v>0</v>
      </c>
      <c r="AX201" s="31">
        <f t="shared" si="104"/>
        <v>0</v>
      </c>
      <c r="AY201" s="31">
        <f t="shared" si="105"/>
        <v>0</v>
      </c>
      <c r="AZ201" s="31">
        <f t="shared" si="106"/>
        <v>0</v>
      </c>
      <c r="BA201" s="31">
        <f t="shared" si="107"/>
        <v>0</v>
      </c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35"/>
      <c r="CW201" s="35"/>
      <c r="CX201" s="35"/>
      <c r="CY201" s="35"/>
      <c r="CZ201" s="35"/>
      <c r="DA201" s="35"/>
      <c r="DB201" s="35"/>
      <c r="DC201" s="35"/>
      <c r="DD201" s="40"/>
      <c r="DE201" s="40"/>
      <c r="DF201" s="40"/>
      <c r="DG201" s="40"/>
      <c r="DH201" s="40"/>
      <c r="DI201" s="40"/>
      <c r="DJ201" s="40"/>
      <c r="DK201" s="40"/>
      <c r="DL201" s="35"/>
      <c r="DM201" s="35"/>
      <c r="DN201" s="35"/>
      <c r="DO201" s="35"/>
      <c r="DP201" s="35"/>
      <c r="DQ201" s="35"/>
      <c r="DR201" s="35"/>
      <c r="DS201" s="35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40"/>
      <c r="ES201" s="40"/>
      <c r="ET201" s="40"/>
      <c r="EU201" s="40"/>
      <c r="EV201" s="40"/>
      <c r="EW201" s="40"/>
      <c r="EX201" s="40"/>
      <c r="EY201" s="40"/>
      <c r="EZ201" s="35"/>
      <c r="FA201" s="35"/>
      <c r="FB201" s="35"/>
      <c r="FC201" s="35"/>
      <c r="FD201" s="35"/>
      <c r="FE201" s="35"/>
      <c r="FF201" s="35"/>
      <c r="FG201" s="35"/>
    </row>
    <row r="202" spans="1:163">
      <c r="A202" s="60">
        <v>65</v>
      </c>
      <c r="E202" s="63" t="s">
        <v>212</v>
      </c>
      <c r="F202" s="56" t="s">
        <v>115</v>
      </c>
      <c r="G202" s="70" t="s">
        <v>446</v>
      </c>
      <c r="H202" s="66" t="str">
        <f t="shared" si="93"/>
        <v xml:space="preserve"> 020</v>
      </c>
      <c r="I202" s="67" t="s">
        <v>446</v>
      </c>
      <c r="J202" s="68">
        <f t="shared" si="94"/>
        <v>0</v>
      </c>
      <c r="K202" s="63" t="s">
        <v>268</v>
      </c>
      <c r="L202" s="1" t="s">
        <v>46</v>
      </c>
      <c r="O202" s="88" t="s">
        <v>790</v>
      </c>
      <c r="P202" s="89">
        <v>66000</v>
      </c>
      <c r="Q202" s="90">
        <f t="shared" ref="Q202:Q233" si="108">U202+V202</f>
        <v>0</v>
      </c>
      <c r="R202" s="71"/>
      <c r="S202" s="72">
        <f t="shared" si="84"/>
        <v>0</v>
      </c>
      <c r="T202" s="68"/>
      <c r="U202" s="73">
        <f t="shared" si="85"/>
        <v>0</v>
      </c>
      <c r="V202" s="73"/>
      <c r="W202" s="2">
        <f t="shared" si="95"/>
        <v>-66000</v>
      </c>
      <c r="Y202" s="81">
        <f t="shared" si="96"/>
        <v>0</v>
      </c>
      <c r="Z202" s="96">
        <v>0</v>
      </c>
      <c r="AA202" s="97">
        <f>U202-Z202</f>
        <v>0</v>
      </c>
      <c r="AB202" s="98" t="e">
        <f>AA202/Z202</f>
        <v>#DIV/0!</v>
      </c>
      <c r="AE202" s="2">
        <v>89000</v>
      </c>
      <c r="AF202" s="28">
        <f t="shared" si="92"/>
        <v>0</v>
      </c>
      <c r="AG202" s="55" t="s">
        <v>125</v>
      </c>
      <c r="AI202" s="20" t="s">
        <v>45</v>
      </c>
      <c r="AJ202" s="2">
        <f t="shared" si="97"/>
        <v>0</v>
      </c>
      <c r="AN202" s="29" t="e">
        <f t="shared" si="98"/>
        <v>#DIV/0!</v>
      </c>
      <c r="AP202" s="3" t="s">
        <v>29</v>
      </c>
      <c r="AQ202" s="1" t="s">
        <v>153</v>
      </c>
      <c r="AR202" s="31">
        <f t="shared" si="99"/>
        <v>0</v>
      </c>
      <c r="AS202" s="31">
        <f t="shared" si="100"/>
        <v>0</v>
      </c>
      <c r="AT202" s="31">
        <f t="shared" si="91"/>
        <v>0</v>
      </c>
      <c r="AU202" s="31">
        <f t="shared" si="101"/>
        <v>0</v>
      </c>
      <c r="AV202" s="31">
        <f t="shared" si="102"/>
        <v>0</v>
      </c>
      <c r="AW202" s="31">
        <f t="shared" si="103"/>
        <v>0</v>
      </c>
      <c r="AX202" s="31">
        <f t="shared" si="104"/>
        <v>0</v>
      </c>
      <c r="AY202" s="31">
        <f t="shared" si="105"/>
        <v>0</v>
      </c>
      <c r="AZ202" s="31">
        <f t="shared" si="106"/>
        <v>0</v>
      </c>
      <c r="BA202" s="31">
        <f t="shared" si="107"/>
        <v>0</v>
      </c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41"/>
      <c r="BM202" s="41"/>
      <c r="BN202" s="41"/>
      <c r="BO202" s="37"/>
      <c r="BP202" s="38"/>
      <c r="BQ202" s="37"/>
      <c r="BR202" s="40"/>
      <c r="BS202" s="39"/>
      <c r="BT202" s="39"/>
      <c r="BU202" s="39"/>
      <c r="BV202" s="39"/>
      <c r="BW202" s="39"/>
      <c r="BX202" s="36"/>
      <c r="BY202" s="33"/>
      <c r="BZ202" s="33"/>
      <c r="CA202" s="33"/>
      <c r="CB202" s="34"/>
      <c r="CC202" s="33"/>
      <c r="CD202" s="35"/>
      <c r="CE202" s="48"/>
      <c r="CF202" s="48"/>
      <c r="CG202" s="48"/>
      <c r="CH202" s="48"/>
      <c r="CI202" s="48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35"/>
      <c r="CW202" s="35"/>
      <c r="CX202" s="35"/>
      <c r="CY202" s="35"/>
      <c r="CZ202" s="35"/>
      <c r="DA202" s="35"/>
      <c r="DB202" s="35"/>
      <c r="DC202" s="35"/>
      <c r="DD202" s="40"/>
      <c r="DE202" s="40"/>
      <c r="DF202" s="40"/>
      <c r="DG202" s="40"/>
      <c r="DH202" s="40"/>
      <c r="DI202" s="40"/>
      <c r="DJ202" s="40"/>
      <c r="DK202" s="40"/>
      <c r="DL202" s="35"/>
      <c r="DM202" s="35"/>
      <c r="DN202" s="35"/>
      <c r="DO202" s="35"/>
      <c r="DP202" s="35"/>
      <c r="DQ202" s="35"/>
      <c r="DR202" s="35"/>
      <c r="DS202" s="35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40"/>
      <c r="ES202" s="40"/>
      <c r="ET202" s="40"/>
      <c r="EU202" s="40"/>
      <c r="EV202" s="40"/>
      <c r="EW202" s="40"/>
      <c r="EX202" s="40"/>
      <c r="EY202" s="40"/>
      <c r="EZ202" s="35"/>
      <c r="FA202" s="35"/>
      <c r="FB202" s="35"/>
      <c r="FC202" s="35"/>
      <c r="FD202" s="35"/>
      <c r="FE202" s="35"/>
      <c r="FF202" s="35"/>
      <c r="FG202" s="35"/>
    </row>
    <row r="203" spans="1:163">
      <c r="A203" s="62">
        <v>315</v>
      </c>
      <c r="E203" s="63" t="s">
        <v>76</v>
      </c>
      <c r="F203" s="56" t="s">
        <v>74</v>
      </c>
      <c r="G203" s="69" t="s">
        <v>687</v>
      </c>
      <c r="H203" s="66" t="str">
        <f t="shared" si="93"/>
        <v xml:space="preserve"> 430</v>
      </c>
      <c r="I203" s="67" t="s">
        <v>687</v>
      </c>
      <c r="J203" s="68">
        <f t="shared" si="94"/>
        <v>0</v>
      </c>
      <c r="K203" s="63" t="s">
        <v>358</v>
      </c>
      <c r="L203" s="1" t="s">
        <v>46</v>
      </c>
      <c r="O203" s="64" t="s">
        <v>789</v>
      </c>
      <c r="P203" s="82">
        <v>0</v>
      </c>
      <c r="Q203" s="74">
        <f t="shared" si="108"/>
        <v>63500</v>
      </c>
      <c r="R203" s="76">
        <v>63500</v>
      </c>
      <c r="S203" s="72">
        <f t="shared" si="84"/>
        <v>8550</v>
      </c>
      <c r="T203" s="68" t="s">
        <v>791</v>
      </c>
      <c r="U203" s="73">
        <f t="shared" si="85"/>
        <v>54950</v>
      </c>
      <c r="V203" s="76">
        <f>2000+5500+600+200+250</f>
        <v>8550</v>
      </c>
      <c r="W203" s="2">
        <f t="shared" si="95"/>
        <v>63500</v>
      </c>
      <c r="Y203" s="80">
        <f t="shared" si="96"/>
        <v>63500</v>
      </c>
      <c r="Z203" s="93"/>
      <c r="AA203" s="93"/>
      <c r="AB203" s="94"/>
      <c r="AE203" s="2">
        <v>104000</v>
      </c>
      <c r="AF203" s="28">
        <f t="shared" si="92"/>
        <v>104000</v>
      </c>
      <c r="AG203" s="55" t="s">
        <v>125</v>
      </c>
      <c r="AI203" s="20" t="s">
        <v>45</v>
      </c>
      <c r="AJ203" s="2">
        <f t="shared" si="97"/>
        <v>40500</v>
      </c>
      <c r="AN203" s="29">
        <f t="shared" si="98"/>
        <v>0.38942307692307693</v>
      </c>
      <c r="AP203" s="3" t="s">
        <v>29</v>
      </c>
      <c r="AQ203" s="1" t="s">
        <v>185</v>
      </c>
      <c r="AR203" s="31">
        <f t="shared" si="99"/>
        <v>0</v>
      </c>
      <c r="AS203" s="31">
        <f t="shared" si="100"/>
        <v>0</v>
      </c>
      <c r="AT203" s="31">
        <f t="shared" si="91"/>
        <v>0</v>
      </c>
      <c r="AU203" s="31">
        <f t="shared" si="101"/>
        <v>0</v>
      </c>
      <c r="AV203" s="31">
        <f t="shared" si="102"/>
        <v>0</v>
      </c>
      <c r="AW203" s="31">
        <f t="shared" si="103"/>
        <v>0</v>
      </c>
      <c r="AX203" s="31">
        <f t="shared" si="104"/>
        <v>0</v>
      </c>
      <c r="AY203" s="31">
        <f t="shared" si="105"/>
        <v>0</v>
      </c>
      <c r="AZ203" s="31">
        <f t="shared" si="106"/>
        <v>0</v>
      </c>
      <c r="BA203" s="31">
        <f t="shared" si="107"/>
        <v>0</v>
      </c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41"/>
      <c r="BM203" s="41"/>
      <c r="BN203" s="41"/>
      <c r="BO203" s="37"/>
      <c r="BP203" s="38"/>
      <c r="BQ203" s="37"/>
      <c r="BR203" s="40"/>
      <c r="BS203" s="39"/>
      <c r="BT203" s="39"/>
      <c r="BU203" s="39"/>
      <c r="BV203" s="39"/>
      <c r="BW203" s="39"/>
      <c r="BX203" s="36"/>
      <c r="BY203" s="33"/>
      <c r="BZ203" s="33"/>
      <c r="CA203" s="33"/>
      <c r="CB203" s="34"/>
      <c r="CC203" s="33"/>
      <c r="CD203" s="35"/>
      <c r="CE203" s="48"/>
      <c r="CF203" s="48"/>
      <c r="CG203" s="48"/>
      <c r="CH203" s="48"/>
      <c r="CI203" s="48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35"/>
      <c r="CW203" s="35"/>
      <c r="CX203" s="35"/>
      <c r="CY203" s="35"/>
      <c r="CZ203" s="35"/>
      <c r="DA203" s="35"/>
      <c r="DB203" s="35"/>
      <c r="DC203" s="35"/>
      <c r="DD203" s="40"/>
      <c r="DE203" s="40"/>
      <c r="DF203" s="40"/>
      <c r="DG203" s="40"/>
      <c r="DH203" s="40"/>
      <c r="DI203" s="40"/>
      <c r="DJ203" s="40"/>
      <c r="DK203" s="40"/>
      <c r="DL203" s="35"/>
      <c r="DM203" s="35"/>
      <c r="DN203" s="35"/>
      <c r="DO203" s="35"/>
      <c r="DP203" s="35"/>
      <c r="DQ203" s="35"/>
      <c r="DR203" s="35"/>
      <c r="DS203" s="35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40"/>
      <c r="ES203" s="40"/>
      <c r="ET203" s="40"/>
      <c r="EU203" s="40"/>
      <c r="EV203" s="40"/>
      <c r="EW203" s="40"/>
      <c r="EX203" s="40"/>
      <c r="EY203" s="40"/>
      <c r="EZ203" s="35"/>
      <c r="FA203" s="35"/>
      <c r="FB203" s="35"/>
      <c r="FC203" s="35"/>
      <c r="FD203" s="35"/>
      <c r="FE203" s="35"/>
      <c r="FF203" s="35"/>
      <c r="FG203" s="35"/>
    </row>
    <row r="204" spans="1:163">
      <c r="A204" s="62">
        <v>267</v>
      </c>
      <c r="E204" s="63" t="s">
        <v>218</v>
      </c>
      <c r="F204" s="56" t="s">
        <v>95</v>
      </c>
      <c r="G204" s="70" t="s">
        <v>641</v>
      </c>
      <c r="H204" s="66" t="str">
        <f t="shared" si="93"/>
        <v xml:space="preserve"> 873</v>
      </c>
      <c r="I204" s="67" t="s">
        <v>641</v>
      </c>
      <c r="J204" s="68">
        <f t="shared" si="94"/>
        <v>0</v>
      </c>
      <c r="K204" s="63" t="s">
        <v>346</v>
      </c>
      <c r="L204" s="1" t="s">
        <v>46</v>
      </c>
      <c r="O204" s="64" t="s">
        <v>789</v>
      </c>
      <c r="P204" s="82">
        <v>0</v>
      </c>
      <c r="Q204" s="74">
        <f t="shared" si="108"/>
        <v>83000</v>
      </c>
      <c r="R204" s="71">
        <v>83000</v>
      </c>
      <c r="S204" s="72">
        <f t="shared" si="84"/>
        <v>9550</v>
      </c>
      <c r="T204" s="68"/>
      <c r="U204" s="73">
        <f t="shared" si="85"/>
        <v>73450</v>
      </c>
      <c r="V204" s="73">
        <v>9550</v>
      </c>
      <c r="W204" s="2">
        <f t="shared" si="95"/>
        <v>83000</v>
      </c>
      <c r="Y204" s="80">
        <f t="shared" si="96"/>
        <v>83000</v>
      </c>
      <c r="Z204" s="93"/>
      <c r="AA204" s="93"/>
      <c r="AB204" s="94"/>
      <c r="AE204" s="2">
        <v>119000</v>
      </c>
      <c r="AF204" s="28">
        <f t="shared" si="92"/>
        <v>119000</v>
      </c>
      <c r="AG204" s="55" t="s">
        <v>125</v>
      </c>
      <c r="AI204" s="20" t="s">
        <v>45</v>
      </c>
      <c r="AJ204" s="2">
        <f t="shared" si="97"/>
        <v>36000</v>
      </c>
      <c r="AN204" s="29">
        <f t="shared" si="98"/>
        <v>0.30252100840336132</v>
      </c>
      <c r="AP204" s="3" t="s">
        <v>29</v>
      </c>
      <c r="AQ204" s="1" t="s">
        <v>190</v>
      </c>
      <c r="AR204" s="31">
        <f t="shared" si="99"/>
        <v>0</v>
      </c>
      <c r="AS204" s="31">
        <f t="shared" si="100"/>
        <v>0</v>
      </c>
      <c r="AT204" s="31">
        <f t="shared" si="91"/>
        <v>0</v>
      </c>
      <c r="AU204" s="31">
        <f t="shared" si="101"/>
        <v>0</v>
      </c>
      <c r="AV204" s="31">
        <f t="shared" si="102"/>
        <v>0</v>
      </c>
      <c r="AW204" s="31">
        <f t="shared" si="103"/>
        <v>0</v>
      </c>
      <c r="AX204" s="31">
        <f t="shared" si="104"/>
        <v>0</v>
      </c>
      <c r="AY204" s="31">
        <f t="shared" si="105"/>
        <v>0</v>
      </c>
      <c r="AZ204" s="31">
        <f t="shared" si="106"/>
        <v>0</v>
      </c>
      <c r="BA204" s="31">
        <f t="shared" si="107"/>
        <v>0</v>
      </c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35"/>
      <c r="CW204" s="35"/>
      <c r="CX204" s="35"/>
      <c r="CY204" s="35"/>
      <c r="CZ204" s="35"/>
      <c r="DA204" s="35"/>
      <c r="DB204" s="35"/>
      <c r="DC204" s="35"/>
      <c r="DD204" s="40"/>
      <c r="DE204" s="40"/>
      <c r="DF204" s="40"/>
      <c r="DG204" s="40"/>
      <c r="DH204" s="40"/>
      <c r="DI204" s="40"/>
      <c r="DJ204" s="40"/>
      <c r="DK204" s="40"/>
      <c r="DL204" s="35"/>
      <c r="DM204" s="35"/>
      <c r="DN204" s="35"/>
      <c r="DO204" s="35"/>
      <c r="DP204" s="35"/>
      <c r="DQ204" s="35"/>
      <c r="DR204" s="35"/>
      <c r="DS204" s="35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40"/>
      <c r="ES204" s="40"/>
      <c r="ET204" s="40"/>
      <c r="EU204" s="40"/>
      <c r="EV204" s="40"/>
      <c r="EW204" s="40"/>
      <c r="EX204" s="40"/>
      <c r="EY204" s="40"/>
      <c r="EZ204" s="35"/>
      <c r="FA204" s="35"/>
      <c r="FB204" s="35"/>
      <c r="FC204" s="35"/>
      <c r="FD204" s="35"/>
      <c r="FE204" s="35"/>
      <c r="FF204" s="35"/>
      <c r="FG204" s="35"/>
    </row>
    <row r="205" spans="1:163">
      <c r="A205" s="62">
        <v>233</v>
      </c>
      <c r="E205" s="63" t="s">
        <v>218</v>
      </c>
      <c r="F205" s="56" t="s">
        <v>94</v>
      </c>
      <c r="G205" s="70" t="s">
        <v>609</v>
      </c>
      <c r="H205" s="66" t="str">
        <f t="shared" si="93"/>
        <v xml:space="preserve"> 557</v>
      </c>
      <c r="I205" s="67" t="s">
        <v>609</v>
      </c>
      <c r="J205" s="68">
        <f t="shared" si="94"/>
        <v>0</v>
      </c>
      <c r="K205" s="63" t="s">
        <v>332</v>
      </c>
      <c r="L205" s="1" t="s">
        <v>46</v>
      </c>
      <c r="O205" s="64" t="s">
        <v>789</v>
      </c>
      <c r="P205" s="82">
        <v>0</v>
      </c>
      <c r="Q205" s="74">
        <f t="shared" si="108"/>
        <v>83000</v>
      </c>
      <c r="R205" s="73">
        <v>83000</v>
      </c>
      <c r="S205" s="72">
        <f t="shared" si="84"/>
        <v>9550</v>
      </c>
      <c r="T205" s="68" t="s">
        <v>791</v>
      </c>
      <c r="U205" s="73">
        <f t="shared" si="85"/>
        <v>73450</v>
      </c>
      <c r="V205" s="73">
        <f>2000+5500+600+200+250+1000</f>
        <v>9550</v>
      </c>
      <c r="W205" s="2">
        <f t="shared" si="95"/>
        <v>83000</v>
      </c>
      <c r="Y205" s="80">
        <f t="shared" si="96"/>
        <v>83000</v>
      </c>
      <c r="Z205" s="93"/>
      <c r="AA205" s="93"/>
      <c r="AB205" s="94"/>
      <c r="AE205" s="2">
        <v>226000</v>
      </c>
      <c r="AF205" s="28">
        <f t="shared" si="92"/>
        <v>226000</v>
      </c>
      <c r="AG205" s="55" t="s">
        <v>125</v>
      </c>
      <c r="AI205" s="20" t="s">
        <v>45</v>
      </c>
      <c r="AJ205" s="2">
        <f t="shared" si="97"/>
        <v>143000</v>
      </c>
      <c r="AN205" s="29">
        <f t="shared" si="98"/>
        <v>0.63274336283185839</v>
      </c>
      <c r="AP205" s="3" t="s">
        <v>158</v>
      </c>
      <c r="AR205" s="31">
        <f t="shared" si="99"/>
        <v>0</v>
      </c>
      <c r="AS205" s="31">
        <f t="shared" si="100"/>
        <v>0</v>
      </c>
      <c r="AT205" s="31">
        <f t="shared" si="91"/>
        <v>0</v>
      </c>
      <c r="AU205" s="31">
        <f t="shared" si="101"/>
        <v>0</v>
      </c>
      <c r="AV205" s="31">
        <f t="shared" si="102"/>
        <v>0</v>
      </c>
      <c r="AW205" s="31">
        <f t="shared" si="103"/>
        <v>0</v>
      </c>
      <c r="AX205" s="31">
        <f t="shared" si="104"/>
        <v>0</v>
      </c>
      <c r="AY205" s="31">
        <f t="shared" si="105"/>
        <v>0</v>
      </c>
      <c r="AZ205" s="31">
        <f t="shared" si="106"/>
        <v>0</v>
      </c>
      <c r="BA205" s="31">
        <f t="shared" si="107"/>
        <v>0</v>
      </c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41"/>
      <c r="BM205" s="41"/>
      <c r="BN205" s="41"/>
      <c r="BO205" s="37"/>
      <c r="BP205" s="38"/>
      <c r="BQ205" s="37"/>
      <c r="BR205" s="40"/>
      <c r="BS205" s="39"/>
      <c r="BT205" s="39"/>
      <c r="BU205" s="39"/>
      <c r="BV205" s="39"/>
      <c r="BW205" s="39"/>
      <c r="BX205" s="36"/>
      <c r="BY205" s="33"/>
      <c r="BZ205" s="33"/>
      <c r="CA205" s="33"/>
      <c r="CB205" s="34"/>
      <c r="CC205" s="33"/>
      <c r="CD205" s="35"/>
      <c r="CE205" s="48"/>
      <c r="CF205" s="48"/>
      <c r="CG205" s="48"/>
      <c r="CH205" s="48"/>
      <c r="CI205" s="48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35"/>
      <c r="CW205" s="35"/>
      <c r="CX205" s="35"/>
      <c r="CY205" s="35"/>
      <c r="CZ205" s="35"/>
      <c r="DA205" s="35"/>
      <c r="DB205" s="35"/>
      <c r="DC205" s="35"/>
      <c r="DD205" s="40"/>
      <c r="DE205" s="40"/>
      <c r="DF205" s="40"/>
      <c r="DG205" s="40"/>
      <c r="DH205" s="40"/>
      <c r="DI205" s="40"/>
      <c r="DJ205" s="40"/>
      <c r="DK205" s="40"/>
      <c r="DL205" s="35"/>
      <c r="DM205" s="35"/>
      <c r="DN205" s="35"/>
      <c r="DO205" s="35"/>
      <c r="DP205" s="35"/>
      <c r="DQ205" s="35"/>
      <c r="DR205" s="35"/>
      <c r="DS205" s="35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40"/>
      <c r="ES205" s="40"/>
      <c r="ET205" s="40"/>
      <c r="EU205" s="40"/>
      <c r="EV205" s="40"/>
      <c r="EW205" s="40"/>
      <c r="EX205" s="40"/>
      <c r="EY205" s="40"/>
      <c r="EZ205" s="35"/>
      <c r="FA205" s="35"/>
      <c r="FB205" s="35"/>
      <c r="FC205" s="35"/>
      <c r="FD205" s="35"/>
      <c r="FE205" s="35"/>
      <c r="FF205" s="35"/>
      <c r="FG205" s="35"/>
    </row>
    <row r="206" spans="1:163">
      <c r="A206" s="62">
        <v>239</v>
      </c>
      <c r="E206" s="63" t="s">
        <v>218</v>
      </c>
      <c r="F206" s="56" t="s">
        <v>92</v>
      </c>
      <c r="G206" s="70" t="s">
        <v>615</v>
      </c>
      <c r="H206" s="66" t="str">
        <f t="shared" si="93"/>
        <v xml:space="preserve"> 332</v>
      </c>
      <c r="I206" s="67" t="s">
        <v>615</v>
      </c>
      <c r="J206" s="68">
        <f t="shared" si="94"/>
        <v>0</v>
      </c>
      <c r="K206" s="63" t="s">
        <v>332</v>
      </c>
      <c r="L206" s="1" t="s">
        <v>46</v>
      </c>
      <c r="O206" s="64" t="s">
        <v>789</v>
      </c>
      <c r="P206" s="82">
        <v>0</v>
      </c>
      <c r="Q206" s="74">
        <f t="shared" si="108"/>
        <v>83500</v>
      </c>
      <c r="R206" s="71">
        <v>83500</v>
      </c>
      <c r="S206" s="72">
        <f t="shared" si="84"/>
        <v>9550</v>
      </c>
      <c r="T206" s="68"/>
      <c r="U206" s="73">
        <f t="shared" si="85"/>
        <v>73950</v>
      </c>
      <c r="V206" s="73">
        <f>2000+5500+600+200+250+1000</f>
        <v>9550</v>
      </c>
      <c r="W206" s="2">
        <f t="shared" si="95"/>
        <v>83500</v>
      </c>
      <c r="Y206" s="80">
        <f t="shared" si="96"/>
        <v>83500</v>
      </c>
      <c r="Z206" s="93"/>
      <c r="AA206" s="93"/>
      <c r="AB206" s="94"/>
      <c r="AE206" s="2">
        <v>135000</v>
      </c>
      <c r="AF206" s="28">
        <f t="shared" si="92"/>
        <v>135000</v>
      </c>
      <c r="AG206" s="55" t="s">
        <v>125</v>
      </c>
      <c r="AI206" s="20" t="s">
        <v>45</v>
      </c>
      <c r="AJ206" s="2">
        <f t="shared" si="97"/>
        <v>51500</v>
      </c>
      <c r="AN206" s="29">
        <f t="shared" si="98"/>
        <v>0.38148148148148148</v>
      </c>
      <c r="AP206" s="3" t="s">
        <v>29</v>
      </c>
      <c r="AQ206" s="1" t="s">
        <v>190</v>
      </c>
      <c r="AR206" s="31">
        <f t="shared" si="99"/>
        <v>0</v>
      </c>
      <c r="AS206" s="31">
        <f t="shared" si="100"/>
        <v>0</v>
      </c>
      <c r="AT206" s="31">
        <f t="shared" si="91"/>
        <v>0</v>
      </c>
      <c r="AU206" s="31">
        <f t="shared" si="101"/>
        <v>0</v>
      </c>
      <c r="AV206" s="31">
        <f t="shared" si="102"/>
        <v>0</v>
      </c>
      <c r="AW206" s="31">
        <f t="shared" si="103"/>
        <v>0</v>
      </c>
      <c r="AX206" s="31">
        <f t="shared" si="104"/>
        <v>0</v>
      </c>
      <c r="AY206" s="31">
        <f t="shared" si="105"/>
        <v>0</v>
      </c>
      <c r="AZ206" s="31">
        <f t="shared" si="106"/>
        <v>0</v>
      </c>
      <c r="BA206" s="31">
        <f t="shared" si="107"/>
        <v>0</v>
      </c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35"/>
      <c r="CW206" s="35"/>
      <c r="CX206" s="35"/>
      <c r="CY206" s="35"/>
      <c r="CZ206" s="35"/>
      <c r="DA206" s="35"/>
      <c r="DB206" s="35"/>
      <c r="DC206" s="35"/>
      <c r="DD206" s="40"/>
      <c r="DE206" s="40"/>
      <c r="DF206" s="40"/>
      <c r="DG206" s="40"/>
      <c r="DH206" s="40"/>
      <c r="DI206" s="40"/>
      <c r="DJ206" s="40"/>
      <c r="DK206" s="40"/>
      <c r="DL206" s="35"/>
      <c r="DM206" s="35"/>
      <c r="DN206" s="35"/>
      <c r="DO206" s="35"/>
      <c r="DP206" s="35"/>
      <c r="DQ206" s="35"/>
      <c r="DR206" s="35"/>
      <c r="DS206" s="35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40"/>
      <c r="ES206" s="40"/>
      <c r="ET206" s="40"/>
      <c r="EU206" s="40"/>
      <c r="EV206" s="40"/>
      <c r="EW206" s="40"/>
      <c r="EX206" s="40"/>
      <c r="EY206" s="40"/>
      <c r="EZ206" s="35"/>
      <c r="FA206" s="35"/>
      <c r="FB206" s="35"/>
      <c r="FC206" s="35"/>
      <c r="FD206" s="35"/>
      <c r="FE206" s="35"/>
      <c r="FF206" s="35"/>
      <c r="FG206" s="35"/>
    </row>
    <row r="207" spans="1:163">
      <c r="A207" s="62">
        <v>254</v>
      </c>
      <c r="E207" s="63" t="s">
        <v>219</v>
      </c>
      <c r="F207" s="56" t="s">
        <v>52</v>
      </c>
      <c r="G207" s="70" t="s">
        <v>628</v>
      </c>
      <c r="H207" s="66" t="str">
        <f t="shared" si="93"/>
        <v xml:space="preserve"> 865</v>
      </c>
      <c r="I207" s="67" t="s">
        <v>628</v>
      </c>
      <c r="J207" s="68">
        <f t="shared" si="94"/>
        <v>0</v>
      </c>
      <c r="K207" s="63" t="s">
        <v>341</v>
      </c>
      <c r="L207" s="1" t="s">
        <v>46</v>
      </c>
      <c r="O207" s="88" t="s">
        <v>790</v>
      </c>
      <c r="P207" s="89">
        <v>0</v>
      </c>
      <c r="Q207" s="90">
        <f t="shared" si="108"/>
        <v>0</v>
      </c>
      <c r="R207" s="71"/>
      <c r="S207" s="72">
        <f t="shared" si="84"/>
        <v>0</v>
      </c>
      <c r="T207" s="68"/>
      <c r="U207" s="73">
        <f t="shared" si="85"/>
        <v>0</v>
      </c>
      <c r="V207" s="75"/>
      <c r="W207" s="2">
        <f t="shared" si="95"/>
        <v>0</v>
      </c>
      <c r="Y207" s="81">
        <f t="shared" si="96"/>
        <v>0</v>
      </c>
      <c r="Z207" s="96">
        <v>0</v>
      </c>
      <c r="AA207" s="97">
        <f>U207-Z207</f>
        <v>0</v>
      </c>
      <c r="AB207" s="98" t="e">
        <f>AA207/Z207</f>
        <v>#DIV/0!</v>
      </c>
      <c r="AE207" s="2">
        <v>250000</v>
      </c>
      <c r="AF207" s="28">
        <f t="shared" si="92"/>
        <v>0</v>
      </c>
      <c r="AG207" s="55" t="s">
        <v>125</v>
      </c>
      <c r="AI207" s="20" t="s">
        <v>204</v>
      </c>
      <c r="AJ207" s="2">
        <f t="shared" si="97"/>
        <v>0</v>
      </c>
      <c r="AN207" s="29" t="e">
        <f t="shared" si="98"/>
        <v>#DIV/0!</v>
      </c>
      <c r="AP207" s="3" t="s">
        <v>158</v>
      </c>
      <c r="AR207" s="31">
        <f t="shared" si="99"/>
        <v>-232550</v>
      </c>
      <c r="AS207" s="31">
        <f t="shared" si="100"/>
        <v>-259200</v>
      </c>
      <c r="AT207" s="31">
        <f t="shared" si="91"/>
        <v>0</v>
      </c>
      <c r="AU207" s="31">
        <f t="shared" si="101"/>
        <v>0</v>
      </c>
      <c r="AV207" s="31">
        <f t="shared" si="102"/>
        <v>0</v>
      </c>
      <c r="AW207" s="31">
        <f t="shared" si="103"/>
        <v>0</v>
      </c>
      <c r="AX207" s="31">
        <f t="shared" si="104"/>
        <v>0</v>
      </c>
      <c r="AY207" s="31">
        <f t="shared" si="105"/>
        <v>0</v>
      </c>
      <c r="AZ207" s="31">
        <f t="shared" si="106"/>
        <v>0</v>
      </c>
      <c r="BA207" s="31">
        <f t="shared" si="107"/>
        <v>0</v>
      </c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41">
        <v>224550</v>
      </c>
      <c r="BM207" s="41">
        <v>8000</v>
      </c>
      <c r="BN207" s="41">
        <f>BL207+BM207</f>
        <v>232550</v>
      </c>
      <c r="BO207" s="41">
        <f>BN207-Y207</f>
        <v>232550</v>
      </c>
      <c r="BP207" s="41">
        <f>BO207/BL207</f>
        <v>1.0356268091739034</v>
      </c>
      <c r="BQ207" s="41">
        <f>AF207-BN207</f>
        <v>-232550</v>
      </c>
      <c r="BR207" s="39"/>
      <c r="BS207" s="39"/>
      <c r="BT207" s="39"/>
      <c r="BU207" s="39"/>
      <c r="BV207" s="39"/>
      <c r="BW207" s="39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36">
        <v>259200</v>
      </c>
      <c r="CW207" s="36">
        <f>CV207-Y207</f>
        <v>259200</v>
      </c>
      <c r="CX207" s="52">
        <f>CW207/CV207</f>
        <v>1</v>
      </c>
      <c r="CY207" s="36">
        <f>AF207-CV207</f>
        <v>-259200</v>
      </c>
      <c r="CZ207" s="35" t="s">
        <v>101</v>
      </c>
      <c r="DA207" s="35"/>
      <c r="DB207" s="35"/>
      <c r="DC207" s="35"/>
      <c r="DD207" s="40"/>
      <c r="DE207" s="40"/>
      <c r="DF207" s="40"/>
      <c r="DG207" s="40"/>
      <c r="DH207" s="40"/>
      <c r="DI207" s="40"/>
      <c r="DJ207" s="40"/>
      <c r="DK207" s="40"/>
      <c r="DL207" s="35"/>
      <c r="DM207" s="35"/>
      <c r="DN207" s="35"/>
      <c r="DO207" s="35"/>
      <c r="DP207" s="35"/>
      <c r="DQ207" s="35"/>
      <c r="DR207" s="35"/>
      <c r="DS207" s="35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40"/>
      <c r="ES207" s="40"/>
      <c r="ET207" s="40"/>
      <c r="EU207" s="40"/>
      <c r="EV207" s="40"/>
      <c r="EW207" s="40"/>
      <c r="EX207" s="40"/>
      <c r="EY207" s="40"/>
      <c r="EZ207" s="35"/>
      <c r="FA207" s="35"/>
      <c r="FB207" s="35"/>
      <c r="FC207" s="35"/>
      <c r="FD207" s="35"/>
      <c r="FE207" s="35"/>
      <c r="FF207" s="35"/>
      <c r="FG207" s="35"/>
    </row>
    <row r="208" spans="1:163">
      <c r="A208" s="62">
        <v>297</v>
      </c>
      <c r="E208" s="63" t="s">
        <v>214</v>
      </c>
      <c r="F208" s="56" t="s">
        <v>95</v>
      </c>
      <c r="G208" s="70" t="s">
        <v>671</v>
      </c>
      <c r="H208" s="66" t="str">
        <f t="shared" si="93"/>
        <v xml:space="preserve"> 707</v>
      </c>
      <c r="I208" s="67" t="s">
        <v>671</v>
      </c>
      <c r="J208" s="68">
        <f t="shared" si="94"/>
        <v>0</v>
      </c>
      <c r="K208" s="63" t="s">
        <v>352</v>
      </c>
      <c r="L208" s="1" t="s">
        <v>46</v>
      </c>
      <c r="O208" s="88" t="s">
        <v>790</v>
      </c>
      <c r="P208" s="89">
        <v>0</v>
      </c>
      <c r="Q208" s="90">
        <f t="shared" si="108"/>
        <v>0</v>
      </c>
      <c r="R208" s="71"/>
      <c r="S208" s="72">
        <f t="shared" si="84"/>
        <v>0</v>
      </c>
      <c r="T208" s="68"/>
      <c r="U208" s="73">
        <f t="shared" si="85"/>
        <v>0</v>
      </c>
      <c r="V208" s="73"/>
      <c r="W208" s="2">
        <f t="shared" si="95"/>
        <v>0</v>
      </c>
      <c r="Y208" s="81">
        <f t="shared" si="96"/>
        <v>0</v>
      </c>
      <c r="Z208" s="96">
        <v>0</v>
      </c>
      <c r="AA208" s="97">
        <f>U208-Z208</f>
        <v>0</v>
      </c>
      <c r="AB208" s="98" t="e">
        <f>AA208/Z208</f>
        <v>#DIV/0!</v>
      </c>
      <c r="AE208" s="2">
        <v>124000</v>
      </c>
      <c r="AF208" s="28">
        <f t="shared" si="92"/>
        <v>0</v>
      </c>
      <c r="AG208" s="55" t="s">
        <v>125</v>
      </c>
      <c r="AI208" s="20" t="s">
        <v>45</v>
      </c>
      <c r="AJ208" s="2">
        <f t="shared" si="97"/>
        <v>0</v>
      </c>
      <c r="AN208" s="29" t="e">
        <f t="shared" si="98"/>
        <v>#DIV/0!</v>
      </c>
      <c r="AP208" s="3" t="s">
        <v>29</v>
      </c>
      <c r="AQ208" s="1" t="s">
        <v>190</v>
      </c>
      <c r="AR208" s="31">
        <f t="shared" si="99"/>
        <v>0</v>
      </c>
      <c r="AS208" s="31">
        <f t="shared" si="100"/>
        <v>0</v>
      </c>
      <c r="AT208" s="31">
        <f t="shared" si="91"/>
        <v>0</v>
      </c>
      <c r="AU208" s="31">
        <f t="shared" si="101"/>
        <v>0</v>
      </c>
      <c r="AV208" s="31">
        <f t="shared" si="102"/>
        <v>0</v>
      </c>
      <c r="AW208" s="31">
        <f t="shared" si="103"/>
        <v>0</v>
      </c>
      <c r="AX208" s="31">
        <f t="shared" si="104"/>
        <v>0</v>
      </c>
      <c r="AY208" s="31">
        <f t="shared" si="105"/>
        <v>0</v>
      </c>
      <c r="AZ208" s="31">
        <f t="shared" si="106"/>
        <v>0</v>
      </c>
      <c r="BA208" s="31">
        <f t="shared" si="107"/>
        <v>0</v>
      </c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35"/>
      <c r="CW208" s="35"/>
      <c r="CX208" s="35"/>
      <c r="CY208" s="35"/>
      <c r="CZ208" s="35"/>
      <c r="DA208" s="35"/>
      <c r="DB208" s="35"/>
      <c r="DC208" s="35"/>
      <c r="DD208" s="40"/>
      <c r="DE208" s="40"/>
      <c r="DF208" s="40"/>
      <c r="DG208" s="40"/>
      <c r="DH208" s="40"/>
      <c r="DI208" s="40"/>
      <c r="DJ208" s="40"/>
      <c r="DK208" s="40"/>
      <c r="DL208" s="35"/>
      <c r="DM208" s="35"/>
      <c r="DN208" s="35"/>
      <c r="DO208" s="35"/>
      <c r="DP208" s="35"/>
      <c r="DQ208" s="35"/>
      <c r="DR208" s="35"/>
      <c r="DS208" s="35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40"/>
      <c r="ES208" s="40"/>
      <c r="ET208" s="40"/>
      <c r="EU208" s="40"/>
      <c r="EV208" s="40"/>
      <c r="EW208" s="40"/>
      <c r="EX208" s="40"/>
      <c r="EY208" s="40"/>
      <c r="EZ208" s="35"/>
      <c r="FA208" s="35"/>
      <c r="FB208" s="35"/>
      <c r="FC208" s="35"/>
      <c r="FD208" s="35"/>
      <c r="FE208" s="35"/>
      <c r="FF208" s="35"/>
      <c r="FG208" s="35"/>
    </row>
    <row r="209" spans="1:163">
      <c r="A209" s="62">
        <v>241</v>
      </c>
      <c r="E209" s="63" t="s">
        <v>219</v>
      </c>
      <c r="F209" s="56" t="s">
        <v>92</v>
      </c>
      <c r="G209" s="65" t="s">
        <v>617</v>
      </c>
      <c r="H209" s="66" t="str">
        <f t="shared" si="93"/>
        <v xml:space="preserve"> 349</v>
      </c>
      <c r="I209" s="67" t="s">
        <v>617</v>
      </c>
      <c r="J209" s="68">
        <f t="shared" si="94"/>
        <v>0</v>
      </c>
      <c r="K209" s="63" t="s">
        <v>285</v>
      </c>
      <c r="L209" s="1" t="s">
        <v>46</v>
      </c>
      <c r="O209" s="64" t="s">
        <v>789</v>
      </c>
      <c r="P209" s="82">
        <v>0</v>
      </c>
      <c r="Q209" s="74">
        <f t="shared" si="108"/>
        <v>93000</v>
      </c>
      <c r="R209" s="71">
        <v>93000</v>
      </c>
      <c r="S209" s="72">
        <f t="shared" si="84"/>
        <v>9950</v>
      </c>
      <c r="T209" s="68" t="s">
        <v>791</v>
      </c>
      <c r="U209" s="73">
        <f t="shared" si="85"/>
        <v>83050</v>
      </c>
      <c r="V209" s="73">
        <f>2000+6200+600+200+250+700</f>
        <v>9950</v>
      </c>
      <c r="W209" s="2">
        <f t="shared" si="95"/>
        <v>93000</v>
      </c>
      <c r="Y209" s="80">
        <f t="shared" si="96"/>
        <v>93000</v>
      </c>
      <c r="Z209" s="93"/>
      <c r="AA209" s="93"/>
      <c r="AB209" s="94"/>
      <c r="AE209" s="2">
        <v>135000</v>
      </c>
      <c r="AF209" s="28">
        <f t="shared" si="92"/>
        <v>135000</v>
      </c>
      <c r="AG209" s="55" t="s">
        <v>125</v>
      </c>
      <c r="AI209" s="20" t="s">
        <v>45</v>
      </c>
      <c r="AJ209" s="2">
        <f t="shared" si="97"/>
        <v>42000</v>
      </c>
      <c r="AN209" s="29">
        <f t="shared" si="98"/>
        <v>0.31111111111111112</v>
      </c>
      <c r="AP209" s="3" t="s">
        <v>29</v>
      </c>
      <c r="AQ209" s="1" t="s">
        <v>190</v>
      </c>
      <c r="AR209" s="31">
        <f t="shared" si="99"/>
        <v>0</v>
      </c>
      <c r="AS209" s="31">
        <f t="shared" si="100"/>
        <v>0</v>
      </c>
      <c r="AT209" s="31">
        <f t="shared" si="91"/>
        <v>0</v>
      </c>
      <c r="AU209" s="31">
        <f t="shared" si="101"/>
        <v>0</v>
      </c>
      <c r="AV209" s="31">
        <f t="shared" si="102"/>
        <v>0</v>
      </c>
      <c r="AW209" s="31">
        <f t="shared" si="103"/>
        <v>0</v>
      </c>
      <c r="AX209" s="31">
        <f t="shared" si="104"/>
        <v>0</v>
      </c>
      <c r="AY209" s="31">
        <f t="shared" si="105"/>
        <v>0</v>
      </c>
      <c r="AZ209" s="31">
        <f t="shared" si="106"/>
        <v>0</v>
      </c>
      <c r="BA209" s="31">
        <f t="shared" si="107"/>
        <v>0</v>
      </c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35"/>
      <c r="CW209" s="35"/>
      <c r="CX209" s="35"/>
      <c r="CY209" s="35"/>
      <c r="CZ209" s="35"/>
      <c r="DA209" s="35"/>
      <c r="DB209" s="35"/>
      <c r="DC209" s="35"/>
      <c r="DD209" s="40"/>
      <c r="DE209" s="40"/>
      <c r="DF209" s="40"/>
      <c r="DG209" s="40"/>
      <c r="DH209" s="40"/>
      <c r="DI209" s="40"/>
      <c r="DJ209" s="40"/>
      <c r="DK209" s="40"/>
      <c r="DL209" s="35"/>
      <c r="DM209" s="35"/>
      <c r="DN209" s="35"/>
      <c r="DO209" s="35"/>
      <c r="DP209" s="35"/>
      <c r="DQ209" s="35"/>
      <c r="DR209" s="35"/>
      <c r="DS209" s="35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40"/>
      <c r="ES209" s="40"/>
      <c r="ET209" s="40"/>
      <c r="EU209" s="40"/>
      <c r="EV209" s="40"/>
      <c r="EW209" s="40"/>
      <c r="EX209" s="40"/>
      <c r="EY209" s="40"/>
      <c r="EZ209" s="35"/>
      <c r="FA209" s="35"/>
      <c r="FB209" s="35"/>
      <c r="FC209" s="35"/>
      <c r="FD209" s="35"/>
      <c r="FE209" s="35"/>
      <c r="FF209" s="35"/>
      <c r="FG209" s="35"/>
    </row>
    <row r="210" spans="1:163">
      <c r="A210" s="62">
        <v>274</v>
      </c>
      <c r="E210" s="63" t="s">
        <v>218</v>
      </c>
      <c r="F210" s="56" t="s">
        <v>95</v>
      </c>
      <c r="G210" s="65" t="s">
        <v>648</v>
      </c>
      <c r="H210" s="66" t="str">
        <f t="shared" si="93"/>
        <v xml:space="preserve"> 572</v>
      </c>
      <c r="I210" s="67" t="s">
        <v>649</v>
      </c>
      <c r="J210" s="68">
        <f t="shared" si="94"/>
        <v>1</v>
      </c>
      <c r="K210" s="63" t="s">
        <v>285</v>
      </c>
      <c r="L210" s="1" t="s">
        <v>46</v>
      </c>
      <c r="O210" s="64" t="s">
        <v>789</v>
      </c>
      <c r="P210" s="82">
        <v>0</v>
      </c>
      <c r="Q210" s="74">
        <f t="shared" si="108"/>
        <v>92500</v>
      </c>
      <c r="R210" s="71">
        <v>92500</v>
      </c>
      <c r="S210" s="72">
        <f t="shared" si="84"/>
        <v>8550</v>
      </c>
      <c r="T210" s="68" t="s">
        <v>791</v>
      </c>
      <c r="U210" s="73">
        <f t="shared" si="85"/>
        <v>83950</v>
      </c>
      <c r="V210" s="73">
        <f>2000+5500+600+200+250</f>
        <v>8550</v>
      </c>
      <c r="W210" s="2">
        <f t="shared" si="95"/>
        <v>92500</v>
      </c>
      <c r="Y210" s="80">
        <f t="shared" si="96"/>
        <v>92500</v>
      </c>
      <c r="Z210" s="93"/>
      <c r="AA210" s="93"/>
      <c r="AB210" s="94"/>
      <c r="AE210" s="2">
        <v>119000</v>
      </c>
      <c r="AF210" s="28">
        <f t="shared" si="92"/>
        <v>119000</v>
      </c>
      <c r="AG210" s="55" t="s">
        <v>125</v>
      </c>
      <c r="AI210" s="20" t="s">
        <v>45</v>
      </c>
      <c r="AJ210" s="2">
        <f t="shared" si="97"/>
        <v>26500</v>
      </c>
      <c r="AN210" s="29">
        <f t="shared" si="98"/>
        <v>0.22268907563025211</v>
      </c>
      <c r="AP210" s="3" t="s">
        <v>29</v>
      </c>
      <c r="AQ210" s="1" t="s">
        <v>190</v>
      </c>
      <c r="AR210" s="31">
        <f t="shared" si="99"/>
        <v>0</v>
      </c>
      <c r="AS210" s="31">
        <f t="shared" si="100"/>
        <v>0</v>
      </c>
      <c r="AT210" s="31">
        <f t="shared" si="91"/>
        <v>0</v>
      </c>
      <c r="AU210" s="31">
        <f t="shared" si="101"/>
        <v>0</v>
      </c>
      <c r="AV210" s="31">
        <f t="shared" si="102"/>
        <v>0</v>
      </c>
      <c r="AW210" s="31">
        <f t="shared" si="103"/>
        <v>0</v>
      </c>
      <c r="AX210" s="31">
        <f t="shared" si="104"/>
        <v>0</v>
      </c>
      <c r="AY210" s="31">
        <f t="shared" si="105"/>
        <v>0</v>
      </c>
      <c r="AZ210" s="31">
        <f t="shared" si="106"/>
        <v>0</v>
      </c>
      <c r="BA210" s="31">
        <f t="shared" si="107"/>
        <v>0</v>
      </c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35"/>
      <c r="CW210" s="35"/>
      <c r="CX210" s="35"/>
      <c r="CY210" s="35"/>
      <c r="CZ210" s="35"/>
      <c r="DA210" s="35"/>
      <c r="DB210" s="35"/>
      <c r="DC210" s="35"/>
      <c r="DD210" s="40"/>
      <c r="DE210" s="40"/>
      <c r="DF210" s="40"/>
      <c r="DG210" s="40"/>
      <c r="DH210" s="40"/>
      <c r="DI210" s="40"/>
      <c r="DJ210" s="40"/>
      <c r="DK210" s="40"/>
      <c r="DL210" s="35"/>
      <c r="DM210" s="35"/>
      <c r="DN210" s="35"/>
      <c r="DO210" s="35"/>
      <c r="DP210" s="35"/>
      <c r="DQ210" s="35"/>
      <c r="DR210" s="35"/>
      <c r="DS210" s="35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40"/>
      <c r="ES210" s="40"/>
      <c r="ET210" s="40"/>
      <c r="EU210" s="40"/>
      <c r="EV210" s="40"/>
      <c r="EW210" s="40"/>
      <c r="EX210" s="40"/>
      <c r="EY210" s="40"/>
      <c r="EZ210" s="35"/>
      <c r="FA210" s="35"/>
      <c r="FB210" s="35"/>
      <c r="FC210" s="35"/>
      <c r="FD210" s="35"/>
      <c r="FE210" s="35"/>
      <c r="FF210" s="35"/>
      <c r="FG210" s="35"/>
    </row>
    <row r="211" spans="1:163">
      <c r="A211" s="62">
        <v>292</v>
      </c>
      <c r="E211" s="63" t="s">
        <v>218</v>
      </c>
      <c r="F211" s="56" t="s">
        <v>95</v>
      </c>
      <c r="G211" s="65" t="s">
        <v>666</v>
      </c>
      <c r="H211" s="66" t="str">
        <f t="shared" si="93"/>
        <v xml:space="preserve"> 551</v>
      </c>
      <c r="I211" s="67" t="s">
        <v>666</v>
      </c>
      <c r="J211" s="68">
        <f t="shared" si="94"/>
        <v>0</v>
      </c>
      <c r="K211" s="63" t="s">
        <v>285</v>
      </c>
      <c r="L211" s="1" t="s">
        <v>46</v>
      </c>
      <c r="O211" s="64" t="s">
        <v>789</v>
      </c>
      <c r="P211" s="82">
        <v>0</v>
      </c>
      <c r="Q211" s="74">
        <f t="shared" si="108"/>
        <v>85000</v>
      </c>
      <c r="R211" s="71">
        <v>85000</v>
      </c>
      <c r="S211" s="72">
        <f t="shared" si="84"/>
        <v>8550</v>
      </c>
      <c r="T211" s="68" t="s">
        <v>791</v>
      </c>
      <c r="U211" s="73">
        <f t="shared" si="85"/>
        <v>76450</v>
      </c>
      <c r="V211" s="73">
        <f>2000+5500+600+200+250</f>
        <v>8550</v>
      </c>
      <c r="W211" s="2">
        <f t="shared" si="95"/>
        <v>85000</v>
      </c>
      <c r="Y211" s="80">
        <f t="shared" si="96"/>
        <v>85000</v>
      </c>
      <c r="Z211" s="93"/>
      <c r="AA211" s="93"/>
      <c r="AB211" s="94"/>
      <c r="AC211" s="2">
        <v>4000</v>
      </c>
      <c r="AD211" s="2">
        <f>Z211+AC211</f>
        <v>4000</v>
      </c>
      <c r="AF211" s="28">
        <f t="shared" si="92"/>
        <v>0</v>
      </c>
      <c r="AG211" s="55" t="s">
        <v>125</v>
      </c>
      <c r="AI211" s="20" t="s">
        <v>45</v>
      </c>
      <c r="AJ211" s="2">
        <f t="shared" si="97"/>
        <v>-85000</v>
      </c>
      <c r="AN211" s="29" t="e">
        <f t="shared" si="98"/>
        <v>#DIV/0!</v>
      </c>
      <c r="AO211" s="29" t="e">
        <f>AN211-AB211</f>
        <v>#DIV/0!</v>
      </c>
      <c r="AP211" s="3" t="s">
        <v>29</v>
      </c>
      <c r="AQ211" s="1" t="s">
        <v>190</v>
      </c>
      <c r="AR211" s="31">
        <f t="shared" si="99"/>
        <v>0</v>
      </c>
      <c r="AS211" s="31">
        <f t="shared" si="100"/>
        <v>0</v>
      </c>
      <c r="AT211" s="31">
        <f t="shared" si="91"/>
        <v>0</v>
      </c>
      <c r="AU211" s="31">
        <f t="shared" si="101"/>
        <v>0</v>
      </c>
      <c r="AV211" s="31">
        <f t="shared" si="102"/>
        <v>0</v>
      </c>
      <c r="AW211" s="31">
        <f t="shared" si="103"/>
        <v>0</v>
      </c>
      <c r="AX211" s="31">
        <f t="shared" si="104"/>
        <v>0</v>
      </c>
      <c r="AY211" s="31">
        <f t="shared" si="105"/>
        <v>0</v>
      </c>
      <c r="AZ211" s="31">
        <f t="shared" si="106"/>
        <v>0</v>
      </c>
      <c r="BA211" s="31">
        <f t="shared" si="107"/>
        <v>0</v>
      </c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35"/>
      <c r="CW211" s="35"/>
      <c r="CX211" s="35"/>
      <c r="CY211" s="35"/>
      <c r="CZ211" s="35"/>
      <c r="DA211" s="35"/>
      <c r="DB211" s="35"/>
      <c r="DC211" s="35"/>
      <c r="DD211" s="40"/>
      <c r="DE211" s="40"/>
      <c r="DF211" s="40"/>
      <c r="DG211" s="40"/>
      <c r="DH211" s="40"/>
      <c r="DI211" s="40"/>
      <c r="DJ211" s="40"/>
      <c r="DK211" s="40"/>
      <c r="DL211" s="35"/>
      <c r="DM211" s="35"/>
      <c r="DN211" s="35"/>
      <c r="DO211" s="35"/>
      <c r="DP211" s="35"/>
      <c r="DQ211" s="35"/>
      <c r="DR211" s="35"/>
      <c r="DS211" s="35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40"/>
      <c r="ES211" s="40"/>
      <c r="ET211" s="40"/>
      <c r="EU211" s="40"/>
      <c r="EV211" s="40"/>
      <c r="EW211" s="40"/>
      <c r="EX211" s="40"/>
      <c r="EY211" s="40"/>
      <c r="EZ211" s="35"/>
      <c r="FA211" s="35"/>
      <c r="FB211" s="35"/>
      <c r="FC211" s="35"/>
      <c r="FD211" s="35"/>
      <c r="FE211" s="35"/>
      <c r="FF211" s="35"/>
      <c r="FG211" s="35"/>
    </row>
    <row r="212" spans="1:163">
      <c r="A212" s="62">
        <v>237</v>
      </c>
      <c r="E212" s="63" t="s">
        <v>219</v>
      </c>
      <c r="F212" s="56" t="s">
        <v>92</v>
      </c>
      <c r="G212" s="65" t="s">
        <v>613</v>
      </c>
      <c r="H212" s="66" t="str">
        <f t="shared" si="93"/>
        <v xml:space="preserve"> 320</v>
      </c>
      <c r="I212" s="67" t="s">
        <v>613</v>
      </c>
      <c r="J212" s="68">
        <f t="shared" si="94"/>
        <v>0</v>
      </c>
      <c r="K212" s="63" t="s">
        <v>285</v>
      </c>
      <c r="L212" s="1" t="s">
        <v>46</v>
      </c>
      <c r="O212" s="64" t="s">
        <v>789</v>
      </c>
      <c r="P212" s="82">
        <v>0</v>
      </c>
      <c r="Q212" s="74">
        <f t="shared" si="108"/>
        <v>0</v>
      </c>
      <c r="R212" s="71"/>
      <c r="S212" s="72">
        <f t="shared" si="84"/>
        <v>0</v>
      </c>
      <c r="T212" s="68"/>
      <c r="U212" s="73">
        <f t="shared" si="85"/>
        <v>0</v>
      </c>
      <c r="V212" s="73"/>
      <c r="W212" s="2">
        <f t="shared" si="95"/>
        <v>0</v>
      </c>
      <c r="Y212" s="80">
        <f t="shared" si="96"/>
        <v>0</v>
      </c>
      <c r="Z212" s="93"/>
      <c r="AA212" s="93"/>
      <c r="AB212" s="94"/>
      <c r="AC212" s="2">
        <v>4000</v>
      </c>
      <c r="AD212" s="2">
        <f>Z212+AC212</f>
        <v>4000</v>
      </c>
      <c r="AF212" s="28">
        <f t="shared" si="92"/>
        <v>0</v>
      </c>
      <c r="AG212" s="55" t="s">
        <v>125</v>
      </c>
      <c r="AI212" s="20" t="s">
        <v>45</v>
      </c>
      <c r="AJ212" s="2">
        <f t="shared" si="97"/>
        <v>0</v>
      </c>
      <c r="AN212" s="29" t="e">
        <f t="shared" si="98"/>
        <v>#DIV/0!</v>
      </c>
      <c r="AO212" s="29" t="e">
        <f>AN212-AB212</f>
        <v>#DIV/0!</v>
      </c>
      <c r="AP212" s="3" t="s">
        <v>29</v>
      </c>
      <c r="AQ212" s="1" t="s">
        <v>190</v>
      </c>
      <c r="AR212" s="31">
        <f t="shared" si="99"/>
        <v>0</v>
      </c>
      <c r="AS212" s="31">
        <f t="shared" si="100"/>
        <v>0</v>
      </c>
      <c r="AT212" s="31">
        <f t="shared" si="91"/>
        <v>0</v>
      </c>
      <c r="AU212" s="31">
        <f t="shared" si="101"/>
        <v>0</v>
      </c>
      <c r="AV212" s="31">
        <f t="shared" si="102"/>
        <v>0</v>
      </c>
      <c r="AW212" s="31">
        <f t="shared" si="103"/>
        <v>0</v>
      </c>
      <c r="AX212" s="31">
        <f t="shared" si="104"/>
        <v>0</v>
      </c>
      <c r="AY212" s="31">
        <f t="shared" si="105"/>
        <v>0</v>
      </c>
      <c r="AZ212" s="31">
        <f t="shared" si="106"/>
        <v>0</v>
      </c>
      <c r="BA212" s="31">
        <f t="shared" si="107"/>
        <v>0</v>
      </c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35"/>
      <c r="CW212" s="35"/>
      <c r="CX212" s="35"/>
      <c r="CY212" s="35"/>
      <c r="CZ212" s="35"/>
      <c r="DA212" s="35"/>
      <c r="DB212" s="35"/>
      <c r="DC212" s="35"/>
      <c r="DD212" s="40"/>
      <c r="DE212" s="40"/>
      <c r="DF212" s="40"/>
      <c r="DG212" s="40"/>
      <c r="DH212" s="40"/>
      <c r="DI212" s="40"/>
      <c r="DJ212" s="40"/>
      <c r="DK212" s="40"/>
      <c r="DL212" s="35"/>
      <c r="DM212" s="35"/>
      <c r="DN212" s="35"/>
      <c r="DO212" s="35"/>
      <c r="DP212" s="35"/>
      <c r="DQ212" s="35"/>
      <c r="DR212" s="35"/>
      <c r="DS212" s="35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40"/>
      <c r="ES212" s="40"/>
      <c r="ET212" s="40"/>
      <c r="EU212" s="40"/>
      <c r="EV212" s="40"/>
      <c r="EW212" s="40"/>
      <c r="EX212" s="40"/>
      <c r="EY212" s="40"/>
      <c r="EZ212" s="35"/>
      <c r="FA212" s="35"/>
      <c r="FB212" s="35"/>
      <c r="FC212" s="35"/>
      <c r="FD212" s="35"/>
      <c r="FE212" s="35"/>
      <c r="FF212" s="35"/>
      <c r="FG212" s="35"/>
    </row>
    <row r="213" spans="1:163">
      <c r="A213" s="62">
        <v>328</v>
      </c>
      <c r="E213" s="63" t="s">
        <v>224</v>
      </c>
      <c r="F213" s="56" t="s">
        <v>74</v>
      </c>
      <c r="G213" s="65" t="s">
        <v>699</v>
      </c>
      <c r="H213" s="66" t="str">
        <f t="shared" si="93"/>
        <v xml:space="preserve"> 682</v>
      </c>
      <c r="I213" s="67" t="s">
        <v>699</v>
      </c>
      <c r="J213" s="68">
        <f t="shared" si="94"/>
        <v>0</v>
      </c>
      <c r="K213" s="63" t="s">
        <v>285</v>
      </c>
      <c r="L213" s="1" t="s">
        <v>46</v>
      </c>
      <c r="O213" s="64" t="s">
        <v>789</v>
      </c>
      <c r="P213" s="82">
        <v>0</v>
      </c>
      <c r="Q213" s="74">
        <f t="shared" si="108"/>
        <v>72000</v>
      </c>
      <c r="R213" s="71">
        <v>72000</v>
      </c>
      <c r="S213" s="72">
        <f t="shared" si="84"/>
        <v>8550</v>
      </c>
      <c r="T213" s="68" t="s">
        <v>791</v>
      </c>
      <c r="U213" s="73">
        <f t="shared" si="85"/>
        <v>63450</v>
      </c>
      <c r="V213" s="73">
        <f>2000+5500+600+200+250</f>
        <v>8550</v>
      </c>
      <c r="W213" s="2">
        <f t="shared" si="95"/>
        <v>72000</v>
      </c>
      <c r="Y213" s="80">
        <f t="shared" si="96"/>
        <v>72000</v>
      </c>
      <c r="Z213" s="93"/>
      <c r="AA213" s="93"/>
      <c r="AB213" s="94"/>
      <c r="AE213" s="2">
        <v>92000</v>
      </c>
      <c r="AF213" s="28">
        <f t="shared" si="92"/>
        <v>92000</v>
      </c>
      <c r="AG213" s="55" t="s">
        <v>125</v>
      </c>
      <c r="AI213" s="20" t="s">
        <v>45</v>
      </c>
      <c r="AJ213" s="2">
        <f t="shared" si="97"/>
        <v>20000</v>
      </c>
      <c r="AN213" s="29">
        <f t="shared" si="98"/>
        <v>0.21739130434782608</v>
      </c>
      <c r="AP213" s="3" t="s">
        <v>29</v>
      </c>
      <c r="AQ213" s="1" t="s">
        <v>185</v>
      </c>
      <c r="AR213" s="31">
        <f t="shared" si="99"/>
        <v>0</v>
      </c>
      <c r="AS213" s="31">
        <f t="shared" si="100"/>
        <v>0</v>
      </c>
      <c r="AT213" s="31">
        <f t="shared" si="91"/>
        <v>0</v>
      </c>
      <c r="AU213" s="31">
        <f t="shared" si="101"/>
        <v>0</v>
      </c>
      <c r="AV213" s="31">
        <f t="shared" si="102"/>
        <v>0</v>
      </c>
      <c r="AW213" s="31">
        <f t="shared" si="103"/>
        <v>0</v>
      </c>
      <c r="AX213" s="31">
        <f t="shared" si="104"/>
        <v>0</v>
      </c>
      <c r="AY213" s="31">
        <f t="shared" si="105"/>
        <v>0</v>
      </c>
      <c r="AZ213" s="31">
        <f t="shared" si="106"/>
        <v>0</v>
      </c>
      <c r="BA213" s="31">
        <f t="shared" si="107"/>
        <v>0</v>
      </c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41"/>
      <c r="BM213" s="41"/>
      <c r="BN213" s="41"/>
      <c r="BO213" s="37"/>
      <c r="BP213" s="38"/>
      <c r="BQ213" s="37"/>
      <c r="BR213" s="40"/>
      <c r="BS213" s="39"/>
      <c r="BT213" s="39"/>
      <c r="BU213" s="39"/>
      <c r="BV213" s="39"/>
      <c r="BW213" s="39"/>
      <c r="BX213" s="36"/>
      <c r="BY213" s="33"/>
      <c r="BZ213" s="33"/>
      <c r="CA213" s="33"/>
      <c r="CB213" s="34"/>
      <c r="CC213" s="33"/>
      <c r="CD213" s="35"/>
      <c r="CE213" s="48"/>
      <c r="CF213" s="48"/>
      <c r="CG213" s="48"/>
      <c r="CH213" s="48"/>
      <c r="CI213" s="48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35"/>
      <c r="CW213" s="35"/>
      <c r="CX213" s="35"/>
      <c r="CY213" s="35"/>
      <c r="CZ213" s="35"/>
      <c r="DA213" s="35"/>
      <c r="DB213" s="35"/>
      <c r="DC213" s="35"/>
      <c r="DD213" s="40"/>
      <c r="DE213" s="40"/>
      <c r="DF213" s="40"/>
      <c r="DG213" s="40"/>
      <c r="DH213" s="40"/>
      <c r="DI213" s="40"/>
      <c r="DJ213" s="40"/>
      <c r="DK213" s="40"/>
      <c r="DL213" s="35"/>
      <c r="DM213" s="35"/>
      <c r="DN213" s="35"/>
      <c r="DO213" s="35"/>
      <c r="DP213" s="35"/>
      <c r="DQ213" s="35"/>
      <c r="DR213" s="35"/>
      <c r="DS213" s="35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40"/>
      <c r="ES213" s="40"/>
      <c r="ET213" s="40"/>
      <c r="EU213" s="40"/>
      <c r="EV213" s="40"/>
      <c r="EW213" s="40"/>
      <c r="EX213" s="40"/>
      <c r="EY213" s="40"/>
      <c r="EZ213" s="35"/>
      <c r="FA213" s="35"/>
      <c r="FB213" s="35"/>
      <c r="FC213" s="35"/>
      <c r="FD213" s="35"/>
      <c r="FE213" s="35"/>
      <c r="FF213" s="35"/>
      <c r="FG213" s="35"/>
    </row>
    <row r="214" spans="1:163">
      <c r="A214" s="62">
        <v>332</v>
      </c>
      <c r="E214" s="63" t="s">
        <v>76</v>
      </c>
      <c r="F214" s="56" t="s">
        <v>76</v>
      </c>
      <c r="G214" s="65" t="s">
        <v>703</v>
      </c>
      <c r="H214" s="66" t="str">
        <f t="shared" si="93"/>
        <v xml:space="preserve"> 444</v>
      </c>
      <c r="I214" s="67" t="s">
        <v>703</v>
      </c>
      <c r="J214" s="68">
        <f t="shared" si="94"/>
        <v>0</v>
      </c>
      <c r="K214" s="63" t="s">
        <v>285</v>
      </c>
      <c r="L214" s="1" t="s">
        <v>46</v>
      </c>
      <c r="O214" s="64" t="s">
        <v>789</v>
      </c>
      <c r="P214" s="82">
        <v>0</v>
      </c>
      <c r="Q214" s="74">
        <f t="shared" si="108"/>
        <v>67000</v>
      </c>
      <c r="R214" s="71">
        <v>67000</v>
      </c>
      <c r="S214" s="72">
        <f t="shared" si="84"/>
        <v>8550</v>
      </c>
      <c r="T214" s="68" t="s">
        <v>791</v>
      </c>
      <c r="U214" s="73">
        <f t="shared" si="85"/>
        <v>58450</v>
      </c>
      <c r="V214" s="73">
        <f>2000+5500+600+200+250</f>
        <v>8550</v>
      </c>
      <c r="W214" s="2">
        <f t="shared" si="95"/>
        <v>67000</v>
      </c>
      <c r="Y214" s="80">
        <f t="shared" si="96"/>
        <v>67000</v>
      </c>
      <c r="Z214" s="93"/>
      <c r="AA214" s="93"/>
      <c r="AB214" s="94"/>
      <c r="AE214" s="2">
        <v>92000</v>
      </c>
      <c r="AF214" s="28">
        <f t="shared" si="92"/>
        <v>92000</v>
      </c>
      <c r="AG214" s="55" t="s">
        <v>125</v>
      </c>
      <c r="AI214" s="20" t="s">
        <v>205</v>
      </c>
      <c r="AJ214" s="2">
        <f t="shared" si="97"/>
        <v>25000</v>
      </c>
      <c r="AN214" s="29">
        <f t="shared" si="98"/>
        <v>0.27173913043478259</v>
      </c>
      <c r="AP214" s="3" t="s">
        <v>140</v>
      </c>
      <c r="AQ214" s="1" t="s">
        <v>183</v>
      </c>
      <c r="AR214" s="31">
        <f t="shared" si="99"/>
        <v>4675</v>
      </c>
      <c r="AS214" s="31">
        <f t="shared" si="100"/>
        <v>0</v>
      </c>
      <c r="AT214" s="31">
        <f t="shared" si="91"/>
        <v>6800</v>
      </c>
      <c r="AU214" s="31">
        <f t="shared" si="101"/>
        <v>0</v>
      </c>
      <c r="AV214" s="31">
        <f t="shared" si="102"/>
        <v>0</v>
      </c>
      <c r="AW214" s="31">
        <f t="shared" si="103"/>
        <v>0</v>
      </c>
      <c r="AX214" s="31">
        <f t="shared" si="104"/>
        <v>0</v>
      </c>
      <c r="AY214" s="31">
        <f t="shared" si="105"/>
        <v>0</v>
      </c>
      <c r="AZ214" s="31">
        <f t="shared" si="106"/>
        <v>0</v>
      </c>
      <c r="BA214" s="31">
        <f t="shared" si="107"/>
        <v>0</v>
      </c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41">
        <v>84825</v>
      </c>
      <c r="BM214" s="41">
        <v>2500</v>
      </c>
      <c r="BN214" s="41">
        <f>BL214+BM214</f>
        <v>87325</v>
      </c>
      <c r="BO214" s="37">
        <f>BN214-Y214</f>
        <v>20325</v>
      </c>
      <c r="BP214" s="38">
        <f>BO214/BL214</f>
        <v>0.23961096374889479</v>
      </c>
      <c r="BQ214" s="37">
        <f>AF214-BN214</f>
        <v>4675</v>
      </c>
      <c r="BR214" s="40" t="s">
        <v>29</v>
      </c>
      <c r="BS214" s="39"/>
      <c r="BT214" s="39"/>
      <c r="BU214" s="39"/>
      <c r="BV214" s="39"/>
      <c r="BW214" s="39"/>
      <c r="BX214" s="36">
        <v>82200</v>
      </c>
      <c r="BY214" s="33">
        <v>3000</v>
      </c>
      <c r="BZ214" s="33">
        <f>BX214+BY214</f>
        <v>85200</v>
      </c>
      <c r="CA214" s="33">
        <f>BZ214-Y214</f>
        <v>18200</v>
      </c>
      <c r="CB214" s="34">
        <f>CA214/BX214</f>
        <v>0.22141119221411193</v>
      </c>
      <c r="CC214" s="33" t="e">
        <f>AG214-BZ214</f>
        <v>#VALUE!</v>
      </c>
      <c r="CD214" s="35" t="s">
        <v>29</v>
      </c>
      <c r="CE214" s="48"/>
      <c r="CF214" s="48"/>
      <c r="CG214" s="48"/>
      <c r="CH214" s="48"/>
      <c r="CI214" s="48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35"/>
      <c r="CW214" s="35"/>
      <c r="CX214" s="35"/>
      <c r="CY214" s="35"/>
      <c r="CZ214" s="35"/>
      <c r="DA214" s="35"/>
      <c r="DB214" s="35"/>
      <c r="DC214" s="35"/>
      <c r="DD214" s="40"/>
      <c r="DE214" s="40"/>
      <c r="DF214" s="40"/>
      <c r="DG214" s="40"/>
      <c r="DH214" s="40"/>
      <c r="DI214" s="40"/>
      <c r="DJ214" s="40"/>
      <c r="DK214" s="40"/>
      <c r="DL214" s="35"/>
      <c r="DM214" s="35"/>
      <c r="DN214" s="35"/>
      <c r="DO214" s="35"/>
      <c r="DP214" s="35"/>
      <c r="DQ214" s="35"/>
      <c r="DR214" s="35"/>
      <c r="DS214" s="35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40"/>
      <c r="ES214" s="40"/>
      <c r="ET214" s="40"/>
      <c r="EU214" s="40"/>
      <c r="EV214" s="40"/>
      <c r="EW214" s="40"/>
      <c r="EX214" s="40"/>
      <c r="EY214" s="40"/>
      <c r="EZ214" s="35"/>
      <c r="FA214" s="35"/>
      <c r="FB214" s="35"/>
      <c r="FC214" s="35"/>
      <c r="FD214" s="35"/>
      <c r="FE214" s="35"/>
      <c r="FF214" s="35"/>
      <c r="FG214" s="35"/>
    </row>
    <row r="215" spans="1:163">
      <c r="A215" s="62">
        <v>336</v>
      </c>
      <c r="E215" s="63" t="s">
        <v>76</v>
      </c>
      <c r="F215" s="56" t="s">
        <v>76</v>
      </c>
      <c r="G215" s="65" t="s">
        <v>707</v>
      </c>
      <c r="H215" s="66" t="str">
        <f t="shared" si="93"/>
        <v xml:space="preserve"> 859</v>
      </c>
      <c r="I215" s="67" t="s">
        <v>707</v>
      </c>
      <c r="J215" s="68">
        <f t="shared" si="94"/>
        <v>0</v>
      </c>
      <c r="K215" s="63" t="s">
        <v>285</v>
      </c>
      <c r="L215" s="1" t="s">
        <v>46</v>
      </c>
      <c r="O215" s="64" t="s">
        <v>789</v>
      </c>
      <c r="P215" s="82">
        <v>0</v>
      </c>
      <c r="Q215" s="74">
        <f t="shared" si="108"/>
        <v>52000</v>
      </c>
      <c r="R215" s="71">
        <v>52000</v>
      </c>
      <c r="S215" s="72">
        <f t="shared" ref="S215:S278" si="109">R215-U215</f>
        <v>9050</v>
      </c>
      <c r="T215" s="68" t="s">
        <v>791</v>
      </c>
      <c r="U215" s="73">
        <f t="shared" ref="U215:U278" si="110">R215-V215</f>
        <v>42950</v>
      </c>
      <c r="V215" s="73">
        <f>2000+5500+600+200+250+500</f>
        <v>9050</v>
      </c>
      <c r="W215" s="2">
        <f t="shared" si="95"/>
        <v>52000</v>
      </c>
      <c r="Y215" s="80">
        <f t="shared" si="96"/>
        <v>52000</v>
      </c>
      <c r="Z215" s="93"/>
      <c r="AA215" s="93"/>
      <c r="AB215" s="94"/>
      <c r="AC215" s="2">
        <v>3000</v>
      </c>
      <c r="AD215" s="2">
        <f>Z215+AC215</f>
        <v>3000</v>
      </c>
      <c r="AF215" s="28">
        <f t="shared" si="92"/>
        <v>0</v>
      </c>
      <c r="AG215" s="55" t="s">
        <v>125</v>
      </c>
      <c r="AI215" s="20" t="s">
        <v>204</v>
      </c>
      <c r="AJ215" s="2">
        <f t="shared" si="97"/>
        <v>-52000</v>
      </c>
      <c r="AK215" s="2">
        <f>AVERAGE(AF215,AF214,AF213,AF212,AF211,AF210)</f>
        <v>50500</v>
      </c>
      <c r="AL215" s="2">
        <f>MIN(AF215,AF214,AF213,AF212,AF211,AF210)</f>
        <v>0</v>
      </c>
      <c r="AM215" s="2">
        <f>MAX(AF215,AF214,AF213,AF212,AF211,AF210)</f>
        <v>119000</v>
      </c>
      <c r="AN215" s="29" t="e">
        <f t="shared" si="98"/>
        <v>#DIV/0!</v>
      </c>
      <c r="AO215" s="29" t="e">
        <f>AN215-AB215</f>
        <v>#DIV/0!</v>
      </c>
      <c r="AP215" s="3" t="s">
        <v>29</v>
      </c>
      <c r="AQ215" s="1" t="s">
        <v>184</v>
      </c>
      <c r="AR215" s="31">
        <f t="shared" si="99"/>
        <v>0</v>
      </c>
      <c r="AS215" s="31">
        <f t="shared" si="100"/>
        <v>0</v>
      </c>
      <c r="AT215" s="31">
        <f t="shared" si="91"/>
        <v>0</v>
      </c>
      <c r="AU215" s="31">
        <f t="shared" si="101"/>
        <v>0</v>
      </c>
      <c r="AV215" s="31">
        <f t="shared" si="102"/>
        <v>0</v>
      </c>
      <c r="AW215" s="31">
        <f t="shared" si="103"/>
        <v>0</v>
      </c>
      <c r="AX215" s="31">
        <f t="shared" si="104"/>
        <v>0</v>
      </c>
      <c r="AY215" s="31">
        <f t="shared" si="105"/>
        <v>0</v>
      </c>
      <c r="AZ215" s="31">
        <f t="shared" si="106"/>
        <v>0</v>
      </c>
      <c r="BA215" s="31">
        <f t="shared" si="107"/>
        <v>0</v>
      </c>
      <c r="BB215" s="32">
        <f>IF(BS215&lt;&gt;"", AK215-BS215, 0)</f>
        <v>-25800</v>
      </c>
      <c r="BC215" s="32">
        <f>IF(DA215&lt;&gt;"", AK215-DA215, 0)</f>
        <v>0</v>
      </c>
      <c r="BD215" s="32">
        <f>IF(CE215&lt;&gt;"", AK215-CE215, )</f>
        <v>-29220</v>
      </c>
      <c r="BE215" s="32">
        <f>IF(DI215&lt;&gt;"", AK215-DI215, 0)</f>
        <v>-40220</v>
      </c>
      <c r="BF215" s="32">
        <f>IF(CQ215&lt;&gt;"",AK215-CQ215, 0)</f>
        <v>0</v>
      </c>
      <c r="BG215" s="32">
        <f>IF(DQ215&lt;&gt;"", AK215-DQ215, 0)</f>
        <v>0</v>
      </c>
      <c r="BH215" s="32">
        <f>IF(EA215&lt;&gt;"", AK215-EA215, 0)</f>
        <v>0</v>
      </c>
      <c r="BI215" s="32">
        <f>IF(EM215&lt;&gt;"", AK215-EM215, 0)</f>
        <v>0</v>
      </c>
      <c r="BJ215" s="32">
        <f>IF(EW215&lt;&gt;"", AK215-EW215, 0)</f>
        <v>0</v>
      </c>
      <c r="BK215" s="32">
        <f>IF(FE215&lt;&gt;"", AK215-FE215, 0)</f>
        <v>0</v>
      </c>
      <c r="BL215" s="39"/>
      <c r="BM215" s="39"/>
      <c r="BN215" s="39"/>
      <c r="BO215" s="39"/>
      <c r="BP215" s="39"/>
      <c r="BQ215" s="39"/>
      <c r="BR215" s="39"/>
      <c r="BS215" s="50">
        <f>BU215+BT215</f>
        <v>76300</v>
      </c>
      <c r="BT215" s="41">
        <v>2500</v>
      </c>
      <c r="BU215" s="41">
        <v>73800</v>
      </c>
      <c r="BV215" s="41">
        <v>90900</v>
      </c>
      <c r="BW215" s="41">
        <v>54450</v>
      </c>
      <c r="BX215" s="48"/>
      <c r="BY215" s="48"/>
      <c r="BZ215" s="48"/>
      <c r="CA215" s="48"/>
      <c r="CB215" s="48"/>
      <c r="CC215" s="48"/>
      <c r="CD215" s="48"/>
      <c r="CE215" s="36">
        <f>CG215+CF215</f>
        <v>79720</v>
      </c>
      <c r="CF215" s="36">
        <v>2500</v>
      </c>
      <c r="CG215" s="36">
        <v>77220</v>
      </c>
      <c r="CH215" s="36">
        <v>82350</v>
      </c>
      <c r="CI215" s="36">
        <v>69750</v>
      </c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35"/>
      <c r="CW215" s="35"/>
      <c r="CX215" s="35"/>
      <c r="CY215" s="35"/>
      <c r="CZ215" s="35"/>
      <c r="DA215" s="35"/>
      <c r="DB215" s="35"/>
      <c r="DC215" s="35"/>
      <c r="DD215" s="40"/>
      <c r="DE215" s="40"/>
      <c r="DF215" s="40"/>
      <c r="DG215" s="40"/>
      <c r="DH215" s="40"/>
      <c r="DI215" s="41">
        <v>90720</v>
      </c>
      <c r="DJ215" s="41">
        <v>97200</v>
      </c>
      <c r="DK215" s="41">
        <v>87480</v>
      </c>
      <c r="DL215" s="35"/>
      <c r="DM215" s="35"/>
      <c r="DN215" s="35"/>
      <c r="DO215" s="35"/>
      <c r="DP215" s="35"/>
      <c r="DQ215" s="35"/>
      <c r="DR215" s="35"/>
      <c r="DS215" s="35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40"/>
      <c r="ES215" s="40"/>
      <c r="ET215" s="40"/>
      <c r="EU215" s="40"/>
      <c r="EV215" s="40"/>
      <c r="EW215" s="40"/>
      <c r="EX215" s="40"/>
      <c r="EY215" s="40"/>
      <c r="EZ215" s="35"/>
      <c r="FA215" s="35"/>
      <c r="FB215" s="35"/>
      <c r="FC215" s="35"/>
      <c r="FD215" s="35"/>
      <c r="FE215" s="35"/>
      <c r="FF215" s="35"/>
      <c r="FG215" s="35"/>
    </row>
    <row r="216" spans="1:163">
      <c r="A216" s="62">
        <v>365</v>
      </c>
      <c r="E216" s="63" t="s">
        <v>231</v>
      </c>
      <c r="F216" s="56" t="s">
        <v>86</v>
      </c>
      <c r="G216" s="65" t="s">
        <v>734</v>
      </c>
      <c r="H216" s="66" t="str">
        <f t="shared" si="93"/>
        <v xml:space="preserve"> 940</v>
      </c>
      <c r="I216" s="67" t="s">
        <v>734</v>
      </c>
      <c r="J216" s="68">
        <f t="shared" si="94"/>
        <v>0</v>
      </c>
      <c r="K216" s="63" t="s">
        <v>285</v>
      </c>
      <c r="L216" s="1" t="s">
        <v>46</v>
      </c>
      <c r="O216" s="64" t="s">
        <v>789</v>
      </c>
      <c r="P216" s="82">
        <v>0</v>
      </c>
      <c r="Q216" s="74">
        <f t="shared" si="108"/>
        <v>57000</v>
      </c>
      <c r="R216" s="71">
        <v>57000</v>
      </c>
      <c r="S216" s="72">
        <f t="shared" si="109"/>
        <v>7900</v>
      </c>
      <c r="T216" s="68" t="s">
        <v>791</v>
      </c>
      <c r="U216" s="73">
        <f t="shared" si="110"/>
        <v>49100</v>
      </c>
      <c r="V216" s="73">
        <f>2000+4850+600+200+250</f>
        <v>7900</v>
      </c>
      <c r="W216" s="2">
        <f t="shared" si="95"/>
        <v>57000</v>
      </c>
      <c r="Y216" s="80">
        <f t="shared" si="96"/>
        <v>57000</v>
      </c>
      <c r="Z216" s="93"/>
      <c r="AA216" s="93"/>
      <c r="AB216" s="94"/>
      <c r="AC216" s="2">
        <v>4000</v>
      </c>
      <c r="AD216" s="2">
        <f>Z216+AC216</f>
        <v>4000</v>
      </c>
      <c r="AF216" s="28">
        <f t="shared" si="92"/>
        <v>0</v>
      </c>
      <c r="AG216" s="55" t="s">
        <v>125</v>
      </c>
      <c r="AI216" s="20" t="s">
        <v>45</v>
      </c>
      <c r="AJ216" s="2">
        <f t="shared" si="97"/>
        <v>-57000</v>
      </c>
      <c r="AN216" s="29" t="e">
        <f t="shared" si="98"/>
        <v>#DIV/0!</v>
      </c>
      <c r="AO216" s="29" t="e">
        <f>AN216-AB216</f>
        <v>#DIV/0!</v>
      </c>
      <c r="AP216" s="3" t="s">
        <v>29</v>
      </c>
      <c r="AQ216" s="1" t="s">
        <v>203</v>
      </c>
      <c r="AR216" s="31">
        <f t="shared" si="99"/>
        <v>0</v>
      </c>
      <c r="AS216" s="31">
        <f t="shared" si="100"/>
        <v>0</v>
      </c>
      <c r="AT216" s="31">
        <f t="shared" si="91"/>
        <v>0</v>
      </c>
      <c r="AU216" s="31">
        <f t="shared" si="101"/>
        <v>0</v>
      </c>
      <c r="AV216" s="31">
        <f t="shared" si="102"/>
        <v>0</v>
      </c>
      <c r="AW216" s="31">
        <f t="shared" si="103"/>
        <v>0</v>
      </c>
      <c r="AX216" s="31">
        <f t="shared" si="104"/>
        <v>0</v>
      </c>
      <c r="AY216" s="31">
        <f t="shared" si="105"/>
        <v>0</v>
      </c>
      <c r="AZ216" s="31">
        <f t="shared" si="106"/>
        <v>0</v>
      </c>
      <c r="BA216" s="31">
        <f t="shared" si="107"/>
        <v>0</v>
      </c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35"/>
      <c r="CW216" s="35"/>
      <c r="CX216" s="35"/>
      <c r="CY216" s="35"/>
      <c r="CZ216" s="35"/>
      <c r="DA216" s="35"/>
      <c r="DB216" s="35"/>
      <c r="DC216" s="35"/>
      <c r="DD216" s="40"/>
      <c r="DE216" s="40"/>
      <c r="DF216" s="40"/>
      <c r="DG216" s="40"/>
      <c r="DH216" s="40"/>
      <c r="DI216" s="40"/>
      <c r="DJ216" s="40"/>
      <c r="DK216" s="40"/>
      <c r="DL216" s="35"/>
      <c r="DM216" s="35"/>
      <c r="DN216" s="35"/>
      <c r="DO216" s="35"/>
      <c r="DP216" s="35"/>
      <c r="DQ216" s="35"/>
      <c r="DR216" s="35"/>
      <c r="DS216" s="35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40"/>
      <c r="ES216" s="40"/>
      <c r="ET216" s="40"/>
      <c r="EU216" s="40"/>
      <c r="EV216" s="40"/>
      <c r="EW216" s="40"/>
      <c r="EX216" s="40"/>
      <c r="EY216" s="40"/>
    </row>
    <row r="217" spans="1:163">
      <c r="A217" s="62">
        <v>412</v>
      </c>
      <c r="E217" s="63" t="s">
        <v>233</v>
      </c>
      <c r="F217" s="56" t="s">
        <v>82</v>
      </c>
      <c r="G217" s="65" t="s">
        <v>780</v>
      </c>
      <c r="H217" s="66" t="str">
        <f t="shared" si="93"/>
        <v xml:space="preserve"> 237</v>
      </c>
      <c r="I217" s="67" t="s">
        <v>780</v>
      </c>
      <c r="J217" s="68">
        <f t="shared" si="94"/>
        <v>0</v>
      </c>
      <c r="K217" s="63" t="s">
        <v>285</v>
      </c>
      <c r="L217" s="1" t="s">
        <v>46</v>
      </c>
      <c r="O217" s="64" t="s">
        <v>789</v>
      </c>
      <c r="P217" s="82">
        <v>0</v>
      </c>
      <c r="Q217" s="74">
        <f t="shared" si="108"/>
        <v>57000</v>
      </c>
      <c r="R217" s="71">
        <v>57000</v>
      </c>
      <c r="S217" s="72">
        <f t="shared" si="109"/>
        <v>7900</v>
      </c>
      <c r="T217" s="68" t="s">
        <v>791</v>
      </c>
      <c r="U217" s="73">
        <f t="shared" si="110"/>
        <v>49100</v>
      </c>
      <c r="V217" s="73">
        <f>2000+4850+600+200+250</f>
        <v>7900</v>
      </c>
      <c r="W217" s="2">
        <f t="shared" si="95"/>
        <v>57000</v>
      </c>
      <c r="Y217" s="80">
        <f t="shared" si="96"/>
        <v>57000</v>
      </c>
      <c r="Z217" s="93"/>
      <c r="AA217" s="93"/>
      <c r="AB217" s="94"/>
      <c r="AC217" s="2">
        <v>3500</v>
      </c>
      <c r="AD217" s="2">
        <f>Z217+AC217</f>
        <v>3500</v>
      </c>
      <c r="AF217" s="28">
        <f t="shared" si="92"/>
        <v>0</v>
      </c>
      <c r="AG217" s="55" t="s">
        <v>125</v>
      </c>
      <c r="AI217" s="20" t="s">
        <v>205</v>
      </c>
      <c r="AJ217" s="2">
        <f t="shared" si="97"/>
        <v>-57000</v>
      </c>
      <c r="AN217" s="29" t="e">
        <f t="shared" si="98"/>
        <v>#DIV/0!</v>
      </c>
      <c r="AO217" s="29" t="e">
        <f>AN217-AB217</f>
        <v>#DIV/0!</v>
      </c>
      <c r="AP217" s="3" t="s">
        <v>140</v>
      </c>
      <c r="AQ217" s="1" t="s">
        <v>198</v>
      </c>
      <c r="AR217" s="31">
        <f t="shared" si="99"/>
        <v>0</v>
      </c>
      <c r="AS217" s="31">
        <f t="shared" si="100"/>
        <v>0</v>
      </c>
      <c r="AT217" s="31">
        <f t="shared" si="91"/>
        <v>0</v>
      </c>
      <c r="AU217" s="31">
        <f t="shared" si="101"/>
        <v>0</v>
      </c>
      <c r="AV217" s="31">
        <f t="shared" si="102"/>
        <v>0</v>
      </c>
      <c r="AW217" s="31">
        <f t="shared" si="103"/>
        <v>0</v>
      </c>
      <c r="AX217" s="31">
        <f t="shared" si="104"/>
        <v>0</v>
      </c>
      <c r="AY217" s="31">
        <f t="shared" si="105"/>
        <v>0</v>
      </c>
      <c r="AZ217" s="31">
        <f t="shared" si="106"/>
        <v>0</v>
      </c>
      <c r="BA217" s="31">
        <f t="shared" si="107"/>
        <v>0</v>
      </c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35"/>
      <c r="CW217" s="35"/>
      <c r="CX217" s="35"/>
      <c r="CY217" s="35"/>
      <c r="CZ217" s="35"/>
      <c r="DA217" s="35"/>
      <c r="DB217" s="35"/>
      <c r="DC217" s="35"/>
      <c r="DD217" s="40"/>
      <c r="DE217" s="40"/>
      <c r="DF217" s="40"/>
      <c r="DG217" s="40"/>
      <c r="DH217" s="40"/>
      <c r="DI217" s="40"/>
      <c r="DJ217" s="40"/>
      <c r="DK217" s="40"/>
      <c r="DL217" s="36"/>
      <c r="DM217" s="36"/>
      <c r="DN217" s="36"/>
      <c r="DO217" s="36"/>
      <c r="DP217" s="36"/>
      <c r="DQ217" s="36"/>
      <c r="DR217" s="36"/>
      <c r="DS217" s="36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40"/>
      <c r="ES217" s="40"/>
      <c r="ET217" s="40"/>
      <c r="EU217" s="40"/>
      <c r="EV217" s="40"/>
      <c r="EW217" s="40"/>
      <c r="EX217" s="40"/>
      <c r="EY217" s="40"/>
      <c r="EZ217" s="35"/>
      <c r="FA217" s="35"/>
      <c r="FB217" s="35"/>
      <c r="FC217" s="35"/>
      <c r="FD217" s="35"/>
      <c r="FE217" s="35"/>
      <c r="FF217" s="35"/>
      <c r="FG217" s="35"/>
    </row>
    <row r="218" spans="1:163">
      <c r="A218" s="62">
        <v>305</v>
      </c>
      <c r="E218" s="63" t="s">
        <v>75</v>
      </c>
      <c r="F218" s="56" t="s">
        <v>73</v>
      </c>
      <c r="G218" s="65" t="s">
        <v>676</v>
      </c>
      <c r="H218" s="66" t="str">
        <f t="shared" si="93"/>
        <v xml:space="preserve"> 045</v>
      </c>
      <c r="I218" s="67" t="s">
        <v>676</v>
      </c>
      <c r="J218" s="68">
        <f t="shared" si="94"/>
        <v>0</v>
      </c>
      <c r="K218" s="63" t="s">
        <v>285</v>
      </c>
      <c r="L218" s="1" t="s">
        <v>46</v>
      </c>
      <c r="O218" s="88" t="s">
        <v>790</v>
      </c>
      <c r="P218" s="89">
        <v>0</v>
      </c>
      <c r="Q218" s="90">
        <f t="shared" si="108"/>
        <v>91500</v>
      </c>
      <c r="R218" s="71">
        <v>91500</v>
      </c>
      <c r="S218" s="72">
        <f t="shared" si="109"/>
        <v>8550</v>
      </c>
      <c r="T218" s="68" t="s">
        <v>791</v>
      </c>
      <c r="U218" s="73">
        <f t="shared" si="110"/>
        <v>82950</v>
      </c>
      <c r="V218" s="73">
        <f>2000+5500+600+200+250</f>
        <v>8550</v>
      </c>
      <c r="W218" s="2">
        <f t="shared" si="95"/>
        <v>91500</v>
      </c>
      <c r="Y218" s="81">
        <f t="shared" si="96"/>
        <v>91500</v>
      </c>
      <c r="Z218" s="96">
        <v>0</v>
      </c>
      <c r="AA218" s="97">
        <f t="shared" ref="AA218:AA223" si="111">U218-Z218</f>
        <v>82950</v>
      </c>
      <c r="AB218" s="98" t="e">
        <f t="shared" ref="AB218:AB223" si="112">AA218/Z218</f>
        <v>#DIV/0!</v>
      </c>
      <c r="AE218" s="2">
        <v>123000</v>
      </c>
      <c r="AF218" s="28">
        <f t="shared" si="92"/>
        <v>0</v>
      </c>
      <c r="AG218" s="55" t="s">
        <v>125</v>
      </c>
      <c r="AI218" s="20" t="s">
        <v>45</v>
      </c>
      <c r="AJ218" s="2">
        <f t="shared" si="97"/>
        <v>-91500</v>
      </c>
      <c r="AN218" s="29" t="e">
        <f t="shared" si="98"/>
        <v>#DIV/0!</v>
      </c>
      <c r="AP218" s="3" t="s">
        <v>29</v>
      </c>
      <c r="AQ218" s="1" t="s">
        <v>195</v>
      </c>
      <c r="AR218" s="31">
        <f t="shared" si="99"/>
        <v>-115500</v>
      </c>
      <c r="AS218" s="31">
        <f t="shared" si="100"/>
        <v>-120352</v>
      </c>
      <c r="AT218" s="31">
        <f>IF(BX218&lt;&gt;"", AF218-BX218, 0)</f>
        <v>0</v>
      </c>
      <c r="AU218" s="31">
        <f t="shared" si="101"/>
        <v>0</v>
      </c>
      <c r="AV218" s="31">
        <f t="shared" si="102"/>
        <v>0</v>
      </c>
      <c r="AW218" s="31">
        <f t="shared" si="103"/>
        <v>-122763</v>
      </c>
      <c r="AX218" s="31">
        <f t="shared" si="104"/>
        <v>-124607</v>
      </c>
      <c r="AY218" s="31">
        <f t="shared" si="105"/>
        <v>-126060</v>
      </c>
      <c r="AZ218" s="31">
        <f t="shared" si="106"/>
        <v>0</v>
      </c>
      <c r="BA218" s="31">
        <f t="shared" si="107"/>
        <v>0</v>
      </c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41">
        <v>112500</v>
      </c>
      <c r="BM218" s="41">
        <v>3000</v>
      </c>
      <c r="BN218" s="41">
        <f>BL218+BM218</f>
        <v>115500</v>
      </c>
      <c r="BO218" s="37">
        <f>BN218-Y218</f>
        <v>24000</v>
      </c>
      <c r="BP218" s="38">
        <f>BO218/BL218</f>
        <v>0.21333333333333335</v>
      </c>
      <c r="BQ218" s="37">
        <f>AF218-BN218</f>
        <v>-115500</v>
      </c>
      <c r="BR218" s="40" t="s">
        <v>120</v>
      </c>
      <c r="BS218" s="39"/>
      <c r="BT218" s="39"/>
      <c r="BU218" s="39"/>
      <c r="BV218" s="39"/>
      <c r="BW218" s="39"/>
      <c r="BX218" s="36"/>
      <c r="BY218" s="33"/>
      <c r="BZ218" s="33"/>
      <c r="CA218" s="33"/>
      <c r="CB218" s="34"/>
      <c r="CC218" s="33"/>
      <c r="CD218" s="35"/>
      <c r="CE218" s="48"/>
      <c r="CF218" s="48"/>
      <c r="CG218" s="48"/>
      <c r="CH218" s="48"/>
      <c r="CI218" s="48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36">
        <v>120352</v>
      </c>
      <c r="CW218" s="36">
        <f>CV218-Y218</f>
        <v>28852</v>
      </c>
      <c r="CX218" s="46">
        <f>CW218/CV218</f>
        <v>0.23973012496676416</v>
      </c>
      <c r="CY218" s="36">
        <f>AF218-CV218</f>
        <v>-120352</v>
      </c>
      <c r="CZ218" s="35" t="s">
        <v>29</v>
      </c>
      <c r="DA218" s="35"/>
      <c r="DB218" s="35"/>
      <c r="DC218" s="35"/>
      <c r="DD218" s="40"/>
      <c r="DE218" s="40"/>
      <c r="DF218" s="40"/>
      <c r="DG218" s="40"/>
      <c r="DH218" s="40"/>
      <c r="DI218" s="40"/>
      <c r="DJ218" s="40"/>
      <c r="DK218" s="40"/>
      <c r="DL218" s="36">
        <v>122763</v>
      </c>
      <c r="DM218" s="33">
        <f>DL218-Y218</f>
        <v>31263</v>
      </c>
      <c r="DN218" s="34">
        <f>DM218/DL218</f>
        <v>0.25466142078639331</v>
      </c>
      <c r="DO218" s="33">
        <f>AF218-DL218</f>
        <v>-122763</v>
      </c>
      <c r="DP218" s="43" t="s">
        <v>29</v>
      </c>
      <c r="DQ218" s="35"/>
      <c r="DR218" s="35"/>
      <c r="DS218" s="35"/>
      <c r="DT218" s="41">
        <v>121607</v>
      </c>
      <c r="DU218" s="37">
        <v>3000</v>
      </c>
      <c r="DV218" s="41">
        <f>DT218+DU218</f>
        <v>124607</v>
      </c>
      <c r="DW218" s="37">
        <f>DV218-Y218</f>
        <v>33107</v>
      </c>
      <c r="DX218" s="38">
        <f>DW218/DV218</f>
        <v>0.26569133355268965</v>
      </c>
      <c r="DY218" s="37">
        <f>AF218-DV218</f>
        <v>-124607</v>
      </c>
      <c r="DZ218" s="40" t="s">
        <v>29</v>
      </c>
      <c r="EA218" s="40"/>
      <c r="EB218" s="40"/>
      <c r="EC218" s="40"/>
      <c r="ED218" s="40"/>
      <c r="EE218" s="40"/>
      <c r="EF218" s="36">
        <v>123060</v>
      </c>
      <c r="EG218" s="33">
        <v>3000</v>
      </c>
      <c r="EH218" s="33">
        <f>EF218+EG218</f>
        <v>126060</v>
      </c>
      <c r="EI218" s="33">
        <f>EH218-Y218</f>
        <v>34560</v>
      </c>
      <c r="EJ218" s="44">
        <f>EI218/EH218</f>
        <v>0.27415516420752023</v>
      </c>
      <c r="EK218" s="45">
        <f>AF218-EH218</f>
        <v>-126060</v>
      </c>
      <c r="EL218" s="43" t="s">
        <v>29</v>
      </c>
      <c r="EM218" s="35"/>
      <c r="EN218" s="35"/>
      <c r="EO218" s="35"/>
      <c r="EP218" s="35"/>
      <c r="EQ218" s="35"/>
      <c r="ER218" s="40"/>
      <c r="ES218" s="40"/>
      <c r="ET218" s="40"/>
      <c r="EU218" s="40"/>
      <c r="EV218" s="40"/>
      <c r="EW218" s="40"/>
      <c r="EX218" s="40"/>
      <c r="EY218" s="40"/>
      <c r="EZ218" s="35"/>
      <c r="FA218" s="35"/>
      <c r="FB218" s="35"/>
      <c r="FC218" s="35"/>
      <c r="FD218" s="35"/>
      <c r="FE218" s="35"/>
      <c r="FF218" s="35"/>
      <c r="FG218" s="35"/>
    </row>
    <row r="219" spans="1:163">
      <c r="A219" s="62">
        <v>228</v>
      </c>
      <c r="E219" s="63" t="s">
        <v>220</v>
      </c>
      <c r="F219" s="56" t="s">
        <v>69</v>
      </c>
      <c r="G219" s="65" t="s">
        <v>607</v>
      </c>
      <c r="H219" s="66" t="str">
        <f t="shared" si="93"/>
        <v xml:space="preserve"> 155</v>
      </c>
      <c r="I219" s="67" t="s">
        <v>607</v>
      </c>
      <c r="J219" s="68">
        <f t="shared" si="94"/>
        <v>0</v>
      </c>
      <c r="K219" s="63" t="s">
        <v>285</v>
      </c>
      <c r="L219" s="1" t="s">
        <v>46</v>
      </c>
      <c r="O219" s="88" t="s">
        <v>790</v>
      </c>
      <c r="P219" s="89">
        <v>0</v>
      </c>
      <c r="Q219" s="90">
        <f t="shared" si="108"/>
        <v>81500</v>
      </c>
      <c r="R219" s="71">
        <v>81500</v>
      </c>
      <c r="S219" s="72">
        <f t="shared" si="109"/>
        <v>9050</v>
      </c>
      <c r="T219" s="68" t="s">
        <v>791</v>
      </c>
      <c r="U219" s="73">
        <f t="shared" si="110"/>
        <v>72450</v>
      </c>
      <c r="V219" s="73">
        <f>2000+5500+600+200+250+500</f>
        <v>9050</v>
      </c>
      <c r="W219" s="2">
        <f t="shared" si="95"/>
        <v>81500</v>
      </c>
      <c r="Y219" s="81">
        <f t="shared" si="96"/>
        <v>81500</v>
      </c>
      <c r="Z219" s="96">
        <v>0</v>
      </c>
      <c r="AA219" s="97">
        <f t="shared" si="111"/>
        <v>72450</v>
      </c>
      <c r="AB219" s="98" t="e">
        <f t="shared" si="112"/>
        <v>#DIV/0!</v>
      </c>
      <c r="AC219" s="2">
        <v>3000</v>
      </c>
      <c r="AD219" s="2">
        <f>Z219+AC219</f>
        <v>3000</v>
      </c>
      <c r="AF219" s="28">
        <f t="shared" si="92"/>
        <v>3000</v>
      </c>
      <c r="AG219" s="55" t="s">
        <v>125</v>
      </c>
      <c r="AI219" s="20" t="s">
        <v>206</v>
      </c>
      <c r="AJ219" s="2">
        <f t="shared" si="97"/>
        <v>-78500</v>
      </c>
      <c r="AN219" s="29">
        <f t="shared" si="98"/>
        <v>-26.166666666666668</v>
      </c>
      <c r="AO219" s="29" t="e">
        <f>AN219-AB219</f>
        <v>#DIV/0!</v>
      </c>
      <c r="AP219" s="3" t="s">
        <v>140</v>
      </c>
      <c r="AQ219" s="1" t="s">
        <v>180</v>
      </c>
      <c r="AR219" s="31">
        <f t="shared" si="99"/>
        <v>-112500</v>
      </c>
      <c r="AS219" s="31">
        <f t="shared" si="100"/>
        <v>0</v>
      </c>
      <c r="AT219" s="31">
        <f t="shared" ref="AT219:AT232" si="113">IF(BZ219&lt;&gt;"", AF219-BZ219, 0)</f>
        <v>-108900</v>
      </c>
      <c r="AU219" s="31">
        <f t="shared" si="101"/>
        <v>0</v>
      </c>
      <c r="AV219" s="31">
        <f t="shared" si="102"/>
        <v>0</v>
      </c>
      <c r="AW219" s="31">
        <f t="shared" si="103"/>
        <v>0</v>
      </c>
      <c r="AX219" s="31">
        <f t="shared" si="104"/>
        <v>-101167</v>
      </c>
      <c r="AY219" s="31">
        <f t="shared" si="105"/>
        <v>-108412</v>
      </c>
      <c r="AZ219" s="31">
        <f t="shared" si="106"/>
        <v>0</v>
      </c>
      <c r="BA219" s="31">
        <f t="shared" si="107"/>
        <v>0</v>
      </c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41">
        <v>112500</v>
      </c>
      <c r="BM219" s="41">
        <v>3000</v>
      </c>
      <c r="BN219" s="41">
        <f>BL219+BM219</f>
        <v>115500</v>
      </c>
      <c r="BO219" s="37">
        <f>BN219-Y219</f>
        <v>34000</v>
      </c>
      <c r="BP219" s="38">
        <f>BO219/BL219</f>
        <v>0.30222222222222223</v>
      </c>
      <c r="BQ219" s="37">
        <f>AF219-BN219</f>
        <v>-112500</v>
      </c>
      <c r="BR219" s="39" t="s">
        <v>29</v>
      </c>
      <c r="BS219" s="39"/>
      <c r="BT219" s="39"/>
      <c r="BU219" s="39"/>
      <c r="BV219" s="39"/>
      <c r="BW219" s="39"/>
      <c r="BX219" s="36">
        <v>108900</v>
      </c>
      <c r="BY219" s="33">
        <v>3000</v>
      </c>
      <c r="BZ219" s="33">
        <f>BX219+BY219</f>
        <v>111900</v>
      </c>
      <c r="CA219" s="33">
        <f>BZ219-Y219</f>
        <v>30400</v>
      </c>
      <c r="CB219" s="34">
        <f>CA219/BX219</f>
        <v>0.27915518824609736</v>
      </c>
      <c r="CC219" s="33" t="e">
        <f>AG219-BZ219</f>
        <v>#VALUE!</v>
      </c>
      <c r="CD219" s="35" t="s">
        <v>29</v>
      </c>
      <c r="CE219" s="48"/>
      <c r="CF219" s="48"/>
      <c r="CG219" s="48"/>
      <c r="CH219" s="48"/>
      <c r="CI219" s="48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35"/>
      <c r="CW219" s="35"/>
      <c r="CX219" s="35"/>
      <c r="CY219" s="35"/>
      <c r="CZ219" s="35"/>
      <c r="DA219" s="35"/>
      <c r="DB219" s="35"/>
      <c r="DC219" s="35"/>
      <c r="DD219" s="40"/>
      <c r="DE219" s="40"/>
      <c r="DF219" s="40"/>
      <c r="DG219" s="40"/>
      <c r="DH219" s="40"/>
      <c r="DI219" s="40"/>
      <c r="DJ219" s="40"/>
      <c r="DK219" s="40"/>
      <c r="DL219" s="35"/>
      <c r="DM219" s="35"/>
      <c r="DN219" s="35"/>
      <c r="DO219" s="35"/>
      <c r="DP219" s="35"/>
      <c r="DQ219" s="35"/>
      <c r="DR219" s="35"/>
      <c r="DS219" s="35"/>
      <c r="DT219" s="41">
        <v>101167</v>
      </c>
      <c r="DU219" s="37">
        <v>3000</v>
      </c>
      <c r="DV219" s="41">
        <f>DT219+DU219</f>
        <v>104167</v>
      </c>
      <c r="DW219" s="37">
        <f>DV219-Y219</f>
        <v>22667</v>
      </c>
      <c r="DX219" s="38">
        <f>DW219/DV219</f>
        <v>0.21760250367198825</v>
      </c>
      <c r="DY219" s="37">
        <f>AF219-DV219</f>
        <v>-101167</v>
      </c>
      <c r="DZ219" s="40" t="s">
        <v>29</v>
      </c>
      <c r="EA219" s="40"/>
      <c r="EB219" s="40"/>
      <c r="EC219" s="40"/>
      <c r="ED219" s="40"/>
      <c r="EE219" s="40"/>
      <c r="EF219" s="36">
        <v>108412</v>
      </c>
      <c r="EG219" s="33">
        <v>3000</v>
      </c>
      <c r="EH219" s="33">
        <f>EF219+EG219</f>
        <v>111412</v>
      </c>
      <c r="EI219" s="33">
        <f>EH219-Y219</f>
        <v>29912</v>
      </c>
      <c r="EJ219" s="33">
        <f>EI219/EH219</f>
        <v>0.26848095357771157</v>
      </c>
      <c r="EK219" s="33">
        <f>AF219-EH219</f>
        <v>-108412</v>
      </c>
      <c r="EL219" s="35" t="s">
        <v>29</v>
      </c>
      <c r="EM219" s="35"/>
      <c r="EN219" s="35"/>
      <c r="EO219" s="35"/>
      <c r="EP219" s="35"/>
      <c r="EQ219" s="35"/>
      <c r="ER219" s="40"/>
      <c r="ES219" s="40"/>
      <c r="ET219" s="40"/>
      <c r="EU219" s="40"/>
      <c r="EV219" s="40"/>
      <c r="EW219" s="40"/>
      <c r="EX219" s="40"/>
      <c r="EY219" s="40"/>
      <c r="EZ219" s="35"/>
      <c r="FA219" s="35"/>
      <c r="FB219" s="35"/>
      <c r="FC219" s="35"/>
      <c r="FD219" s="35"/>
      <c r="FE219" s="35"/>
      <c r="FF219" s="35"/>
      <c r="FG219" s="35"/>
    </row>
    <row r="220" spans="1:163">
      <c r="A220" s="62">
        <v>266</v>
      </c>
      <c r="E220" s="63" t="s">
        <v>218</v>
      </c>
      <c r="F220" s="56" t="s">
        <v>95</v>
      </c>
      <c r="G220" s="65" t="s">
        <v>640</v>
      </c>
      <c r="H220" s="66" t="str">
        <f t="shared" si="93"/>
        <v xml:space="preserve"> 360</v>
      </c>
      <c r="I220" s="67" t="s">
        <v>640</v>
      </c>
      <c r="J220" s="68">
        <f t="shared" si="94"/>
        <v>0</v>
      </c>
      <c r="K220" s="63" t="s">
        <v>285</v>
      </c>
      <c r="L220" s="1" t="s">
        <v>46</v>
      </c>
      <c r="O220" s="88" t="s">
        <v>790</v>
      </c>
      <c r="P220" s="89">
        <v>0</v>
      </c>
      <c r="Q220" s="90">
        <f t="shared" si="108"/>
        <v>85000</v>
      </c>
      <c r="R220" s="71">
        <v>85000</v>
      </c>
      <c r="S220" s="72">
        <f t="shared" si="109"/>
        <v>9050</v>
      </c>
      <c r="T220" s="68" t="s">
        <v>791</v>
      </c>
      <c r="U220" s="73">
        <f t="shared" si="110"/>
        <v>75950</v>
      </c>
      <c r="V220" s="73">
        <f>2000+5500+600+200+250+500</f>
        <v>9050</v>
      </c>
      <c r="W220" s="2">
        <f t="shared" si="95"/>
        <v>85000</v>
      </c>
      <c r="Y220" s="81">
        <f t="shared" si="96"/>
        <v>85000</v>
      </c>
      <c r="Z220" s="96">
        <v>0</v>
      </c>
      <c r="AA220" s="97">
        <f t="shared" si="111"/>
        <v>75950</v>
      </c>
      <c r="AB220" s="98" t="e">
        <f t="shared" si="112"/>
        <v>#DIV/0!</v>
      </c>
      <c r="AC220" s="2">
        <v>3000</v>
      </c>
      <c r="AD220" s="2">
        <f>Z220+AC220</f>
        <v>3000</v>
      </c>
      <c r="AF220" s="28">
        <f t="shared" si="92"/>
        <v>3000</v>
      </c>
      <c r="AG220" s="55" t="s">
        <v>125</v>
      </c>
      <c r="AI220" s="20" t="s">
        <v>45</v>
      </c>
      <c r="AJ220" s="2">
        <f t="shared" si="97"/>
        <v>-82000</v>
      </c>
      <c r="AN220" s="29">
        <f t="shared" si="98"/>
        <v>-27.333333333333332</v>
      </c>
      <c r="AO220" s="29" t="e">
        <f>AN220-AB220</f>
        <v>#DIV/0!</v>
      </c>
      <c r="AP220" s="3" t="s">
        <v>29</v>
      </c>
      <c r="AQ220" s="1" t="s">
        <v>190</v>
      </c>
      <c r="AR220" s="31">
        <f t="shared" si="99"/>
        <v>0</v>
      </c>
      <c r="AS220" s="31">
        <f t="shared" si="100"/>
        <v>0</v>
      </c>
      <c r="AT220" s="31">
        <f t="shared" si="113"/>
        <v>0</v>
      </c>
      <c r="AU220" s="31">
        <f t="shared" si="101"/>
        <v>0</v>
      </c>
      <c r="AV220" s="31">
        <f t="shared" si="102"/>
        <v>0</v>
      </c>
      <c r="AW220" s="31">
        <f t="shared" si="103"/>
        <v>0</v>
      </c>
      <c r="AX220" s="31">
        <f t="shared" si="104"/>
        <v>0</v>
      </c>
      <c r="AY220" s="31">
        <f t="shared" si="105"/>
        <v>0</v>
      </c>
      <c r="AZ220" s="31">
        <f t="shared" si="106"/>
        <v>0</v>
      </c>
      <c r="BA220" s="31">
        <f t="shared" si="107"/>
        <v>0</v>
      </c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35"/>
      <c r="CW220" s="35"/>
      <c r="CX220" s="35"/>
      <c r="CY220" s="35"/>
      <c r="CZ220" s="35"/>
      <c r="DA220" s="35"/>
      <c r="DB220" s="35"/>
      <c r="DC220" s="35"/>
      <c r="DD220" s="40"/>
      <c r="DE220" s="40"/>
      <c r="DF220" s="40"/>
      <c r="DG220" s="40"/>
      <c r="DH220" s="40"/>
      <c r="DI220" s="40"/>
      <c r="DJ220" s="40"/>
      <c r="DK220" s="40"/>
      <c r="DL220" s="35"/>
      <c r="DM220" s="35"/>
      <c r="DN220" s="35"/>
      <c r="DO220" s="35"/>
      <c r="DP220" s="35"/>
      <c r="DQ220" s="35"/>
      <c r="DR220" s="35"/>
      <c r="DS220" s="35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40"/>
      <c r="ES220" s="40"/>
      <c r="ET220" s="40"/>
      <c r="EU220" s="40"/>
      <c r="EV220" s="40"/>
      <c r="EW220" s="40"/>
      <c r="EX220" s="40"/>
      <c r="EY220" s="40"/>
      <c r="EZ220" s="35"/>
      <c r="FA220" s="35"/>
      <c r="FB220" s="35"/>
      <c r="FC220" s="35"/>
      <c r="FD220" s="35"/>
      <c r="FE220" s="35"/>
      <c r="FF220" s="35"/>
      <c r="FG220" s="35"/>
    </row>
    <row r="221" spans="1:163">
      <c r="A221" s="60">
        <v>134</v>
      </c>
      <c r="E221" s="63" t="s">
        <v>58</v>
      </c>
      <c r="F221" s="56" t="s">
        <v>59</v>
      </c>
      <c r="G221" s="65" t="s">
        <v>513</v>
      </c>
      <c r="H221" s="66" t="str">
        <f t="shared" si="93"/>
        <v xml:space="preserve"> 561</v>
      </c>
      <c r="I221" s="67" t="s">
        <v>513</v>
      </c>
      <c r="J221" s="68">
        <f t="shared" si="94"/>
        <v>0</v>
      </c>
      <c r="K221" s="63" t="s">
        <v>285</v>
      </c>
      <c r="L221" s="1" t="s">
        <v>46</v>
      </c>
      <c r="O221" s="88" t="s">
        <v>790</v>
      </c>
      <c r="P221" s="89">
        <v>0</v>
      </c>
      <c r="Q221" s="90">
        <f t="shared" si="108"/>
        <v>49000</v>
      </c>
      <c r="R221" s="71">
        <v>49000</v>
      </c>
      <c r="S221" s="72">
        <f t="shared" si="109"/>
        <v>7900</v>
      </c>
      <c r="T221" s="68" t="s">
        <v>791</v>
      </c>
      <c r="U221" s="73">
        <f t="shared" si="110"/>
        <v>41100</v>
      </c>
      <c r="V221" s="73">
        <f>2000+4850+600+200+250</f>
        <v>7900</v>
      </c>
      <c r="W221" s="2">
        <f t="shared" si="95"/>
        <v>49000</v>
      </c>
      <c r="Y221" s="81">
        <f t="shared" si="96"/>
        <v>49000</v>
      </c>
      <c r="Z221" s="96">
        <v>0</v>
      </c>
      <c r="AA221" s="97">
        <f t="shared" si="111"/>
        <v>41100</v>
      </c>
      <c r="AB221" s="98" t="e">
        <f t="shared" si="112"/>
        <v>#DIV/0!</v>
      </c>
      <c r="AE221" s="2">
        <v>126000</v>
      </c>
      <c r="AF221" s="28">
        <f t="shared" si="92"/>
        <v>0</v>
      </c>
      <c r="AG221" s="55" t="s">
        <v>125</v>
      </c>
      <c r="AI221" s="20" t="s">
        <v>206</v>
      </c>
      <c r="AJ221" s="2">
        <f t="shared" si="97"/>
        <v>-49000</v>
      </c>
      <c r="AK221" s="2">
        <f>AVERAGE(AF221,AF210,AF209,AF208,AF207,AF206,AF205,AF204,AF203,AF202,AF201,AF200,AF199)</f>
        <v>64692.307692307695</v>
      </c>
      <c r="AL221" s="2">
        <f>MIN(AF221,AF210,AF209,AF208,AF207,AF206,AF205,AF204,AF203,AF202,AF201,AF200,AF199)</f>
        <v>0</v>
      </c>
      <c r="AM221" s="2">
        <f>MAX(AF221,AF210,AF209,AF208,AF207,AF206,AF205,AF204,AF203,AF202,AF201,AF200,AF199)</f>
        <v>226000</v>
      </c>
      <c r="AN221" s="29" t="e">
        <f t="shared" si="98"/>
        <v>#DIV/0!</v>
      </c>
      <c r="AP221" s="3" t="s">
        <v>29</v>
      </c>
      <c r="AQ221" s="1" t="s">
        <v>139</v>
      </c>
      <c r="AR221" s="31">
        <f t="shared" si="99"/>
        <v>0</v>
      </c>
      <c r="AS221" s="31">
        <f t="shared" si="100"/>
        <v>0</v>
      </c>
      <c r="AT221" s="31">
        <f t="shared" si="113"/>
        <v>0</v>
      </c>
      <c r="AU221" s="31">
        <f t="shared" si="101"/>
        <v>0</v>
      </c>
      <c r="AV221" s="31">
        <f t="shared" si="102"/>
        <v>0</v>
      </c>
      <c r="AW221" s="31">
        <f t="shared" si="103"/>
        <v>0</v>
      </c>
      <c r="AX221" s="31">
        <f t="shared" si="104"/>
        <v>0</v>
      </c>
      <c r="AY221" s="31">
        <f t="shared" si="105"/>
        <v>0</v>
      </c>
      <c r="AZ221" s="31">
        <f t="shared" si="106"/>
        <v>0</v>
      </c>
      <c r="BA221" s="31">
        <f t="shared" si="107"/>
        <v>0</v>
      </c>
      <c r="BB221" s="32">
        <f>IF(BS221&lt;&gt;"", AK221-BS221, 0)</f>
        <v>-35507.692307692305</v>
      </c>
      <c r="BC221" s="32">
        <f>IF(DA221&lt;&gt;"", AK221-DA221, 0)</f>
        <v>-34879.692307692305</v>
      </c>
      <c r="BD221" s="32">
        <f>IF(CE221&lt;&gt;"", AK221-CE221, )</f>
        <v>-39557.692307692305</v>
      </c>
      <c r="BE221" s="32">
        <f>IF(DI221&lt;&gt;"", AK221-DI221, 0)</f>
        <v>-37390.692307692305</v>
      </c>
      <c r="BF221" s="32">
        <f>IF(CQ221&lt;&gt;"",AK221-CQ221, 0)</f>
        <v>0</v>
      </c>
      <c r="BG221" s="32">
        <f>IF(DQ221&lt;&gt;"", AK221-DQ221, 0)</f>
        <v>-29019.692307692305</v>
      </c>
      <c r="BH221" s="32">
        <f>IF(EA221&lt;&gt;"", AK221-EA221, 0)</f>
        <v>-39304.692307692305</v>
      </c>
      <c r="BI221" s="32">
        <f>IF(EM221&lt;&gt;"", AK221-EM221, 0)</f>
        <v>-37112.692307692305</v>
      </c>
      <c r="BJ221" s="32">
        <f>IF(EW221&lt;&gt;"", AK221-EW221, 0)</f>
        <v>0</v>
      </c>
      <c r="BK221" s="32">
        <f>IF(FE221&lt;&gt;"", AK221-FE221, 0)</f>
        <v>0</v>
      </c>
      <c r="BL221" s="41"/>
      <c r="BM221" s="41"/>
      <c r="BN221" s="41"/>
      <c r="BO221" s="37"/>
      <c r="BP221" s="38"/>
      <c r="BQ221" s="37"/>
      <c r="BR221" s="40"/>
      <c r="BS221" s="41">
        <f>BU221+BT221</f>
        <v>100200</v>
      </c>
      <c r="BT221" s="41">
        <v>3000</v>
      </c>
      <c r="BU221" s="41">
        <v>97200</v>
      </c>
      <c r="BV221" s="41">
        <v>108450</v>
      </c>
      <c r="BW221" s="41">
        <v>92250</v>
      </c>
      <c r="BX221" s="36"/>
      <c r="BY221" s="33"/>
      <c r="BZ221" s="33"/>
      <c r="CA221" s="33"/>
      <c r="CB221" s="34"/>
      <c r="CC221" s="33"/>
      <c r="CD221" s="35"/>
      <c r="CE221" s="36">
        <f>CG221+CF221</f>
        <v>104250</v>
      </c>
      <c r="CF221" s="36">
        <v>3000</v>
      </c>
      <c r="CG221" s="36">
        <v>101250</v>
      </c>
      <c r="CH221" s="36">
        <v>115650</v>
      </c>
      <c r="CI221" s="36">
        <v>86850</v>
      </c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35"/>
      <c r="CW221" s="35"/>
      <c r="CX221" s="35"/>
      <c r="CY221" s="35"/>
      <c r="CZ221" s="35"/>
      <c r="DA221" s="36">
        <v>99572</v>
      </c>
      <c r="DB221" s="36">
        <v>110970</v>
      </c>
      <c r="DC221" s="36">
        <v>90450</v>
      </c>
      <c r="DD221" s="40"/>
      <c r="DE221" s="40"/>
      <c r="DF221" s="40"/>
      <c r="DG221" s="40"/>
      <c r="DH221" s="40"/>
      <c r="DI221" s="41">
        <v>102083</v>
      </c>
      <c r="DJ221" s="41">
        <v>125766</v>
      </c>
      <c r="DK221" s="41">
        <v>85860</v>
      </c>
      <c r="DL221" s="35"/>
      <c r="DM221" s="35"/>
      <c r="DN221" s="35"/>
      <c r="DO221" s="35"/>
      <c r="DP221" s="35"/>
      <c r="DQ221" s="36">
        <v>93712</v>
      </c>
      <c r="DR221" s="36">
        <v>100800</v>
      </c>
      <c r="DS221" s="36">
        <v>86625</v>
      </c>
      <c r="DT221" s="40"/>
      <c r="DU221" s="40"/>
      <c r="DV221" s="40"/>
      <c r="DW221" s="40"/>
      <c r="DX221" s="40"/>
      <c r="DY221" s="40"/>
      <c r="DZ221" s="40"/>
      <c r="EA221" s="41">
        <f>EC221+EB221</f>
        <v>103997</v>
      </c>
      <c r="EB221" s="41">
        <v>3000</v>
      </c>
      <c r="EC221" s="41">
        <v>100997</v>
      </c>
      <c r="ED221" s="41">
        <v>113295</v>
      </c>
      <c r="EE221" s="41">
        <v>86625</v>
      </c>
      <c r="EF221" s="35"/>
      <c r="EG221" s="35"/>
      <c r="EH221" s="35"/>
      <c r="EI221" s="35"/>
      <c r="EJ221" s="35"/>
      <c r="EK221" s="35"/>
      <c r="EL221" s="35"/>
      <c r="EM221" s="36">
        <f>EO221+EN221</f>
        <v>101805</v>
      </c>
      <c r="EN221" s="36">
        <v>3000</v>
      </c>
      <c r="EO221" s="36">
        <v>98805</v>
      </c>
      <c r="EP221" s="36">
        <v>113295</v>
      </c>
      <c r="EQ221" s="36">
        <v>92347</v>
      </c>
      <c r="ER221" s="40"/>
      <c r="ES221" s="40"/>
      <c r="ET221" s="40"/>
      <c r="EU221" s="40"/>
      <c r="EV221" s="40"/>
      <c r="EW221" s="40"/>
      <c r="EX221" s="40"/>
      <c r="EY221" s="40"/>
      <c r="EZ221" s="35"/>
      <c r="FA221" s="35"/>
      <c r="FB221" s="35"/>
      <c r="FC221" s="35"/>
      <c r="FD221" s="35"/>
      <c r="FE221" s="35"/>
      <c r="FF221" s="35"/>
      <c r="FG221" s="35"/>
    </row>
    <row r="222" spans="1:163">
      <c r="A222" s="62">
        <v>335</v>
      </c>
      <c r="E222" s="63" t="s">
        <v>76</v>
      </c>
      <c r="F222" s="56" t="s">
        <v>76</v>
      </c>
      <c r="G222" s="65" t="s">
        <v>706</v>
      </c>
      <c r="H222" s="66" t="str">
        <f t="shared" si="93"/>
        <v xml:space="preserve"> 677</v>
      </c>
      <c r="I222" s="67" t="s">
        <v>706</v>
      </c>
      <c r="J222" s="68">
        <f t="shared" si="94"/>
        <v>0</v>
      </c>
      <c r="K222" s="63" t="s">
        <v>285</v>
      </c>
      <c r="L222" s="1" t="s">
        <v>46</v>
      </c>
      <c r="O222" s="88" t="s">
        <v>790</v>
      </c>
      <c r="P222" s="89">
        <v>0</v>
      </c>
      <c r="Q222" s="90">
        <f t="shared" si="108"/>
        <v>68000</v>
      </c>
      <c r="R222" s="71">
        <v>68000</v>
      </c>
      <c r="S222" s="72">
        <f t="shared" si="109"/>
        <v>8550</v>
      </c>
      <c r="T222" s="68" t="s">
        <v>791</v>
      </c>
      <c r="U222" s="73">
        <f t="shared" si="110"/>
        <v>59450</v>
      </c>
      <c r="V222" s="73">
        <f>2000+5500+600+200+250</f>
        <v>8550</v>
      </c>
      <c r="W222" s="2">
        <f t="shared" si="95"/>
        <v>68000</v>
      </c>
      <c r="Y222" s="81">
        <f t="shared" si="96"/>
        <v>68000</v>
      </c>
      <c r="Z222" s="96">
        <v>0</v>
      </c>
      <c r="AA222" s="97">
        <f t="shared" si="111"/>
        <v>59450</v>
      </c>
      <c r="AB222" s="98" t="e">
        <f t="shared" si="112"/>
        <v>#DIV/0!</v>
      </c>
      <c r="AE222" s="2">
        <v>85000</v>
      </c>
      <c r="AF222" s="28">
        <f t="shared" si="92"/>
        <v>0</v>
      </c>
      <c r="AG222" s="55" t="s">
        <v>125</v>
      </c>
      <c r="AI222" s="20" t="s">
        <v>204</v>
      </c>
      <c r="AJ222" s="2">
        <f t="shared" si="97"/>
        <v>-68000</v>
      </c>
      <c r="AN222" s="29" t="e">
        <f t="shared" si="98"/>
        <v>#DIV/0!</v>
      </c>
      <c r="AP222" s="3" t="s">
        <v>29</v>
      </c>
      <c r="AQ222" s="1" t="s">
        <v>184</v>
      </c>
      <c r="AR222" s="31">
        <f t="shared" si="99"/>
        <v>0</v>
      </c>
      <c r="AS222" s="31">
        <f t="shared" si="100"/>
        <v>0</v>
      </c>
      <c r="AT222" s="31">
        <f t="shared" si="113"/>
        <v>0</v>
      </c>
      <c r="AU222" s="31">
        <f t="shared" si="101"/>
        <v>0</v>
      </c>
      <c r="AV222" s="31">
        <f t="shared" si="102"/>
        <v>0</v>
      </c>
      <c r="AW222" s="31">
        <f t="shared" si="103"/>
        <v>0</v>
      </c>
      <c r="AX222" s="31">
        <f t="shared" si="104"/>
        <v>0</v>
      </c>
      <c r="AY222" s="31">
        <f t="shared" si="105"/>
        <v>0</v>
      </c>
      <c r="AZ222" s="31">
        <f t="shared" si="106"/>
        <v>0</v>
      </c>
      <c r="BA222" s="31">
        <f t="shared" si="107"/>
        <v>0</v>
      </c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35"/>
      <c r="CW222" s="35"/>
      <c r="CX222" s="35"/>
      <c r="CY222" s="35"/>
      <c r="CZ222" s="35"/>
      <c r="DA222" s="35"/>
      <c r="DB222" s="35"/>
      <c r="DC222" s="35"/>
      <c r="DD222" s="40"/>
      <c r="DE222" s="40"/>
      <c r="DF222" s="40"/>
      <c r="DG222" s="40"/>
      <c r="DH222" s="40"/>
      <c r="DI222" s="40"/>
      <c r="DJ222" s="40"/>
      <c r="DK222" s="40"/>
      <c r="DL222" s="35"/>
      <c r="DM222" s="35"/>
      <c r="DN222" s="35"/>
      <c r="DO222" s="35"/>
      <c r="DP222" s="35"/>
      <c r="DQ222" s="35"/>
      <c r="DR222" s="35"/>
      <c r="DS222" s="35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40"/>
      <c r="ES222" s="40"/>
      <c r="ET222" s="40"/>
      <c r="EU222" s="40"/>
      <c r="EV222" s="40"/>
      <c r="EW222" s="40"/>
      <c r="EX222" s="40"/>
      <c r="EY222" s="40"/>
      <c r="EZ222" s="35"/>
      <c r="FA222" s="35"/>
      <c r="FB222" s="35"/>
      <c r="FC222" s="35"/>
      <c r="FD222" s="35"/>
      <c r="FE222" s="35"/>
      <c r="FF222" s="35"/>
      <c r="FG222" s="35"/>
    </row>
    <row r="223" spans="1:163">
      <c r="A223" s="62">
        <v>333</v>
      </c>
      <c r="E223" s="63" t="s">
        <v>76</v>
      </c>
      <c r="F223" s="56" t="s">
        <v>76</v>
      </c>
      <c r="G223" s="65" t="s">
        <v>704</v>
      </c>
      <c r="H223" s="66" t="str">
        <f t="shared" si="93"/>
        <v xml:space="preserve"> 699</v>
      </c>
      <c r="I223" s="67" t="s">
        <v>704</v>
      </c>
      <c r="J223" s="68">
        <f t="shared" si="94"/>
        <v>0</v>
      </c>
      <c r="K223" s="63" t="s">
        <v>285</v>
      </c>
      <c r="L223" s="1" t="s">
        <v>46</v>
      </c>
      <c r="O223" s="88" t="s">
        <v>790</v>
      </c>
      <c r="P223" s="89">
        <v>0</v>
      </c>
      <c r="Q223" s="90">
        <f t="shared" si="108"/>
        <v>52000</v>
      </c>
      <c r="R223" s="71">
        <v>52000</v>
      </c>
      <c r="S223" s="72">
        <f t="shared" si="109"/>
        <v>8550</v>
      </c>
      <c r="T223" s="68" t="s">
        <v>791</v>
      </c>
      <c r="U223" s="73">
        <f t="shared" si="110"/>
        <v>43450</v>
      </c>
      <c r="V223" s="73">
        <f>2000+5500+600+200+250</f>
        <v>8550</v>
      </c>
      <c r="W223" s="2">
        <f t="shared" si="95"/>
        <v>52000</v>
      </c>
      <c r="Y223" s="81">
        <f t="shared" si="96"/>
        <v>52000</v>
      </c>
      <c r="Z223" s="96">
        <v>0</v>
      </c>
      <c r="AA223" s="97">
        <f t="shared" si="111"/>
        <v>43450</v>
      </c>
      <c r="AB223" s="98" t="e">
        <f t="shared" si="112"/>
        <v>#DIV/0!</v>
      </c>
      <c r="AE223" s="2">
        <v>86000</v>
      </c>
      <c r="AF223" s="28">
        <f t="shared" si="92"/>
        <v>0</v>
      </c>
      <c r="AG223" s="55" t="s">
        <v>125</v>
      </c>
      <c r="AI223" s="20" t="s">
        <v>206</v>
      </c>
      <c r="AJ223" s="2">
        <f t="shared" si="97"/>
        <v>-52000</v>
      </c>
      <c r="AN223" s="29" t="e">
        <f t="shared" si="98"/>
        <v>#DIV/0!</v>
      </c>
      <c r="AP223" s="3" t="s">
        <v>140</v>
      </c>
      <c r="AQ223" s="1" t="s">
        <v>182</v>
      </c>
      <c r="AR223" s="31">
        <f t="shared" si="99"/>
        <v>-87325</v>
      </c>
      <c r="AS223" s="31">
        <f t="shared" si="100"/>
        <v>0</v>
      </c>
      <c r="AT223" s="31">
        <f t="shared" si="113"/>
        <v>-85200</v>
      </c>
      <c r="AU223" s="31">
        <f t="shared" si="101"/>
        <v>0</v>
      </c>
      <c r="AV223" s="31">
        <f t="shared" si="102"/>
        <v>0</v>
      </c>
      <c r="AW223" s="31">
        <f t="shared" si="103"/>
        <v>0</v>
      </c>
      <c r="AX223" s="31">
        <f t="shared" si="104"/>
        <v>0</v>
      </c>
      <c r="AY223" s="31">
        <f t="shared" si="105"/>
        <v>0</v>
      </c>
      <c r="AZ223" s="31">
        <f t="shared" si="106"/>
        <v>0</v>
      </c>
      <c r="BA223" s="31">
        <f t="shared" si="107"/>
        <v>0</v>
      </c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41">
        <v>84825</v>
      </c>
      <c r="BM223" s="41">
        <v>2500</v>
      </c>
      <c r="BN223" s="41">
        <f>BL223+BM223</f>
        <v>87325</v>
      </c>
      <c r="BO223" s="37">
        <f>BN223-Y223</f>
        <v>35325</v>
      </c>
      <c r="BP223" s="38">
        <f>BO223/BL223</f>
        <v>0.41644562334217505</v>
      </c>
      <c r="BQ223" s="37">
        <f>AF223-BN223</f>
        <v>-87325</v>
      </c>
      <c r="BR223" s="40" t="s">
        <v>29</v>
      </c>
      <c r="BS223" s="39"/>
      <c r="BT223" s="39"/>
      <c r="BU223" s="39"/>
      <c r="BV223" s="39"/>
      <c r="BW223" s="39"/>
      <c r="BX223" s="36">
        <v>82200</v>
      </c>
      <c r="BY223" s="33">
        <v>3000</v>
      </c>
      <c r="BZ223" s="33">
        <f>BX223+BY223</f>
        <v>85200</v>
      </c>
      <c r="CA223" s="33">
        <f>BZ223-Y223</f>
        <v>33200</v>
      </c>
      <c r="CB223" s="34">
        <f>CA223/BX223</f>
        <v>0.40389294403892945</v>
      </c>
      <c r="CC223" s="33" t="e">
        <f>AG223-BZ223</f>
        <v>#VALUE!</v>
      </c>
      <c r="CD223" s="35" t="s">
        <v>29</v>
      </c>
      <c r="CE223" s="48"/>
      <c r="CF223" s="48"/>
      <c r="CG223" s="48"/>
      <c r="CH223" s="48"/>
      <c r="CI223" s="48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35"/>
      <c r="CW223" s="35"/>
      <c r="CX223" s="35"/>
      <c r="CY223" s="35"/>
      <c r="CZ223" s="35"/>
      <c r="DA223" s="35"/>
      <c r="DB223" s="35"/>
      <c r="DC223" s="35"/>
      <c r="DD223" s="40"/>
      <c r="DE223" s="40"/>
      <c r="DF223" s="40"/>
      <c r="DG223" s="40"/>
      <c r="DH223" s="40"/>
      <c r="DI223" s="40"/>
      <c r="DJ223" s="40"/>
      <c r="DK223" s="40"/>
      <c r="DL223" s="35"/>
      <c r="DM223" s="35"/>
      <c r="DN223" s="35"/>
      <c r="DO223" s="35"/>
      <c r="DP223" s="35"/>
      <c r="DQ223" s="35"/>
      <c r="DR223" s="35"/>
      <c r="DS223" s="35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40"/>
      <c r="ES223" s="40"/>
      <c r="ET223" s="40"/>
      <c r="EU223" s="40"/>
      <c r="EV223" s="40"/>
      <c r="EW223" s="40"/>
      <c r="EX223" s="40"/>
      <c r="EY223" s="40"/>
      <c r="EZ223" s="35"/>
      <c r="FA223" s="35"/>
      <c r="FB223" s="35"/>
      <c r="FC223" s="35"/>
      <c r="FD223" s="35"/>
      <c r="FE223" s="35"/>
      <c r="FF223" s="35"/>
      <c r="FG223" s="35"/>
    </row>
    <row r="224" spans="1:163">
      <c r="A224" s="60">
        <v>157</v>
      </c>
      <c r="E224" s="63" t="s">
        <v>214</v>
      </c>
      <c r="F224" s="56" t="s">
        <v>62</v>
      </c>
      <c r="G224" s="70" t="s">
        <v>536</v>
      </c>
      <c r="H224" s="66" t="str">
        <f t="shared" si="93"/>
        <v xml:space="preserve"> 814</v>
      </c>
      <c r="I224" s="67" t="s">
        <v>536</v>
      </c>
      <c r="J224" s="68">
        <f t="shared" si="94"/>
        <v>0</v>
      </c>
      <c r="K224" s="63" t="s">
        <v>300</v>
      </c>
      <c r="L224" s="1" t="s">
        <v>46</v>
      </c>
      <c r="O224" s="64" t="s">
        <v>789</v>
      </c>
      <c r="P224" s="82">
        <v>0</v>
      </c>
      <c r="Q224" s="74">
        <f t="shared" si="108"/>
        <v>87000</v>
      </c>
      <c r="R224" s="76">
        <v>87000</v>
      </c>
      <c r="S224" s="72">
        <f t="shared" si="109"/>
        <v>9550</v>
      </c>
      <c r="T224" s="68" t="s">
        <v>791</v>
      </c>
      <c r="U224" s="73">
        <f t="shared" si="110"/>
        <v>77450</v>
      </c>
      <c r="V224" s="76">
        <f>2000+5500+600+200+250+1000</f>
        <v>9550</v>
      </c>
      <c r="W224" s="2">
        <f t="shared" si="95"/>
        <v>87000</v>
      </c>
      <c r="Y224" s="80">
        <f t="shared" si="96"/>
        <v>87000</v>
      </c>
      <c r="Z224" s="93"/>
      <c r="AA224" s="93"/>
      <c r="AB224" s="94"/>
      <c r="AE224" s="2">
        <v>94000</v>
      </c>
      <c r="AF224" s="28">
        <f t="shared" si="92"/>
        <v>94000</v>
      </c>
      <c r="AG224" s="55" t="s">
        <v>125</v>
      </c>
      <c r="AI224" s="20" t="s">
        <v>45</v>
      </c>
      <c r="AJ224" s="2">
        <f t="shared" si="97"/>
        <v>7000</v>
      </c>
      <c r="AN224" s="29">
        <f t="shared" si="98"/>
        <v>7.4468085106382975E-2</v>
      </c>
      <c r="AP224" s="3" t="s">
        <v>29</v>
      </c>
      <c r="AQ224" s="1" t="s">
        <v>155</v>
      </c>
      <c r="AR224" s="31">
        <f t="shared" si="99"/>
        <v>0</v>
      </c>
      <c r="AS224" s="31">
        <f t="shared" si="100"/>
        <v>0</v>
      </c>
      <c r="AT224" s="31">
        <f t="shared" si="113"/>
        <v>0</v>
      </c>
      <c r="AU224" s="31">
        <f t="shared" si="101"/>
        <v>0</v>
      </c>
      <c r="AV224" s="31">
        <f t="shared" si="102"/>
        <v>0</v>
      </c>
      <c r="AW224" s="31">
        <f t="shared" si="103"/>
        <v>0</v>
      </c>
      <c r="AX224" s="31">
        <f t="shared" si="104"/>
        <v>0</v>
      </c>
      <c r="AY224" s="31">
        <f t="shared" si="105"/>
        <v>0</v>
      </c>
      <c r="AZ224" s="31">
        <f t="shared" si="106"/>
        <v>0</v>
      </c>
      <c r="BA224" s="31">
        <f t="shared" si="107"/>
        <v>0</v>
      </c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35"/>
      <c r="CW224" s="35"/>
      <c r="CX224" s="35"/>
      <c r="CY224" s="35"/>
      <c r="CZ224" s="35"/>
      <c r="DA224" s="35"/>
      <c r="DB224" s="35"/>
      <c r="DC224" s="35"/>
      <c r="DD224" s="40"/>
      <c r="DE224" s="40"/>
      <c r="DF224" s="40"/>
      <c r="DG224" s="40"/>
      <c r="DH224" s="40"/>
      <c r="DI224" s="40"/>
      <c r="DJ224" s="40"/>
      <c r="DK224" s="40"/>
      <c r="DL224" s="35"/>
      <c r="DM224" s="35"/>
      <c r="DN224" s="35"/>
      <c r="DO224" s="35"/>
      <c r="DP224" s="35"/>
      <c r="DQ224" s="35"/>
      <c r="DR224" s="35"/>
      <c r="DS224" s="35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40"/>
      <c r="ES224" s="40"/>
      <c r="ET224" s="40"/>
      <c r="EU224" s="40"/>
      <c r="EV224" s="40"/>
      <c r="EW224" s="40"/>
      <c r="EX224" s="40"/>
      <c r="EY224" s="40"/>
      <c r="EZ224" s="35"/>
      <c r="FA224" s="35"/>
      <c r="FB224" s="35"/>
      <c r="FC224" s="35"/>
      <c r="FD224" s="35"/>
      <c r="FE224" s="35"/>
      <c r="FF224" s="35"/>
      <c r="FG224" s="35"/>
    </row>
    <row r="225" spans="1:163">
      <c r="A225" s="60">
        <v>158</v>
      </c>
      <c r="E225" s="63" t="s">
        <v>214</v>
      </c>
      <c r="F225" s="56" t="s">
        <v>62</v>
      </c>
      <c r="G225" s="70" t="s">
        <v>537</v>
      </c>
      <c r="H225" s="66" t="str">
        <f t="shared" si="93"/>
        <v xml:space="preserve"> 199</v>
      </c>
      <c r="I225" s="67" t="s">
        <v>537</v>
      </c>
      <c r="J225" s="68">
        <f t="shared" si="94"/>
        <v>0</v>
      </c>
      <c r="K225" s="63" t="s">
        <v>300</v>
      </c>
      <c r="L225" s="1" t="s">
        <v>46</v>
      </c>
      <c r="O225" s="64" t="s">
        <v>789</v>
      </c>
      <c r="P225" s="82">
        <v>0</v>
      </c>
      <c r="Q225" s="74">
        <f t="shared" si="108"/>
        <v>87000</v>
      </c>
      <c r="R225" s="76">
        <v>87000</v>
      </c>
      <c r="S225" s="72">
        <f t="shared" si="109"/>
        <v>9550</v>
      </c>
      <c r="T225" s="68" t="s">
        <v>791</v>
      </c>
      <c r="U225" s="73">
        <f t="shared" si="110"/>
        <v>77450</v>
      </c>
      <c r="V225" s="76">
        <f>2000+5500+600+200+250+1000</f>
        <v>9550</v>
      </c>
      <c r="W225" s="2">
        <f t="shared" si="95"/>
        <v>87000</v>
      </c>
      <c r="Y225" s="80">
        <f t="shared" si="96"/>
        <v>87000</v>
      </c>
      <c r="Z225" s="93"/>
      <c r="AA225" s="93"/>
      <c r="AB225" s="94"/>
      <c r="AE225" s="2">
        <v>94000</v>
      </c>
      <c r="AF225" s="28">
        <f t="shared" si="92"/>
        <v>94000</v>
      </c>
      <c r="AG225" s="55" t="s">
        <v>125</v>
      </c>
      <c r="AI225" s="20" t="s">
        <v>45</v>
      </c>
      <c r="AJ225" s="2">
        <f t="shared" si="97"/>
        <v>7000</v>
      </c>
      <c r="AN225" s="29">
        <f t="shared" si="98"/>
        <v>7.4468085106382975E-2</v>
      </c>
      <c r="AP225" s="3" t="s">
        <v>29</v>
      </c>
      <c r="AQ225" s="1" t="s">
        <v>155</v>
      </c>
      <c r="AR225" s="31">
        <f t="shared" si="99"/>
        <v>0</v>
      </c>
      <c r="AS225" s="31">
        <f t="shared" si="100"/>
        <v>0</v>
      </c>
      <c r="AT225" s="31">
        <f t="shared" si="113"/>
        <v>0</v>
      </c>
      <c r="AU225" s="31">
        <f t="shared" si="101"/>
        <v>0</v>
      </c>
      <c r="AV225" s="31">
        <f t="shared" si="102"/>
        <v>0</v>
      </c>
      <c r="AW225" s="31">
        <f t="shared" si="103"/>
        <v>0</v>
      </c>
      <c r="AX225" s="31">
        <f t="shared" si="104"/>
        <v>0</v>
      </c>
      <c r="AY225" s="31">
        <f t="shared" si="105"/>
        <v>0</v>
      </c>
      <c r="AZ225" s="31">
        <f t="shared" si="106"/>
        <v>0</v>
      </c>
      <c r="BA225" s="31">
        <f t="shared" si="107"/>
        <v>0</v>
      </c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35"/>
      <c r="CW225" s="35"/>
      <c r="CX225" s="35"/>
      <c r="CY225" s="35"/>
      <c r="CZ225" s="35"/>
      <c r="DA225" s="35"/>
      <c r="DB225" s="35"/>
      <c r="DC225" s="35"/>
      <c r="DD225" s="40"/>
      <c r="DE225" s="40"/>
      <c r="DF225" s="40"/>
      <c r="DG225" s="40"/>
      <c r="DH225" s="40"/>
      <c r="DI225" s="40"/>
      <c r="DJ225" s="40"/>
      <c r="DK225" s="40"/>
      <c r="DL225" s="35"/>
      <c r="DM225" s="35"/>
      <c r="DN225" s="35"/>
      <c r="DO225" s="35"/>
      <c r="DP225" s="35"/>
      <c r="DQ225" s="35"/>
      <c r="DR225" s="35"/>
      <c r="DS225" s="35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40"/>
      <c r="ES225" s="40"/>
      <c r="ET225" s="40"/>
      <c r="EU225" s="40"/>
      <c r="EV225" s="40"/>
      <c r="EW225" s="40"/>
      <c r="EX225" s="40"/>
      <c r="EY225" s="40"/>
      <c r="EZ225" s="35"/>
      <c r="FA225" s="35"/>
      <c r="FB225" s="35"/>
      <c r="FC225" s="35"/>
      <c r="FD225" s="35"/>
      <c r="FE225" s="35"/>
      <c r="FF225" s="35"/>
      <c r="FG225" s="35"/>
    </row>
    <row r="226" spans="1:163">
      <c r="A226" s="62">
        <v>294</v>
      </c>
      <c r="E226" s="63" t="s">
        <v>214</v>
      </c>
      <c r="F226" s="56" t="s">
        <v>95</v>
      </c>
      <c r="G226" s="70" t="s">
        <v>668</v>
      </c>
      <c r="H226" s="66" t="str">
        <f t="shared" si="93"/>
        <v xml:space="preserve"> 772</v>
      </c>
      <c r="I226" s="67" t="s">
        <v>668</v>
      </c>
      <c r="J226" s="68">
        <f t="shared" si="94"/>
        <v>0</v>
      </c>
      <c r="K226" s="63" t="s">
        <v>300</v>
      </c>
      <c r="L226" s="1" t="s">
        <v>46</v>
      </c>
      <c r="O226" s="64" t="s">
        <v>789</v>
      </c>
      <c r="P226" s="82">
        <v>0</v>
      </c>
      <c r="Q226" s="74">
        <f t="shared" si="108"/>
        <v>87000</v>
      </c>
      <c r="R226" s="71">
        <v>87000</v>
      </c>
      <c r="S226" s="72">
        <f t="shared" si="109"/>
        <v>9550</v>
      </c>
      <c r="T226" s="68" t="s">
        <v>791</v>
      </c>
      <c r="U226" s="73">
        <f t="shared" si="110"/>
        <v>77450</v>
      </c>
      <c r="V226" s="75">
        <f>2000+5500+600+200+250+1000</f>
        <v>9550</v>
      </c>
      <c r="W226" s="2">
        <f t="shared" si="95"/>
        <v>87000</v>
      </c>
      <c r="Y226" s="80">
        <f t="shared" si="96"/>
        <v>87000</v>
      </c>
      <c r="Z226" s="93"/>
      <c r="AA226" s="93"/>
      <c r="AB226" s="94"/>
      <c r="AC226" s="2">
        <v>4000</v>
      </c>
      <c r="AD226" s="2">
        <f>Z226+AC226</f>
        <v>4000</v>
      </c>
      <c r="AF226" s="28">
        <f t="shared" si="92"/>
        <v>0</v>
      </c>
      <c r="AG226" s="55" t="s">
        <v>125</v>
      </c>
      <c r="AI226" s="20" t="s">
        <v>45</v>
      </c>
      <c r="AJ226" s="2">
        <f t="shared" si="97"/>
        <v>-87000</v>
      </c>
      <c r="AN226" s="29" t="e">
        <f t="shared" si="98"/>
        <v>#DIV/0!</v>
      </c>
      <c r="AO226" s="29" t="e">
        <f>AN226-AB226</f>
        <v>#DIV/0!</v>
      </c>
      <c r="AP226" s="3" t="s">
        <v>29</v>
      </c>
      <c r="AQ226" s="1" t="s">
        <v>190</v>
      </c>
      <c r="AR226" s="31">
        <f t="shared" si="99"/>
        <v>0</v>
      </c>
      <c r="AS226" s="31">
        <f t="shared" si="100"/>
        <v>0</v>
      </c>
      <c r="AT226" s="31">
        <f t="shared" si="113"/>
        <v>0</v>
      </c>
      <c r="AU226" s="31">
        <f t="shared" si="101"/>
        <v>0</v>
      </c>
      <c r="AV226" s="31">
        <f t="shared" si="102"/>
        <v>0</v>
      </c>
      <c r="AW226" s="31">
        <f t="shared" si="103"/>
        <v>0</v>
      </c>
      <c r="AX226" s="31">
        <f t="shared" si="104"/>
        <v>0</v>
      </c>
      <c r="AY226" s="31">
        <f t="shared" si="105"/>
        <v>0</v>
      </c>
      <c r="AZ226" s="31">
        <f t="shared" si="106"/>
        <v>0</v>
      </c>
      <c r="BA226" s="31">
        <f t="shared" si="107"/>
        <v>0</v>
      </c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35"/>
      <c r="CW226" s="35"/>
      <c r="CX226" s="35"/>
      <c r="CY226" s="35"/>
      <c r="CZ226" s="35"/>
      <c r="DA226" s="35"/>
      <c r="DB226" s="35"/>
      <c r="DC226" s="35"/>
      <c r="DD226" s="40"/>
      <c r="DE226" s="40"/>
      <c r="DF226" s="40"/>
      <c r="DG226" s="40"/>
      <c r="DH226" s="40"/>
      <c r="DI226" s="40"/>
      <c r="DJ226" s="40"/>
      <c r="DK226" s="40"/>
      <c r="DL226" s="35"/>
      <c r="DM226" s="35"/>
      <c r="DN226" s="35"/>
      <c r="DO226" s="35"/>
      <c r="DP226" s="35"/>
      <c r="DQ226" s="35"/>
      <c r="DR226" s="35"/>
      <c r="DS226" s="35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40"/>
      <c r="ES226" s="40"/>
      <c r="ET226" s="40"/>
      <c r="EU226" s="40"/>
      <c r="EV226" s="40"/>
      <c r="EW226" s="40"/>
      <c r="EX226" s="40"/>
      <c r="EY226" s="40"/>
      <c r="EZ226" s="35"/>
      <c r="FA226" s="35"/>
      <c r="FB226" s="35"/>
      <c r="FC226" s="35"/>
      <c r="FD226" s="35"/>
      <c r="FE226" s="35"/>
      <c r="FF226" s="35"/>
      <c r="FG226" s="35"/>
    </row>
    <row r="227" spans="1:163">
      <c r="A227" s="62">
        <v>390</v>
      </c>
      <c r="E227" s="63" t="s">
        <v>63</v>
      </c>
      <c r="F227" s="56" t="s">
        <v>87</v>
      </c>
      <c r="G227" s="65" t="s">
        <v>758</v>
      </c>
      <c r="H227" s="66" t="str">
        <f t="shared" si="93"/>
        <v xml:space="preserve"> 777</v>
      </c>
      <c r="I227" s="67" t="s">
        <v>758</v>
      </c>
      <c r="J227" s="68">
        <f t="shared" si="94"/>
        <v>0</v>
      </c>
      <c r="K227" s="63" t="s">
        <v>373</v>
      </c>
      <c r="L227" s="1" t="s">
        <v>46</v>
      </c>
      <c r="O227" s="64" t="s">
        <v>789</v>
      </c>
      <c r="P227" s="82">
        <v>0</v>
      </c>
      <c r="Q227" s="74">
        <f t="shared" si="108"/>
        <v>64000</v>
      </c>
      <c r="R227" s="71">
        <v>64000</v>
      </c>
      <c r="S227" s="72">
        <f t="shared" si="109"/>
        <v>7900</v>
      </c>
      <c r="T227" s="68" t="s">
        <v>791</v>
      </c>
      <c r="U227" s="73">
        <f t="shared" si="110"/>
        <v>56100</v>
      </c>
      <c r="V227" s="73">
        <f t="shared" ref="V227:V232" si="114">2000+4850+600+200+250</f>
        <v>7900</v>
      </c>
      <c r="W227" s="2">
        <f t="shared" si="95"/>
        <v>64000</v>
      </c>
      <c r="Y227" s="80">
        <f t="shared" si="96"/>
        <v>64000</v>
      </c>
      <c r="Z227" s="93"/>
      <c r="AA227" s="93"/>
      <c r="AB227" s="94"/>
      <c r="AE227" s="2">
        <v>93000</v>
      </c>
      <c r="AF227" s="28">
        <f t="shared" si="92"/>
        <v>93000</v>
      </c>
      <c r="AG227" s="55" t="s">
        <v>125</v>
      </c>
      <c r="AI227" s="20" t="s">
        <v>206</v>
      </c>
      <c r="AJ227" s="2">
        <f t="shared" si="97"/>
        <v>29000</v>
      </c>
      <c r="AN227" s="29">
        <f t="shared" si="98"/>
        <v>0.31182795698924731</v>
      </c>
      <c r="AP227" s="3" t="s">
        <v>140</v>
      </c>
      <c r="AQ227" s="1" t="s">
        <v>199</v>
      </c>
      <c r="AR227" s="31">
        <f t="shared" si="99"/>
        <v>0</v>
      </c>
      <c r="AS227" s="31">
        <f t="shared" si="100"/>
        <v>0</v>
      </c>
      <c r="AT227" s="31">
        <f t="shared" si="113"/>
        <v>0</v>
      </c>
      <c r="AU227" s="31">
        <f t="shared" si="101"/>
        <v>0</v>
      </c>
      <c r="AV227" s="31">
        <f t="shared" si="102"/>
        <v>0</v>
      </c>
      <c r="AW227" s="31">
        <f t="shared" si="103"/>
        <v>0</v>
      </c>
      <c r="AX227" s="31">
        <f t="shared" si="104"/>
        <v>0</v>
      </c>
      <c r="AY227" s="31">
        <f t="shared" si="105"/>
        <v>0</v>
      </c>
      <c r="AZ227" s="31">
        <f t="shared" si="106"/>
        <v>0</v>
      </c>
      <c r="BA227" s="31">
        <f t="shared" si="107"/>
        <v>0</v>
      </c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35"/>
      <c r="CW227" s="35"/>
      <c r="CX227" s="35"/>
      <c r="CY227" s="35"/>
      <c r="CZ227" s="35"/>
      <c r="DA227" s="35"/>
      <c r="DB227" s="35"/>
      <c r="DC227" s="35"/>
      <c r="DD227" s="40"/>
      <c r="DE227" s="40"/>
      <c r="DF227" s="40"/>
      <c r="DG227" s="40"/>
      <c r="DH227" s="40"/>
      <c r="DI227" s="40"/>
      <c r="DJ227" s="40"/>
      <c r="DK227" s="40"/>
      <c r="DL227" s="35"/>
      <c r="DM227" s="35"/>
      <c r="DN227" s="35"/>
      <c r="DO227" s="35"/>
      <c r="DP227" s="35"/>
      <c r="DQ227" s="35"/>
      <c r="DR227" s="35"/>
      <c r="DS227" s="35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40"/>
      <c r="ES227" s="40"/>
      <c r="ET227" s="40"/>
      <c r="EU227" s="40"/>
      <c r="EV227" s="40"/>
      <c r="EW227" s="40"/>
      <c r="EX227" s="40"/>
      <c r="EY227" s="40"/>
      <c r="EZ227" s="35"/>
      <c r="FA227" s="35"/>
      <c r="FB227" s="35"/>
      <c r="FC227" s="35"/>
      <c r="FD227" s="35"/>
      <c r="FE227" s="35"/>
      <c r="FF227" s="35"/>
      <c r="FG227" s="35"/>
    </row>
    <row r="228" spans="1:163">
      <c r="A228" s="62">
        <v>407</v>
      </c>
      <c r="E228" s="63" t="s">
        <v>233</v>
      </c>
      <c r="F228" s="56" t="s">
        <v>88</v>
      </c>
      <c r="G228" s="65" t="s">
        <v>775</v>
      </c>
      <c r="H228" s="66" t="str">
        <f t="shared" si="93"/>
        <v xml:space="preserve"> 675</v>
      </c>
      <c r="I228" s="67" t="s">
        <v>775</v>
      </c>
      <c r="J228" s="68">
        <f t="shared" si="94"/>
        <v>0</v>
      </c>
      <c r="K228" s="63" t="s">
        <v>373</v>
      </c>
      <c r="L228" s="1" t="s">
        <v>46</v>
      </c>
      <c r="O228" s="64" t="s">
        <v>789</v>
      </c>
      <c r="P228" s="82">
        <v>0</v>
      </c>
      <c r="Q228" s="74">
        <f t="shared" si="108"/>
        <v>62500</v>
      </c>
      <c r="R228" s="71">
        <v>62500</v>
      </c>
      <c r="S228" s="72">
        <f t="shared" si="109"/>
        <v>7900</v>
      </c>
      <c r="T228" s="68" t="s">
        <v>791</v>
      </c>
      <c r="U228" s="73">
        <f t="shared" si="110"/>
        <v>54600</v>
      </c>
      <c r="V228" s="73">
        <f t="shared" si="114"/>
        <v>7900</v>
      </c>
      <c r="W228" s="2">
        <f t="shared" si="95"/>
        <v>62500</v>
      </c>
      <c r="Y228" s="80">
        <f t="shared" si="96"/>
        <v>62500</v>
      </c>
      <c r="Z228" s="93"/>
      <c r="AA228" s="93"/>
      <c r="AB228" s="94"/>
      <c r="AC228" s="2">
        <v>3500</v>
      </c>
      <c r="AD228" s="2">
        <f>Z228+AC228</f>
        <v>3500</v>
      </c>
      <c r="AF228" s="28">
        <f t="shared" si="92"/>
        <v>0</v>
      </c>
      <c r="AG228" s="55" t="s">
        <v>125</v>
      </c>
      <c r="AH228" s="2"/>
      <c r="AI228" s="20" t="s">
        <v>206</v>
      </c>
      <c r="AJ228" s="2">
        <f t="shared" si="97"/>
        <v>-62500</v>
      </c>
      <c r="AN228" s="29" t="e">
        <f t="shared" si="98"/>
        <v>#DIV/0!</v>
      </c>
      <c r="AO228" s="29" t="e">
        <f>AN228-AB228</f>
        <v>#DIV/0!</v>
      </c>
      <c r="AP228" s="3" t="s">
        <v>140</v>
      </c>
      <c r="AQ228" s="1" t="s">
        <v>199</v>
      </c>
      <c r="AR228" s="31">
        <f t="shared" si="99"/>
        <v>0</v>
      </c>
      <c r="AS228" s="31">
        <f t="shared" si="100"/>
        <v>0</v>
      </c>
      <c r="AT228" s="31">
        <f t="shared" si="113"/>
        <v>0</v>
      </c>
      <c r="AU228" s="31">
        <f t="shared" si="101"/>
        <v>0</v>
      </c>
      <c r="AV228" s="31">
        <f t="shared" si="102"/>
        <v>0</v>
      </c>
      <c r="AW228" s="31">
        <f t="shared" si="103"/>
        <v>0</v>
      </c>
      <c r="AX228" s="31">
        <f t="shared" si="104"/>
        <v>0</v>
      </c>
      <c r="AY228" s="31">
        <f t="shared" si="105"/>
        <v>0</v>
      </c>
      <c r="AZ228" s="31">
        <f t="shared" si="106"/>
        <v>0</v>
      </c>
      <c r="BA228" s="31">
        <f t="shared" si="107"/>
        <v>0</v>
      </c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35"/>
      <c r="CW228" s="35"/>
      <c r="CX228" s="35"/>
      <c r="CY228" s="35"/>
      <c r="CZ228" s="35"/>
      <c r="DA228" s="35"/>
      <c r="DB228" s="35"/>
      <c r="DC228" s="35"/>
      <c r="DD228" s="40"/>
      <c r="DE228" s="40"/>
      <c r="DF228" s="40"/>
      <c r="DG228" s="40"/>
      <c r="DH228" s="40"/>
      <c r="DI228" s="40"/>
      <c r="DJ228" s="40"/>
      <c r="DK228" s="40"/>
      <c r="DL228" s="35"/>
      <c r="DM228" s="35"/>
      <c r="DN228" s="35"/>
      <c r="DO228" s="35"/>
      <c r="DP228" s="35"/>
      <c r="DQ228" s="35"/>
      <c r="DR228" s="35"/>
      <c r="DS228" s="35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40"/>
      <c r="ES228" s="40"/>
      <c r="ET228" s="40"/>
      <c r="EU228" s="40"/>
      <c r="EV228" s="40"/>
      <c r="EW228" s="40"/>
      <c r="EX228" s="40"/>
      <c r="EY228" s="40"/>
      <c r="EZ228" s="35"/>
      <c r="FA228" s="35"/>
      <c r="FB228" s="35"/>
      <c r="FC228" s="35"/>
      <c r="FD228" s="35"/>
      <c r="FE228" s="35"/>
      <c r="FF228" s="35"/>
      <c r="FG228" s="35"/>
    </row>
    <row r="229" spans="1:163">
      <c r="A229" s="62">
        <v>418</v>
      </c>
      <c r="E229" s="63" t="s">
        <v>233</v>
      </c>
      <c r="F229" s="56" t="s">
        <v>82</v>
      </c>
      <c r="G229" s="65" t="s">
        <v>786</v>
      </c>
      <c r="H229" s="66" t="str">
        <f t="shared" si="93"/>
        <v xml:space="preserve"> 854</v>
      </c>
      <c r="I229" s="67" t="s">
        <v>786</v>
      </c>
      <c r="J229" s="68">
        <f t="shared" si="94"/>
        <v>0</v>
      </c>
      <c r="K229" s="63" t="s">
        <v>373</v>
      </c>
      <c r="L229" s="1" t="s">
        <v>46</v>
      </c>
      <c r="O229" s="64" t="s">
        <v>789</v>
      </c>
      <c r="P229" s="82">
        <v>0</v>
      </c>
      <c r="Q229" s="74">
        <f t="shared" si="108"/>
        <v>52500</v>
      </c>
      <c r="R229" s="71">
        <v>52500</v>
      </c>
      <c r="S229" s="72">
        <f t="shared" si="109"/>
        <v>7900</v>
      </c>
      <c r="T229" s="68" t="s">
        <v>791</v>
      </c>
      <c r="U229" s="73">
        <f t="shared" si="110"/>
        <v>44600</v>
      </c>
      <c r="V229" s="73">
        <f t="shared" si="114"/>
        <v>7900</v>
      </c>
      <c r="W229" s="2">
        <f t="shared" si="95"/>
        <v>52500</v>
      </c>
      <c r="Y229" s="80">
        <f t="shared" si="96"/>
        <v>52500</v>
      </c>
      <c r="Z229" s="93"/>
      <c r="AA229" s="93"/>
      <c r="AB229" s="94"/>
      <c r="AE229" s="2">
        <v>86000</v>
      </c>
      <c r="AF229" s="28">
        <f t="shared" si="92"/>
        <v>86000</v>
      </c>
      <c r="AG229" s="55" t="s">
        <v>125</v>
      </c>
      <c r="AI229" s="20" t="s">
        <v>205</v>
      </c>
      <c r="AJ229" s="2">
        <f t="shared" si="97"/>
        <v>33500</v>
      </c>
      <c r="AN229" s="29">
        <f t="shared" si="98"/>
        <v>0.38953488372093026</v>
      </c>
      <c r="AP229" s="3" t="s">
        <v>140</v>
      </c>
      <c r="AQ229" s="1" t="s">
        <v>198</v>
      </c>
      <c r="AR229" s="31">
        <f t="shared" si="99"/>
        <v>0</v>
      </c>
      <c r="AS229" s="31">
        <f t="shared" si="100"/>
        <v>0</v>
      </c>
      <c r="AT229" s="31">
        <f t="shared" si="113"/>
        <v>0</v>
      </c>
      <c r="AU229" s="31">
        <f t="shared" si="101"/>
        <v>0</v>
      </c>
      <c r="AV229" s="31">
        <f t="shared" si="102"/>
        <v>0</v>
      </c>
      <c r="AW229" s="31">
        <f t="shared" si="103"/>
        <v>0</v>
      </c>
      <c r="AX229" s="31">
        <f t="shared" si="104"/>
        <v>0</v>
      </c>
      <c r="AY229" s="31">
        <f t="shared" si="105"/>
        <v>0</v>
      </c>
      <c r="AZ229" s="31">
        <f t="shared" si="106"/>
        <v>0</v>
      </c>
      <c r="BA229" s="31">
        <f t="shared" si="107"/>
        <v>0</v>
      </c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35"/>
      <c r="CW229" s="35"/>
      <c r="CX229" s="35"/>
      <c r="CY229" s="35"/>
      <c r="CZ229" s="35"/>
      <c r="DA229" s="35"/>
      <c r="DB229" s="35"/>
      <c r="DC229" s="35"/>
      <c r="DD229" s="40"/>
      <c r="DE229" s="40"/>
      <c r="DF229" s="40"/>
      <c r="DG229" s="40"/>
      <c r="DH229" s="40"/>
      <c r="DI229" s="40"/>
      <c r="DJ229" s="40"/>
      <c r="DK229" s="40"/>
      <c r="DL229" s="36"/>
      <c r="DM229" s="36"/>
      <c r="DN229" s="36"/>
      <c r="DO229" s="36"/>
      <c r="DP229" s="36"/>
      <c r="DQ229" s="36"/>
      <c r="DR229" s="36"/>
      <c r="DS229" s="36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40"/>
      <c r="ES229" s="40"/>
      <c r="ET229" s="40"/>
      <c r="EU229" s="40"/>
      <c r="EV229" s="40"/>
      <c r="EW229" s="40"/>
      <c r="EX229" s="40"/>
      <c r="EY229" s="40"/>
      <c r="EZ229" s="35"/>
      <c r="FA229" s="35"/>
      <c r="FB229" s="35"/>
      <c r="FC229" s="35"/>
      <c r="FD229" s="35"/>
      <c r="FE229" s="35"/>
      <c r="FF229" s="35"/>
      <c r="FG229" s="35"/>
    </row>
    <row r="230" spans="1:163">
      <c r="A230" s="62">
        <v>394</v>
      </c>
      <c r="E230" s="63" t="s">
        <v>234</v>
      </c>
      <c r="F230" s="56" t="s">
        <v>87</v>
      </c>
      <c r="G230" s="65" t="s">
        <v>762</v>
      </c>
      <c r="H230" s="66" t="str">
        <f t="shared" si="93"/>
        <v xml:space="preserve"> 588</v>
      </c>
      <c r="I230" s="67" t="s">
        <v>762</v>
      </c>
      <c r="J230" s="68">
        <f t="shared" si="94"/>
        <v>0</v>
      </c>
      <c r="K230" s="63" t="s">
        <v>373</v>
      </c>
      <c r="L230" s="1" t="s">
        <v>46</v>
      </c>
      <c r="O230" s="88" t="s">
        <v>790</v>
      </c>
      <c r="P230" s="89">
        <v>0</v>
      </c>
      <c r="Q230" s="90">
        <f t="shared" si="108"/>
        <v>57500</v>
      </c>
      <c r="R230" s="71">
        <v>57500</v>
      </c>
      <c r="S230" s="72">
        <f t="shared" si="109"/>
        <v>7900</v>
      </c>
      <c r="T230" s="68" t="s">
        <v>791</v>
      </c>
      <c r="U230" s="73">
        <f t="shared" si="110"/>
        <v>49600</v>
      </c>
      <c r="V230" s="73">
        <f t="shared" si="114"/>
        <v>7900</v>
      </c>
      <c r="W230" s="2">
        <f t="shared" si="95"/>
        <v>57500</v>
      </c>
      <c r="Y230" s="81">
        <f t="shared" si="96"/>
        <v>57500</v>
      </c>
      <c r="Z230" s="96">
        <v>0</v>
      </c>
      <c r="AA230" s="97">
        <f>U230-Z230</f>
        <v>49600</v>
      </c>
      <c r="AB230" s="98" t="e">
        <f>AA230/Z230</f>
        <v>#DIV/0!</v>
      </c>
      <c r="AE230" s="2">
        <v>104000</v>
      </c>
      <c r="AF230" s="28">
        <f t="shared" si="92"/>
        <v>0</v>
      </c>
      <c r="AG230" s="55" t="s">
        <v>125</v>
      </c>
      <c r="AI230" s="20" t="s">
        <v>206</v>
      </c>
      <c r="AJ230" s="2">
        <f t="shared" si="97"/>
        <v>-57500</v>
      </c>
      <c r="AN230" s="29" t="e">
        <f t="shared" si="98"/>
        <v>#DIV/0!</v>
      </c>
      <c r="AP230" s="3" t="s">
        <v>140</v>
      </c>
      <c r="AQ230" s="1" t="s">
        <v>199</v>
      </c>
      <c r="AR230" s="31">
        <f t="shared" si="99"/>
        <v>0</v>
      </c>
      <c r="AS230" s="31">
        <f t="shared" si="100"/>
        <v>0</v>
      </c>
      <c r="AT230" s="31">
        <f t="shared" si="113"/>
        <v>0</v>
      </c>
      <c r="AU230" s="31">
        <f t="shared" si="101"/>
        <v>0</v>
      </c>
      <c r="AV230" s="31">
        <f t="shared" si="102"/>
        <v>0</v>
      </c>
      <c r="AW230" s="31">
        <f t="shared" si="103"/>
        <v>0</v>
      </c>
      <c r="AX230" s="31">
        <f t="shared" si="104"/>
        <v>0</v>
      </c>
      <c r="AY230" s="31">
        <f t="shared" si="105"/>
        <v>0</v>
      </c>
      <c r="AZ230" s="31">
        <f t="shared" si="106"/>
        <v>0</v>
      </c>
      <c r="BA230" s="31">
        <f t="shared" si="107"/>
        <v>0</v>
      </c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35"/>
      <c r="CW230" s="35"/>
      <c r="CX230" s="35"/>
      <c r="CY230" s="35"/>
      <c r="CZ230" s="35"/>
      <c r="DA230" s="35"/>
      <c r="DB230" s="35"/>
      <c r="DC230" s="35"/>
      <c r="DD230" s="40"/>
      <c r="DE230" s="40"/>
      <c r="DF230" s="40"/>
      <c r="DG230" s="40"/>
      <c r="DH230" s="40"/>
      <c r="DI230" s="40"/>
      <c r="DJ230" s="40"/>
      <c r="DK230" s="40"/>
      <c r="DL230" s="35"/>
      <c r="DM230" s="35"/>
      <c r="DN230" s="35"/>
      <c r="DO230" s="35"/>
      <c r="DP230" s="35"/>
      <c r="DQ230" s="35"/>
      <c r="DR230" s="35"/>
      <c r="DS230" s="35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40"/>
      <c r="ES230" s="40"/>
      <c r="ET230" s="40"/>
      <c r="EU230" s="40"/>
      <c r="EV230" s="40"/>
      <c r="EW230" s="40"/>
      <c r="EX230" s="40"/>
      <c r="EY230" s="40"/>
      <c r="EZ230" s="35"/>
      <c r="FA230" s="35"/>
      <c r="FB230" s="35"/>
      <c r="FC230" s="35"/>
      <c r="FD230" s="35"/>
      <c r="FE230" s="35"/>
      <c r="FF230" s="35"/>
      <c r="FG230" s="35"/>
    </row>
    <row r="231" spans="1:163">
      <c r="A231" s="62">
        <v>385</v>
      </c>
      <c r="E231" s="63" t="s">
        <v>234</v>
      </c>
      <c r="F231" s="56" t="s">
        <v>87</v>
      </c>
      <c r="G231" s="65" t="s">
        <v>753</v>
      </c>
      <c r="H231" s="66" t="str">
        <f t="shared" si="93"/>
        <v xml:space="preserve"> 615</v>
      </c>
      <c r="I231" s="67" t="s">
        <v>753</v>
      </c>
      <c r="J231" s="68">
        <f t="shared" si="94"/>
        <v>0</v>
      </c>
      <c r="K231" s="63" t="s">
        <v>373</v>
      </c>
      <c r="L231" s="1" t="s">
        <v>46</v>
      </c>
      <c r="O231" s="88" t="s">
        <v>790</v>
      </c>
      <c r="P231" s="89">
        <v>0</v>
      </c>
      <c r="Q231" s="90">
        <f t="shared" si="108"/>
        <v>52500</v>
      </c>
      <c r="R231" s="71">
        <v>52500</v>
      </c>
      <c r="S231" s="72">
        <f t="shared" si="109"/>
        <v>7900</v>
      </c>
      <c r="T231" s="68" t="s">
        <v>791</v>
      </c>
      <c r="U231" s="73">
        <f t="shared" si="110"/>
        <v>44600</v>
      </c>
      <c r="V231" s="73">
        <f t="shared" si="114"/>
        <v>7900</v>
      </c>
      <c r="W231" s="2">
        <f t="shared" si="95"/>
        <v>52500</v>
      </c>
      <c r="Y231" s="81">
        <f t="shared" si="96"/>
        <v>52500</v>
      </c>
      <c r="Z231" s="96">
        <v>0</v>
      </c>
      <c r="AA231" s="97">
        <f>U231-Z231</f>
        <v>44600</v>
      </c>
      <c r="AB231" s="98" t="e">
        <f>AA231/Z231</f>
        <v>#DIV/0!</v>
      </c>
      <c r="AE231" s="2">
        <v>100000</v>
      </c>
      <c r="AF231" s="28">
        <f t="shared" si="92"/>
        <v>0</v>
      </c>
      <c r="AG231" s="55" t="s">
        <v>125</v>
      </c>
      <c r="AI231" s="20" t="s">
        <v>206</v>
      </c>
      <c r="AJ231" s="2">
        <f t="shared" si="97"/>
        <v>-52500</v>
      </c>
      <c r="AN231" s="29" t="e">
        <f t="shared" si="98"/>
        <v>#DIV/0!</v>
      </c>
      <c r="AP231" s="3" t="s">
        <v>140</v>
      </c>
      <c r="AQ231" s="1" t="s">
        <v>199</v>
      </c>
      <c r="AR231" s="31">
        <f t="shared" si="99"/>
        <v>0</v>
      </c>
      <c r="AS231" s="31">
        <f t="shared" si="100"/>
        <v>0</v>
      </c>
      <c r="AT231" s="31">
        <f t="shared" si="113"/>
        <v>0</v>
      </c>
      <c r="AU231" s="31">
        <f t="shared" si="101"/>
        <v>0</v>
      </c>
      <c r="AV231" s="31">
        <f t="shared" si="102"/>
        <v>0</v>
      </c>
      <c r="AW231" s="31">
        <f t="shared" si="103"/>
        <v>0</v>
      </c>
      <c r="AX231" s="31">
        <f t="shared" si="104"/>
        <v>0</v>
      </c>
      <c r="AY231" s="31">
        <f t="shared" si="105"/>
        <v>0</v>
      </c>
      <c r="AZ231" s="31">
        <f t="shared" si="106"/>
        <v>0</v>
      </c>
      <c r="BA231" s="31">
        <f t="shared" si="107"/>
        <v>0</v>
      </c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35"/>
      <c r="CW231" s="35"/>
      <c r="CX231" s="35"/>
      <c r="CY231" s="35"/>
      <c r="CZ231" s="35"/>
      <c r="DA231" s="35"/>
      <c r="DB231" s="35"/>
      <c r="DC231" s="35"/>
      <c r="DD231" s="40"/>
      <c r="DE231" s="40"/>
      <c r="DF231" s="40"/>
      <c r="DG231" s="40"/>
      <c r="DH231" s="40"/>
      <c r="DI231" s="40"/>
      <c r="DJ231" s="40"/>
      <c r="DK231" s="40"/>
      <c r="DL231" s="35"/>
      <c r="DM231" s="35"/>
      <c r="DN231" s="35"/>
      <c r="DO231" s="35"/>
      <c r="DP231" s="35"/>
      <c r="DQ231" s="35"/>
      <c r="DR231" s="35"/>
      <c r="DS231" s="35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40"/>
      <c r="ES231" s="40"/>
      <c r="ET231" s="40"/>
      <c r="EU231" s="40"/>
      <c r="EV231" s="40"/>
      <c r="EW231" s="40"/>
      <c r="EX231" s="40"/>
      <c r="EY231" s="40"/>
      <c r="EZ231" s="35"/>
      <c r="FA231" s="35"/>
      <c r="FB231" s="35"/>
      <c r="FC231" s="35"/>
      <c r="FD231" s="35"/>
      <c r="FE231" s="35"/>
      <c r="FF231" s="35"/>
      <c r="FG231" s="35"/>
    </row>
    <row r="232" spans="1:163">
      <c r="A232" s="62">
        <v>362</v>
      </c>
      <c r="E232" s="63" t="s">
        <v>230</v>
      </c>
      <c r="F232" s="56" t="s">
        <v>85</v>
      </c>
      <c r="G232" s="65" t="s">
        <v>731</v>
      </c>
      <c r="H232" s="66" t="str">
        <f t="shared" si="93"/>
        <v xml:space="preserve"> 916</v>
      </c>
      <c r="I232" s="67" t="s">
        <v>731</v>
      </c>
      <c r="J232" s="68">
        <f t="shared" si="94"/>
        <v>0</v>
      </c>
      <c r="K232" s="63" t="s">
        <v>373</v>
      </c>
      <c r="L232" s="1" t="s">
        <v>46</v>
      </c>
      <c r="O232" s="88" t="s">
        <v>790</v>
      </c>
      <c r="P232" s="89">
        <v>0</v>
      </c>
      <c r="Q232" s="90">
        <f t="shared" si="108"/>
        <v>57500</v>
      </c>
      <c r="R232" s="71">
        <v>57500</v>
      </c>
      <c r="S232" s="72">
        <f t="shared" si="109"/>
        <v>7900</v>
      </c>
      <c r="T232" s="68" t="s">
        <v>791</v>
      </c>
      <c r="U232" s="73">
        <f t="shared" si="110"/>
        <v>49600</v>
      </c>
      <c r="V232" s="73">
        <f t="shared" si="114"/>
        <v>7900</v>
      </c>
      <c r="W232" s="2">
        <f t="shared" si="95"/>
        <v>57500</v>
      </c>
      <c r="Y232" s="81">
        <f t="shared" si="96"/>
        <v>57500</v>
      </c>
      <c r="Z232" s="96">
        <v>0</v>
      </c>
      <c r="AA232" s="97">
        <f>U232-Z232</f>
        <v>49600</v>
      </c>
      <c r="AB232" s="98" t="e">
        <f>AA232/Z232</f>
        <v>#DIV/0!</v>
      </c>
      <c r="AC232" s="2">
        <v>3000</v>
      </c>
      <c r="AD232" s="2">
        <f>Z232+AC232</f>
        <v>3000</v>
      </c>
      <c r="AF232" s="28">
        <f t="shared" si="92"/>
        <v>3000</v>
      </c>
      <c r="AG232" s="55" t="s">
        <v>125</v>
      </c>
      <c r="AI232" s="20" t="s">
        <v>45</v>
      </c>
      <c r="AJ232" s="2">
        <f t="shared" si="97"/>
        <v>-54500</v>
      </c>
      <c r="AN232" s="29">
        <f t="shared" si="98"/>
        <v>-18.166666666666668</v>
      </c>
      <c r="AO232" s="29" t="e">
        <f>AN232-AB232</f>
        <v>#DIV/0!</v>
      </c>
      <c r="AP232" s="3" t="s">
        <v>29</v>
      </c>
      <c r="AQ232" s="1" t="s">
        <v>203</v>
      </c>
      <c r="AR232" s="31">
        <f t="shared" si="99"/>
        <v>0</v>
      </c>
      <c r="AS232" s="31">
        <f t="shared" si="100"/>
        <v>0</v>
      </c>
      <c r="AT232" s="31">
        <f t="shared" si="113"/>
        <v>0</v>
      </c>
      <c r="AU232" s="31">
        <f t="shared" si="101"/>
        <v>0</v>
      </c>
      <c r="AV232" s="31">
        <f t="shared" si="102"/>
        <v>0</v>
      </c>
      <c r="AW232" s="31">
        <f t="shared" si="103"/>
        <v>0</v>
      </c>
      <c r="AX232" s="31">
        <f t="shared" si="104"/>
        <v>0</v>
      </c>
      <c r="AY232" s="31">
        <f t="shared" si="105"/>
        <v>0</v>
      </c>
      <c r="AZ232" s="31">
        <f t="shared" si="106"/>
        <v>0</v>
      </c>
      <c r="BA232" s="31">
        <f t="shared" si="107"/>
        <v>0</v>
      </c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35"/>
      <c r="CW232" s="35"/>
      <c r="CX232" s="35"/>
      <c r="CY232" s="35"/>
      <c r="CZ232" s="35"/>
      <c r="DA232" s="35"/>
      <c r="DB232" s="35"/>
      <c r="DC232" s="35"/>
      <c r="DD232" s="40"/>
      <c r="DE232" s="40"/>
      <c r="DF232" s="40"/>
      <c r="DG232" s="40"/>
      <c r="DH232" s="40"/>
      <c r="DI232" s="40"/>
      <c r="DJ232" s="40"/>
      <c r="DK232" s="40"/>
      <c r="DL232" s="35"/>
      <c r="DM232" s="35"/>
      <c r="DN232" s="35"/>
      <c r="DO232" s="35"/>
      <c r="DP232" s="35"/>
      <c r="DQ232" s="35"/>
      <c r="DR232" s="35"/>
      <c r="DS232" s="35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40"/>
      <c r="ES232" s="40"/>
      <c r="ET232" s="40"/>
      <c r="EU232" s="40"/>
      <c r="EV232" s="40"/>
      <c r="EW232" s="40"/>
      <c r="EX232" s="40"/>
      <c r="EY232" s="40"/>
    </row>
    <row r="233" spans="1:163">
      <c r="A233" s="62">
        <v>205</v>
      </c>
      <c r="E233" s="63" t="s">
        <v>173</v>
      </c>
      <c r="F233" s="56" t="s">
        <v>67</v>
      </c>
      <c r="G233" s="70" t="s">
        <v>585</v>
      </c>
      <c r="H233" s="66" t="str">
        <f t="shared" si="93"/>
        <v xml:space="preserve"> 136</v>
      </c>
      <c r="I233" s="67" t="s">
        <v>585</v>
      </c>
      <c r="J233" s="68">
        <f t="shared" si="94"/>
        <v>0</v>
      </c>
      <c r="K233" s="63" t="s">
        <v>320</v>
      </c>
      <c r="L233" s="1" t="s">
        <v>46</v>
      </c>
      <c r="O233" s="64" t="s">
        <v>789</v>
      </c>
      <c r="P233" s="82">
        <v>0</v>
      </c>
      <c r="Q233" s="74">
        <f t="shared" si="108"/>
        <v>132000</v>
      </c>
      <c r="R233" s="71">
        <v>132000</v>
      </c>
      <c r="S233" s="72">
        <f t="shared" si="109"/>
        <v>8550</v>
      </c>
      <c r="T233" s="68" t="s">
        <v>791</v>
      </c>
      <c r="U233" s="73">
        <f t="shared" si="110"/>
        <v>123450</v>
      </c>
      <c r="V233" s="73">
        <f>2000+5500+600+200+250</f>
        <v>8550</v>
      </c>
      <c r="W233" s="2">
        <f t="shared" si="95"/>
        <v>132000</v>
      </c>
      <c r="Y233" s="80">
        <f t="shared" si="96"/>
        <v>132000</v>
      </c>
      <c r="Z233" s="93"/>
      <c r="AA233" s="93"/>
      <c r="AB233" s="94"/>
      <c r="AE233" s="2">
        <v>250000</v>
      </c>
      <c r="AF233" s="28">
        <f t="shared" si="92"/>
        <v>250000</v>
      </c>
      <c r="AG233" s="55" t="s">
        <v>125</v>
      </c>
      <c r="AI233" s="20" t="s">
        <v>205</v>
      </c>
      <c r="AJ233" s="2">
        <f t="shared" si="97"/>
        <v>118000</v>
      </c>
      <c r="AN233" s="29">
        <f t="shared" si="98"/>
        <v>0.47199999999999998</v>
      </c>
      <c r="AP233" s="3" t="s">
        <v>158</v>
      </c>
      <c r="AR233" s="31">
        <f t="shared" si="99"/>
        <v>60325</v>
      </c>
      <c r="AS233" s="31">
        <f t="shared" si="100"/>
        <v>71296</v>
      </c>
      <c r="AT233" s="31">
        <f>IF(BX233&lt;&gt;"", AF233-BX233, 0)</f>
        <v>60888</v>
      </c>
      <c r="AU233" s="31">
        <f t="shared" si="101"/>
        <v>46533</v>
      </c>
      <c r="AV233" s="31">
        <f t="shared" si="102"/>
        <v>0</v>
      </c>
      <c r="AW233" s="31">
        <f t="shared" si="103"/>
        <v>0</v>
      </c>
      <c r="AX233" s="31">
        <f t="shared" si="104"/>
        <v>0</v>
      </c>
      <c r="AY233" s="31">
        <f t="shared" si="105"/>
        <v>0</v>
      </c>
      <c r="AZ233" s="31">
        <f t="shared" si="106"/>
        <v>25917</v>
      </c>
      <c r="BA233" s="31">
        <f t="shared" si="107"/>
        <v>0</v>
      </c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41">
        <v>183675</v>
      </c>
      <c r="BM233" s="41">
        <v>6000</v>
      </c>
      <c r="BN233" s="41">
        <f>BL233+BM233</f>
        <v>189675</v>
      </c>
      <c r="BO233" s="37">
        <f>BN233-Y233</f>
        <v>57675</v>
      </c>
      <c r="BP233" s="38">
        <f>BO233/BL233</f>
        <v>0.31400571661902815</v>
      </c>
      <c r="BQ233" s="37">
        <f>AF233-BN233</f>
        <v>60325</v>
      </c>
      <c r="BR233" s="40" t="s">
        <v>29</v>
      </c>
      <c r="BS233" s="39"/>
      <c r="BT233" s="39"/>
      <c r="BU233" s="39"/>
      <c r="BV233" s="39"/>
      <c r="BW233" s="39"/>
      <c r="BX233" s="36">
        <v>189112</v>
      </c>
      <c r="BY233" s="33">
        <v>6000</v>
      </c>
      <c r="BZ233" s="33">
        <f>BX233+BY233</f>
        <v>195112</v>
      </c>
      <c r="CA233" s="33">
        <f>BZ233-Y233</f>
        <v>63112</v>
      </c>
      <c r="CB233" s="34">
        <f>CA233/BX233</f>
        <v>0.33372816108972458</v>
      </c>
      <c r="CC233" s="33">
        <f>AF233-BZ233</f>
        <v>54888</v>
      </c>
      <c r="CD233" s="35" t="s">
        <v>29</v>
      </c>
      <c r="CE233" s="48"/>
      <c r="CF233" s="48"/>
      <c r="CG233" s="48"/>
      <c r="CH233" s="48"/>
      <c r="CI233" s="48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36">
        <v>178704</v>
      </c>
      <c r="CW233" s="36">
        <f>CV233-Y233</f>
        <v>46704</v>
      </c>
      <c r="CX233" s="46">
        <f>CW233/CV233</f>
        <v>0.26134837496642493</v>
      </c>
      <c r="CY233" s="36">
        <f>AF233-CV233</f>
        <v>71296</v>
      </c>
      <c r="CZ233" s="35" t="s">
        <v>29</v>
      </c>
      <c r="DA233" s="35"/>
      <c r="DB233" s="35"/>
      <c r="DC233" s="35"/>
      <c r="DD233" s="41">
        <v>203467</v>
      </c>
      <c r="DE233" s="37">
        <f>DD233-Y233</f>
        <v>71467</v>
      </c>
      <c r="DF233" s="38">
        <f>DE233/DD233</f>
        <v>0.35124614802400389</v>
      </c>
      <c r="DG233" s="37">
        <f>AF233-DD233</f>
        <v>46533</v>
      </c>
      <c r="DH233" s="40" t="s">
        <v>29</v>
      </c>
      <c r="DI233" s="40"/>
      <c r="DJ233" s="40"/>
      <c r="DK233" s="40"/>
      <c r="DL233" s="35"/>
      <c r="DM233" s="35"/>
      <c r="DN233" s="35"/>
      <c r="DO233" s="35"/>
      <c r="DP233" s="35"/>
      <c r="DQ233" s="35"/>
      <c r="DR233" s="35"/>
      <c r="DS233" s="35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41">
        <v>224083</v>
      </c>
      <c r="ES233" s="37">
        <f>ER233-Y233</f>
        <v>92083</v>
      </c>
      <c r="ET233" s="38">
        <f>ES233/ER233</f>
        <v>0.41093255624032166</v>
      </c>
      <c r="EU233" s="37">
        <f>AF233-ER233</f>
        <v>25917</v>
      </c>
      <c r="EV233" s="40" t="s">
        <v>29</v>
      </c>
      <c r="EW233" s="40"/>
      <c r="EX233" s="40"/>
      <c r="EY233" s="40"/>
      <c r="EZ233" s="35"/>
      <c r="FA233" s="35"/>
      <c r="FB233" s="35"/>
      <c r="FC233" s="35"/>
      <c r="FD233" s="35"/>
      <c r="FE233" s="35"/>
      <c r="FF233" s="35"/>
      <c r="FG233" s="35"/>
    </row>
    <row r="234" spans="1:163">
      <c r="A234" s="60">
        <v>31</v>
      </c>
      <c r="E234" s="63" t="s">
        <v>113</v>
      </c>
      <c r="F234" s="56" t="s">
        <v>113</v>
      </c>
      <c r="G234" s="65" t="s">
        <v>413</v>
      </c>
      <c r="H234" s="66" t="str">
        <f t="shared" si="93"/>
        <v xml:space="preserve"> 653</v>
      </c>
      <c r="I234" s="67" t="s">
        <v>413</v>
      </c>
      <c r="J234" s="68">
        <f t="shared" si="94"/>
        <v>0</v>
      </c>
      <c r="K234" s="63" t="s">
        <v>259</v>
      </c>
      <c r="L234" s="1" t="s">
        <v>46</v>
      </c>
      <c r="O234" s="64" t="s">
        <v>789</v>
      </c>
      <c r="P234" s="82">
        <v>0</v>
      </c>
      <c r="Q234" s="74">
        <f t="shared" ref="Q234:Q265" si="115">U234+V234</f>
        <v>68000</v>
      </c>
      <c r="R234" s="71">
        <v>68000</v>
      </c>
      <c r="S234" s="72">
        <f t="shared" si="109"/>
        <v>8250</v>
      </c>
      <c r="T234" s="68" t="s">
        <v>791</v>
      </c>
      <c r="U234" s="73">
        <f t="shared" si="110"/>
        <v>59750</v>
      </c>
      <c r="V234" s="75">
        <f>2000+5200+600+200+250</f>
        <v>8250</v>
      </c>
      <c r="W234" s="2">
        <f t="shared" si="95"/>
        <v>68000</v>
      </c>
      <c r="Y234" s="80">
        <f t="shared" si="96"/>
        <v>68000</v>
      </c>
      <c r="Z234" s="93"/>
      <c r="AA234" s="93"/>
      <c r="AB234" s="94"/>
      <c r="AE234" s="2">
        <v>97000</v>
      </c>
      <c r="AF234" s="28">
        <f t="shared" si="92"/>
        <v>97000</v>
      </c>
      <c r="AG234" s="55" t="s">
        <v>125</v>
      </c>
      <c r="AI234" s="20" t="s">
        <v>45</v>
      </c>
      <c r="AJ234" s="2">
        <f t="shared" si="97"/>
        <v>29000</v>
      </c>
      <c r="AN234" s="29">
        <f t="shared" si="98"/>
        <v>0.29896907216494845</v>
      </c>
      <c r="AP234" s="3" t="s">
        <v>29</v>
      </c>
      <c r="AQ234" s="1" t="s">
        <v>148</v>
      </c>
      <c r="AR234" s="31">
        <f t="shared" si="99"/>
        <v>0</v>
      </c>
      <c r="AS234" s="31">
        <f t="shared" si="100"/>
        <v>0</v>
      </c>
      <c r="AT234" s="31">
        <f t="shared" ref="AT234:AT246" si="116">IF(BZ234&lt;&gt;"", AF234-BZ234, 0)</f>
        <v>0</v>
      </c>
      <c r="AU234" s="31">
        <f t="shared" si="101"/>
        <v>0</v>
      </c>
      <c r="AV234" s="31">
        <f t="shared" si="102"/>
        <v>0</v>
      </c>
      <c r="AW234" s="31">
        <f t="shared" si="103"/>
        <v>0</v>
      </c>
      <c r="AX234" s="31">
        <f t="shared" si="104"/>
        <v>0</v>
      </c>
      <c r="AY234" s="31">
        <f t="shared" si="105"/>
        <v>0</v>
      </c>
      <c r="AZ234" s="31">
        <f t="shared" si="106"/>
        <v>0</v>
      </c>
      <c r="BA234" s="31">
        <f t="shared" si="107"/>
        <v>0</v>
      </c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41"/>
      <c r="BM234" s="41"/>
      <c r="BN234" s="41"/>
      <c r="BO234" s="37"/>
      <c r="BP234" s="38"/>
      <c r="BQ234" s="37"/>
      <c r="BR234" s="40"/>
      <c r="BS234" s="39"/>
      <c r="BT234" s="39"/>
      <c r="BU234" s="39"/>
      <c r="BV234" s="39"/>
      <c r="BW234" s="39"/>
      <c r="BX234" s="36"/>
      <c r="BY234" s="33"/>
      <c r="BZ234" s="33"/>
      <c r="CA234" s="33"/>
      <c r="CB234" s="34"/>
      <c r="CC234" s="33"/>
      <c r="CD234" s="35"/>
      <c r="CE234" s="48"/>
      <c r="CF234" s="48"/>
      <c r="CG234" s="48"/>
      <c r="CH234" s="48"/>
      <c r="CI234" s="48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35"/>
      <c r="CW234" s="35"/>
      <c r="CX234" s="35"/>
      <c r="CY234" s="35"/>
      <c r="CZ234" s="35"/>
      <c r="DA234" s="35"/>
      <c r="DB234" s="35"/>
      <c r="DC234" s="35"/>
      <c r="DD234" s="40"/>
      <c r="DE234" s="40"/>
      <c r="DF234" s="40"/>
      <c r="DG234" s="40"/>
      <c r="DH234" s="40"/>
      <c r="DI234" s="40"/>
      <c r="DJ234" s="40"/>
      <c r="DK234" s="40"/>
      <c r="DL234" s="35"/>
      <c r="DM234" s="35"/>
      <c r="DN234" s="35"/>
      <c r="DO234" s="35"/>
      <c r="DP234" s="35"/>
      <c r="DQ234" s="35"/>
      <c r="DR234" s="35"/>
      <c r="DS234" s="35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40"/>
      <c r="ES234" s="40"/>
      <c r="ET234" s="40"/>
      <c r="EU234" s="40"/>
      <c r="EV234" s="40"/>
      <c r="EW234" s="40"/>
      <c r="EX234" s="40"/>
      <c r="EY234" s="40"/>
      <c r="EZ234" s="35"/>
      <c r="FA234" s="35"/>
      <c r="FB234" s="35"/>
      <c r="FC234" s="35"/>
      <c r="FD234" s="35"/>
      <c r="FE234" s="35"/>
      <c r="FF234" s="35"/>
      <c r="FG234" s="35"/>
    </row>
    <row r="235" spans="1:163">
      <c r="A235" s="60">
        <v>81</v>
      </c>
      <c r="E235" s="63" t="s">
        <v>113</v>
      </c>
      <c r="F235" s="56" t="s">
        <v>115</v>
      </c>
      <c r="G235" s="65" t="s">
        <v>462</v>
      </c>
      <c r="H235" s="66" t="str">
        <f t="shared" si="93"/>
        <v xml:space="preserve"> 507</v>
      </c>
      <c r="I235" s="67" t="s">
        <v>462</v>
      </c>
      <c r="J235" s="68">
        <f t="shared" si="94"/>
        <v>0</v>
      </c>
      <c r="K235" s="63" t="s">
        <v>259</v>
      </c>
      <c r="L235" s="1" t="s">
        <v>46</v>
      </c>
      <c r="O235" s="64" t="s">
        <v>789</v>
      </c>
      <c r="P235" s="82">
        <v>0</v>
      </c>
      <c r="Q235" s="74">
        <f t="shared" si="115"/>
        <v>65000</v>
      </c>
      <c r="R235" s="71">
        <v>65000</v>
      </c>
      <c r="S235" s="72">
        <f t="shared" si="109"/>
        <v>7900</v>
      </c>
      <c r="T235" s="68" t="s">
        <v>791</v>
      </c>
      <c r="U235" s="73">
        <f t="shared" si="110"/>
        <v>57100</v>
      </c>
      <c r="V235" s="75">
        <f>2000+4850+600+200+250</f>
        <v>7900</v>
      </c>
      <c r="W235" s="2">
        <f t="shared" si="95"/>
        <v>65000</v>
      </c>
      <c r="Y235" s="80">
        <f t="shared" si="96"/>
        <v>65000</v>
      </c>
      <c r="Z235" s="93"/>
      <c r="AA235" s="93"/>
      <c r="AB235" s="94"/>
      <c r="AC235" s="2">
        <v>3000</v>
      </c>
      <c r="AD235" s="2">
        <f>Z235+AC235</f>
        <v>3000</v>
      </c>
      <c r="AF235" s="28">
        <f t="shared" si="92"/>
        <v>0</v>
      </c>
      <c r="AG235" s="55" t="s">
        <v>125</v>
      </c>
      <c r="AI235" s="20" t="s">
        <v>45</v>
      </c>
      <c r="AJ235" s="2">
        <f t="shared" si="97"/>
        <v>-65000</v>
      </c>
      <c r="AN235" s="29" t="e">
        <f t="shared" si="98"/>
        <v>#DIV/0!</v>
      </c>
      <c r="AO235" s="29" t="e">
        <f>AN235-AB235</f>
        <v>#DIV/0!</v>
      </c>
      <c r="AP235" s="3" t="s">
        <v>29</v>
      </c>
      <c r="AQ235" s="1" t="s">
        <v>153</v>
      </c>
      <c r="AR235" s="31">
        <f t="shared" si="99"/>
        <v>0</v>
      </c>
      <c r="AS235" s="31">
        <f t="shared" si="100"/>
        <v>0</v>
      </c>
      <c r="AT235" s="31">
        <f t="shared" si="116"/>
        <v>0</v>
      </c>
      <c r="AU235" s="31">
        <f t="shared" si="101"/>
        <v>0</v>
      </c>
      <c r="AV235" s="31">
        <f t="shared" si="102"/>
        <v>0</v>
      </c>
      <c r="AW235" s="31">
        <f t="shared" si="103"/>
        <v>0</v>
      </c>
      <c r="AX235" s="31">
        <f t="shared" si="104"/>
        <v>0</v>
      </c>
      <c r="AY235" s="31">
        <f t="shared" si="105"/>
        <v>0</v>
      </c>
      <c r="AZ235" s="31">
        <f t="shared" si="106"/>
        <v>0</v>
      </c>
      <c r="BA235" s="31">
        <f t="shared" si="107"/>
        <v>0</v>
      </c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41"/>
      <c r="BM235" s="41"/>
      <c r="BN235" s="41"/>
      <c r="BO235" s="37"/>
      <c r="BP235" s="38"/>
      <c r="BQ235" s="37"/>
      <c r="BR235" s="40"/>
      <c r="BS235" s="39"/>
      <c r="BT235" s="39"/>
      <c r="BU235" s="39"/>
      <c r="BV235" s="39"/>
      <c r="BW235" s="39"/>
      <c r="BX235" s="36"/>
      <c r="BY235" s="33"/>
      <c r="BZ235" s="33"/>
      <c r="CA235" s="33"/>
      <c r="CB235" s="34"/>
      <c r="CC235" s="33"/>
      <c r="CD235" s="35"/>
      <c r="CE235" s="48"/>
      <c r="CF235" s="48"/>
      <c r="CG235" s="48"/>
      <c r="CH235" s="48"/>
      <c r="CI235" s="48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35"/>
      <c r="CW235" s="35"/>
      <c r="CX235" s="35"/>
      <c r="CY235" s="35"/>
      <c r="CZ235" s="35"/>
      <c r="DA235" s="35"/>
      <c r="DB235" s="35"/>
      <c r="DC235" s="35"/>
      <c r="DD235" s="40"/>
      <c r="DE235" s="40"/>
      <c r="DF235" s="40"/>
      <c r="DG235" s="40"/>
      <c r="DH235" s="40"/>
      <c r="DI235" s="40"/>
      <c r="DJ235" s="40"/>
      <c r="DK235" s="40"/>
      <c r="DL235" s="35"/>
      <c r="DM235" s="35"/>
      <c r="DN235" s="35"/>
      <c r="DO235" s="35"/>
      <c r="DP235" s="35"/>
      <c r="DQ235" s="35"/>
      <c r="DR235" s="35"/>
      <c r="DS235" s="35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40"/>
      <c r="ES235" s="40"/>
      <c r="ET235" s="40"/>
      <c r="EU235" s="40"/>
      <c r="EV235" s="40"/>
      <c r="EW235" s="40"/>
      <c r="EX235" s="40"/>
      <c r="EY235" s="40"/>
      <c r="EZ235" s="35"/>
      <c r="FA235" s="35"/>
      <c r="FB235" s="35"/>
      <c r="FC235" s="35"/>
      <c r="FD235" s="35"/>
      <c r="FE235" s="35"/>
      <c r="FF235" s="35"/>
      <c r="FG235" s="35"/>
    </row>
    <row r="236" spans="1:163">
      <c r="A236" s="60">
        <v>97</v>
      </c>
      <c r="E236" s="63" t="s">
        <v>113</v>
      </c>
      <c r="F236" s="56" t="s">
        <v>58</v>
      </c>
      <c r="G236" s="65" t="s">
        <v>478</v>
      </c>
      <c r="H236" s="66" t="str">
        <f t="shared" si="93"/>
        <v xml:space="preserve"> 722</v>
      </c>
      <c r="I236" s="67" t="s">
        <v>478</v>
      </c>
      <c r="J236" s="68">
        <f t="shared" si="94"/>
        <v>0</v>
      </c>
      <c r="K236" s="63" t="s">
        <v>259</v>
      </c>
      <c r="L236" s="1" t="s">
        <v>46</v>
      </c>
      <c r="O236" s="64" t="s">
        <v>789</v>
      </c>
      <c r="P236" s="82">
        <v>0</v>
      </c>
      <c r="Q236" s="74">
        <f t="shared" si="115"/>
        <v>63000</v>
      </c>
      <c r="R236" s="71">
        <v>63000</v>
      </c>
      <c r="S236" s="72">
        <f t="shared" si="109"/>
        <v>7900</v>
      </c>
      <c r="T236" s="68" t="s">
        <v>791</v>
      </c>
      <c r="U236" s="73">
        <f t="shared" si="110"/>
        <v>55100</v>
      </c>
      <c r="V236" s="75">
        <f>2000+4850+600+200+250</f>
        <v>7900</v>
      </c>
      <c r="W236" s="2">
        <f t="shared" si="95"/>
        <v>63000</v>
      </c>
      <c r="Y236" s="80">
        <f t="shared" si="96"/>
        <v>63000</v>
      </c>
      <c r="Z236" s="93"/>
      <c r="AA236" s="93"/>
      <c r="AB236" s="94"/>
      <c r="AE236" s="2">
        <v>72000</v>
      </c>
      <c r="AF236" s="28">
        <f t="shared" si="92"/>
        <v>72000</v>
      </c>
      <c r="AG236" s="55" t="s">
        <v>125</v>
      </c>
      <c r="AI236" s="20" t="s">
        <v>45</v>
      </c>
      <c r="AJ236" s="2">
        <f t="shared" si="97"/>
        <v>9000</v>
      </c>
      <c r="AN236" s="29">
        <f t="shared" si="98"/>
        <v>0.125</v>
      </c>
      <c r="AP236" s="3" t="s">
        <v>29</v>
      </c>
      <c r="AQ236" s="1" t="s">
        <v>143</v>
      </c>
      <c r="AR236" s="31">
        <f t="shared" si="99"/>
        <v>0</v>
      </c>
      <c r="AS236" s="31">
        <f t="shared" si="100"/>
        <v>0</v>
      </c>
      <c r="AT236" s="31">
        <f t="shared" si="116"/>
        <v>0</v>
      </c>
      <c r="AU236" s="31">
        <f t="shared" si="101"/>
        <v>0</v>
      </c>
      <c r="AV236" s="31">
        <f t="shared" si="102"/>
        <v>0</v>
      </c>
      <c r="AW236" s="31">
        <f t="shared" si="103"/>
        <v>0</v>
      </c>
      <c r="AX236" s="31">
        <f t="shared" si="104"/>
        <v>0</v>
      </c>
      <c r="AY236" s="31">
        <f t="shared" si="105"/>
        <v>0</v>
      </c>
      <c r="AZ236" s="31">
        <f t="shared" si="106"/>
        <v>0</v>
      </c>
      <c r="BA236" s="31">
        <f t="shared" si="107"/>
        <v>0</v>
      </c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41"/>
      <c r="BM236" s="41"/>
      <c r="BN236" s="41"/>
      <c r="BO236" s="37"/>
      <c r="BP236" s="38"/>
      <c r="BQ236" s="37"/>
      <c r="BR236" s="40"/>
      <c r="BS236" s="39"/>
      <c r="BT236" s="39"/>
      <c r="BU236" s="39"/>
      <c r="BV236" s="39"/>
      <c r="BW236" s="39"/>
      <c r="BX236" s="36"/>
      <c r="BY236" s="33"/>
      <c r="BZ236" s="33"/>
      <c r="CA236" s="33"/>
      <c r="CB236" s="34"/>
      <c r="CC236" s="33"/>
      <c r="CD236" s="35"/>
      <c r="CE236" s="48"/>
      <c r="CF236" s="48"/>
      <c r="CG236" s="48"/>
      <c r="CH236" s="48"/>
      <c r="CI236" s="48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35"/>
      <c r="CW236" s="35"/>
      <c r="CX236" s="35"/>
      <c r="CY236" s="35"/>
      <c r="CZ236" s="35"/>
      <c r="DA236" s="35"/>
      <c r="DB236" s="35"/>
      <c r="DC236" s="35"/>
      <c r="DD236" s="40"/>
      <c r="DE236" s="40"/>
      <c r="DF236" s="40"/>
      <c r="DG236" s="40"/>
      <c r="DH236" s="40"/>
      <c r="DI236" s="40"/>
      <c r="DJ236" s="40"/>
      <c r="DK236" s="40"/>
      <c r="DL236" s="35"/>
      <c r="DM236" s="35"/>
      <c r="DN236" s="35"/>
      <c r="DO236" s="35"/>
      <c r="DP236" s="35"/>
      <c r="DQ236" s="35"/>
      <c r="DR236" s="35"/>
      <c r="DS236" s="35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40"/>
      <c r="ES236" s="40"/>
      <c r="ET236" s="40"/>
      <c r="EU236" s="40"/>
      <c r="EV236" s="40"/>
      <c r="EW236" s="40"/>
      <c r="EX236" s="40"/>
      <c r="EY236" s="40"/>
      <c r="EZ236" s="35"/>
      <c r="FA236" s="35"/>
      <c r="FB236" s="35"/>
      <c r="FC236" s="35"/>
      <c r="FD236" s="35"/>
      <c r="FE236" s="35"/>
      <c r="FF236" s="35"/>
      <c r="FG236" s="35"/>
    </row>
    <row r="237" spans="1:163">
      <c r="A237" s="60">
        <v>133</v>
      </c>
      <c r="E237" s="63" t="s">
        <v>113</v>
      </c>
      <c r="F237" s="56" t="s">
        <v>60</v>
      </c>
      <c r="G237" s="65" t="s">
        <v>512</v>
      </c>
      <c r="H237" s="66" t="str">
        <f t="shared" si="93"/>
        <v xml:space="preserve"> 103</v>
      </c>
      <c r="I237" s="67" t="s">
        <v>512</v>
      </c>
      <c r="J237" s="68">
        <f t="shared" si="94"/>
        <v>0</v>
      </c>
      <c r="K237" s="63" t="s">
        <v>259</v>
      </c>
      <c r="L237" s="1" t="s">
        <v>46</v>
      </c>
      <c r="O237" s="64" t="s">
        <v>789</v>
      </c>
      <c r="P237" s="82">
        <v>0</v>
      </c>
      <c r="Q237" s="74">
        <f t="shared" si="115"/>
        <v>63000</v>
      </c>
      <c r="R237" s="71">
        <v>63000</v>
      </c>
      <c r="S237" s="72">
        <f t="shared" si="109"/>
        <v>7900</v>
      </c>
      <c r="T237" s="68" t="s">
        <v>791</v>
      </c>
      <c r="U237" s="73">
        <f t="shared" si="110"/>
        <v>55100</v>
      </c>
      <c r="V237" s="75">
        <f>2000+4850+600+200+250</f>
        <v>7900</v>
      </c>
      <c r="W237" s="2">
        <f t="shared" si="95"/>
        <v>63000</v>
      </c>
      <c r="Y237" s="80">
        <f t="shared" si="96"/>
        <v>63000</v>
      </c>
      <c r="Z237" s="93"/>
      <c r="AA237" s="93"/>
      <c r="AB237" s="94"/>
      <c r="AE237" s="2">
        <v>127000</v>
      </c>
      <c r="AF237" s="28">
        <f t="shared" si="92"/>
        <v>127000</v>
      </c>
      <c r="AG237" s="55" t="s">
        <v>125</v>
      </c>
      <c r="AI237" s="20" t="s">
        <v>204</v>
      </c>
      <c r="AJ237" s="2">
        <f t="shared" si="97"/>
        <v>64000</v>
      </c>
      <c r="AK237" s="2" t="e">
        <f>AVERAGE(AF237,AF235,AF234,AF233,AF232,AF230,AF229,AF228,#REF!)</f>
        <v>#REF!</v>
      </c>
      <c r="AL237" s="2" t="e">
        <f>MIN(AF237,AF235,AF234,AF233,AF232,AF230,AF229,AF228,#REF!)</f>
        <v>#REF!</v>
      </c>
      <c r="AM237" s="2" t="e">
        <f>MAX(AF237,AF235,AF234,AF233,AF232,AF230,AF229,AF228,#REF!)</f>
        <v>#REF!</v>
      </c>
      <c r="AN237" s="29">
        <f t="shared" si="98"/>
        <v>0.50393700787401574</v>
      </c>
      <c r="AP237" s="3" t="s">
        <v>29</v>
      </c>
      <c r="AQ237" s="1" t="s">
        <v>142</v>
      </c>
      <c r="AR237" s="31">
        <f t="shared" si="99"/>
        <v>0</v>
      </c>
      <c r="AS237" s="31">
        <f t="shared" si="100"/>
        <v>0</v>
      </c>
      <c r="AT237" s="31">
        <f t="shared" si="116"/>
        <v>0</v>
      </c>
      <c r="AU237" s="31">
        <f t="shared" si="101"/>
        <v>0</v>
      </c>
      <c r="AV237" s="31">
        <f t="shared" si="102"/>
        <v>0</v>
      </c>
      <c r="AW237" s="31">
        <f t="shared" si="103"/>
        <v>0</v>
      </c>
      <c r="AX237" s="31">
        <f t="shared" si="104"/>
        <v>0</v>
      </c>
      <c r="AY237" s="31">
        <f t="shared" si="105"/>
        <v>0</v>
      </c>
      <c r="AZ237" s="31">
        <f t="shared" si="106"/>
        <v>0</v>
      </c>
      <c r="BA237" s="31">
        <f t="shared" si="107"/>
        <v>0</v>
      </c>
      <c r="BB237" s="32" t="e">
        <f>IF(BS237&lt;&gt;"", AK237-BS237, 0)</f>
        <v>#REF!</v>
      </c>
      <c r="BC237" s="32" t="e">
        <f>IF(DA237&lt;&gt;"", AK237-DA237, 0)</f>
        <v>#REF!</v>
      </c>
      <c r="BD237" s="32" t="e">
        <f>IF(CE237&lt;&gt;"", AK237-CE237, )</f>
        <v>#REF!</v>
      </c>
      <c r="BE237" s="32" t="e">
        <f>IF(DI237&lt;&gt;"", AK237-DI237, 0)</f>
        <v>#REF!</v>
      </c>
      <c r="BF237" s="32">
        <f>IF(CQ237&lt;&gt;"",AK237-CQ237, 0)</f>
        <v>0</v>
      </c>
      <c r="BG237" s="32" t="e">
        <f>IF(DQ237&lt;&gt;"", AK237-DQ237, 0)</f>
        <v>#REF!</v>
      </c>
      <c r="BH237" s="32" t="e">
        <f>IF(EA237&lt;&gt;"", AK237-EA237, 0)</f>
        <v>#REF!</v>
      </c>
      <c r="BI237" s="32" t="e">
        <f>IF(EM237&lt;&gt;"", AK237-EM237, 0)</f>
        <v>#REF!</v>
      </c>
      <c r="BJ237" s="32" t="e">
        <f>IF(EW237&lt;&gt;"", AK237-EW237, 0)</f>
        <v>#REF!</v>
      </c>
      <c r="BK237" s="32">
        <f>IF(FE237&lt;&gt;"", AK237-FE237, 0)</f>
        <v>0</v>
      </c>
      <c r="BL237" s="41"/>
      <c r="BM237" s="41"/>
      <c r="BN237" s="41"/>
      <c r="BO237" s="37"/>
      <c r="BP237" s="38"/>
      <c r="BQ237" s="37"/>
      <c r="BR237" s="40"/>
      <c r="BS237" s="41">
        <f>BU237+BT237</f>
        <v>114775</v>
      </c>
      <c r="BT237" s="41">
        <v>2500</v>
      </c>
      <c r="BU237" s="41">
        <v>112275</v>
      </c>
      <c r="BV237" s="41">
        <v>126000</v>
      </c>
      <c r="BW237" s="41">
        <v>99000</v>
      </c>
      <c r="BX237" s="36"/>
      <c r="BY237" s="33"/>
      <c r="BZ237" s="33"/>
      <c r="CA237" s="33"/>
      <c r="CB237" s="34"/>
      <c r="CC237" s="33"/>
      <c r="CD237" s="35"/>
      <c r="CE237" s="36">
        <f>CG237+CF237</f>
        <v>123650</v>
      </c>
      <c r="CF237" s="36">
        <v>3500</v>
      </c>
      <c r="CG237" s="36">
        <v>120150</v>
      </c>
      <c r="CH237" s="36">
        <v>124650</v>
      </c>
      <c r="CI237" s="36">
        <v>115650</v>
      </c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35"/>
      <c r="CW237" s="35"/>
      <c r="CX237" s="35"/>
      <c r="CY237" s="35"/>
      <c r="CZ237" s="35"/>
      <c r="DA237" s="36">
        <v>134768</v>
      </c>
      <c r="DB237" s="36">
        <v>153090</v>
      </c>
      <c r="DC237" s="36">
        <v>96930</v>
      </c>
      <c r="DD237" s="40"/>
      <c r="DE237" s="40"/>
      <c r="DF237" s="40"/>
      <c r="DG237" s="40"/>
      <c r="DH237" s="40"/>
      <c r="DI237" s="41">
        <v>110502</v>
      </c>
      <c r="DJ237" s="41">
        <v>121770</v>
      </c>
      <c r="DK237" s="41">
        <v>92880</v>
      </c>
      <c r="DL237" s="35"/>
      <c r="DM237" s="35"/>
      <c r="DN237" s="35"/>
      <c r="DO237" s="35"/>
      <c r="DP237" s="35"/>
      <c r="DQ237" s="36">
        <v>111300</v>
      </c>
      <c r="DR237" s="36">
        <v>135975</v>
      </c>
      <c r="DS237" s="36">
        <v>86625</v>
      </c>
      <c r="DT237" s="40"/>
      <c r="DU237" s="40"/>
      <c r="DV237" s="40"/>
      <c r="DW237" s="40"/>
      <c r="DX237" s="40"/>
      <c r="DY237" s="40"/>
      <c r="DZ237" s="40"/>
      <c r="EA237" s="41">
        <f>EC237+EB237</f>
        <v>97700</v>
      </c>
      <c r="EB237" s="41">
        <v>2500</v>
      </c>
      <c r="EC237" s="41">
        <v>95200</v>
      </c>
      <c r="ED237" s="41">
        <v>111037</v>
      </c>
      <c r="EE237" s="41">
        <v>76807</v>
      </c>
      <c r="EF237" s="35"/>
      <c r="EG237" s="35"/>
      <c r="EH237" s="35"/>
      <c r="EI237" s="35"/>
      <c r="EJ237" s="35"/>
      <c r="EK237" s="35"/>
      <c r="EL237" s="35"/>
      <c r="EM237" s="36">
        <f>EO237+EN237</f>
        <v>106807</v>
      </c>
      <c r="EN237" s="36">
        <v>2500</v>
      </c>
      <c r="EO237" s="36">
        <v>104307</v>
      </c>
      <c r="EP237" s="36">
        <v>111037</v>
      </c>
      <c r="EQ237" s="36">
        <v>99330</v>
      </c>
      <c r="ER237" s="40"/>
      <c r="ES237" s="40"/>
      <c r="ET237" s="40"/>
      <c r="EU237" s="40"/>
      <c r="EV237" s="40"/>
      <c r="EW237" s="41">
        <v>123200</v>
      </c>
      <c r="EX237" s="41">
        <v>135000</v>
      </c>
      <c r="EY237" s="41">
        <v>115999</v>
      </c>
      <c r="EZ237" s="35"/>
      <c r="FA237" s="35"/>
      <c r="FB237" s="35"/>
      <c r="FC237" s="35"/>
      <c r="FD237" s="35"/>
      <c r="FE237" s="35"/>
      <c r="FF237" s="35"/>
      <c r="FG237" s="35"/>
    </row>
    <row r="238" spans="1:163">
      <c r="A238" s="60">
        <v>71</v>
      </c>
      <c r="E238" s="63" t="s">
        <v>114</v>
      </c>
      <c r="F238" s="56" t="s">
        <v>115</v>
      </c>
      <c r="G238" s="65" t="s">
        <v>452</v>
      </c>
      <c r="H238" s="66" t="str">
        <f t="shared" si="93"/>
        <v xml:space="preserve"> 182</v>
      </c>
      <c r="I238" s="67" t="s">
        <v>452</v>
      </c>
      <c r="J238" s="68">
        <f t="shared" si="94"/>
        <v>0</v>
      </c>
      <c r="K238" s="63" t="s">
        <v>269</v>
      </c>
      <c r="L238" s="1" t="s">
        <v>46</v>
      </c>
      <c r="O238" s="64" t="s">
        <v>789</v>
      </c>
      <c r="P238" s="82">
        <v>0</v>
      </c>
      <c r="Q238" s="74">
        <f t="shared" si="115"/>
        <v>67000</v>
      </c>
      <c r="R238" s="71">
        <v>67000</v>
      </c>
      <c r="S238" s="72">
        <f t="shared" si="109"/>
        <v>8150</v>
      </c>
      <c r="T238" s="68" t="s">
        <v>791</v>
      </c>
      <c r="U238" s="73">
        <f t="shared" si="110"/>
        <v>58850</v>
      </c>
      <c r="V238" s="73">
        <f>2000+5100+600+200+250</f>
        <v>8150</v>
      </c>
      <c r="W238" s="2">
        <f t="shared" si="95"/>
        <v>67000</v>
      </c>
      <c r="Y238" s="80">
        <f t="shared" si="96"/>
        <v>67000</v>
      </c>
      <c r="Z238" s="93"/>
      <c r="AA238" s="93"/>
      <c r="AB238" s="94"/>
      <c r="AE238" s="2">
        <v>98000</v>
      </c>
      <c r="AF238" s="28">
        <f t="shared" si="92"/>
        <v>98000</v>
      </c>
      <c r="AG238" s="55" t="s">
        <v>125</v>
      </c>
      <c r="AI238" s="20" t="s">
        <v>45</v>
      </c>
      <c r="AJ238" s="2">
        <f t="shared" si="97"/>
        <v>31000</v>
      </c>
      <c r="AN238" s="29">
        <f t="shared" si="98"/>
        <v>0.31632653061224492</v>
      </c>
      <c r="AP238" s="3" t="s">
        <v>29</v>
      </c>
      <c r="AQ238" s="1" t="s">
        <v>153</v>
      </c>
      <c r="AR238" s="31">
        <f t="shared" si="99"/>
        <v>0</v>
      </c>
      <c r="AS238" s="31">
        <f t="shared" si="100"/>
        <v>0</v>
      </c>
      <c r="AT238" s="31">
        <f t="shared" si="116"/>
        <v>0</v>
      </c>
      <c r="AU238" s="31">
        <f t="shared" si="101"/>
        <v>0</v>
      </c>
      <c r="AV238" s="31">
        <f t="shared" si="102"/>
        <v>0</v>
      </c>
      <c r="AW238" s="31">
        <f t="shared" si="103"/>
        <v>0</v>
      </c>
      <c r="AX238" s="31">
        <f t="shared" si="104"/>
        <v>0</v>
      </c>
      <c r="AY238" s="31">
        <f t="shared" si="105"/>
        <v>0</v>
      </c>
      <c r="AZ238" s="31">
        <f t="shared" si="106"/>
        <v>0</v>
      </c>
      <c r="BA238" s="31">
        <f t="shared" si="107"/>
        <v>0</v>
      </c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41"/>
      <c r="BM238" s="41"/>
      <c r="BN238" s="41"/>
      <c r="BO238" s="37"/>
      <c r="BP238" s="38"/>
      <c r="BQ238" s="37"/>
      <c r="BR238" s="40"/>
      <c r="BS238" s="39"/>
      <c r="BT238" s="39"/>
      <c r="BU238" s="39"/>
      <c r="BV238" s="39"/>
      <c r="BW238" s="39"/>
      <c r="BX238" s="36"/>
      <c r="BY238" s="33"/>
      <c r="BZ238" s="33"/>
      <c r="CA238" s="33"/>
      <c r="CB238" s="34"/>
      <c r="CC238" s="33"/>
      <c r="CD238" s="35"/>
      <c r="CE238" s="48"/>
      <c r="CF238" s="48"/>
      <c r="CG238" s="48"/>
      <c r="CH238" s="48"/>
      <c r="CI238" s="48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35"/>
      <c r="CW238" s="35"/>
      <c r="CX238" s="35"/>
      <c r="CY238" s="35"/>
      <c r="CZ238" s="35"/>
      <c r="DA238" s="35"/>
      <c r="DB238" s="35"/>
      <c r="DC238" s="35"/>
      <c r="DD238" s="40"/>
      <c r="DE238" s="40"/>
      <c r="DF238" s="40"/>
      <c r="DG238" s="40"/>
      <c r="DH238" s="40"/>
      <c r="DI238" s="40"/>
      <c r="DJ238" s="40"/>
      <c r="DK238" s="40"/>
      <c r="DL238" s="35"/>
      <c r="DM238" s="35"/>
      <c r="DN238" s="35"/>
      <c r="DO238" s="35"/>
      <c r="DP238" s="35"/>
      <c r="DQ238" s="35"/>
      <c r="DR238" s="35"/>
      <c r="DS238" s="35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40"/>
      <c r="ES238" s="40"/>
      <c r="ET238" s="40"/>
      <c r="EU238" s="40"/>
      <c r="EV238" s="40"/>
      <c r="EW238" s="40"/>
      <c r="EX238" s="40"/>
      <c r="EY238" s="40"/>
      <c r="EZ238" s="35"/>
      <c r="FA238" s="35"/>
      <c r="FB238" s="35"/>
      <c r="FC238" s="35"/>
      <c r="FD238" s="35"/>
      <c r="FE238" s="35"/>
      <c r="FF238" s="35"/>
      <c r="FG238" s="35"/>
    </row>
    <row r="239" spans="1:163">
      <c r="A239" s="62">
        <v>312</v>
      </c>
      <c r="E239" s="63" t="s">
        <v>76</v>
      </c>
      <c r="F239" s="56" t="s">
        <v>74</v>
      </c>
      <c r="G239" s="65" t="s">
        <v>684</v>
      </c>
      <c r="H239" s="66" t="str">
        <f t="shared" si="93"/>
        <v xml:space="preserve"> 643</v>
      </c>
      <c r="I239" s="67" t="s">
        <v>684</v>
      </c>
      <c r="J239" s="68">
        <f t="shared" si="94"/>
        <v>0</v>
      </c>
      <c r="K239" s="63" t="s">
        <v>269</v>
      </c>
      <c r="L239" s="1" t="s">
        <v>46</v>
      </c>
      <c r="O239" s="64" t="s">
        <v>789</v>
      </c>
      <c r="P239" s="82">
        <v>0</v>
      </c>
      <c r="Q239" s="74">
        <f t="shared" si="115"/>
        <v>77000</v>
      </c>
      <c r="R239" s="71">
        <v>77000</v>
      </c>
      <c r="S239" s="72">
        <f t="shared" si="109"/>
        <v>9050</v>
      </c>
      <c r="T239" s="68" t="s">
        <v>791</v>
      </c>
      <c r="U239" s="73">
        <f t="shared" si="110"/>
        <v>67950</v>
      </c>
      <c r="V239" s="73">
        <f>2000+5500+600+200+250+500</f>
        <v>9050</v>
      </c>
      <c r="W239" s="2">
        <f t="shared" si="95"/>
        <v>77000</v>
      </c>
      <c r="Y239" s="80">
        <f t="shared" si="96"/>
        <v>77000</v>
      </c>
      <c r="Z239" s="93"/>
      <c r="AA239" s="93"/>
      <c r="AB239" s="94"/>
      <c r="AE239" s="2">
        <v>93000</v>
      </c>
      <c r="AF239" s="28">
        <f t="shared" si="92"/>
        <v>93000</v>
      </c>
      <c r="AG239" s="55" t="s">
        <v>125</v>
      </c>
      <c r="AI239" s="20" t="s">
        <v>45</v>
      </c>
      <c r="AJ239" s="2">
        <f t="shared" si="97"/>
        <v>16000</v>
      </c>
      <c r="AN239" s="29">
        <f t="shared" si="98"/>
        <v>0.17204301075268819</v>
      </c>
      <c r="AP239" s="3" t="s">
        <v>29</v>
      </c>
      <c r="AQ239" s="1" t="s">
        <v>185</v>
      </c>
      <c r="AR239" s="31">
        <f t="shared" si="99"/>
        <v>0</v>
      </c>
      <c r="AS239" s="31">
        <f t="shared" si="100"/>
        <v>0</v>
      </c>
      <c r="AT239" s="31">
        <f t="shared" si="116"/>
        <v>0</v>
      </c>
      <c r="AU239" s="31">
        <f t="shared" si="101"/>
        <v>0</v>
      </c>
      <c r="AV239" s="31">
        <f t="shared" si="102"/>
        <v>0</v>
      </c>
      <c r="AW239" s="31">
        <f t="shared" si="103"/>
        <v>0</v>
      </c>
      <c r="AX239" s="31">
        <f t="shared" si="104"/>
        <v>0</v>
      </c>
      <c r="AY239" s="31">
        <f t="shared" si="105"/>
        <v>0</v>
      </c>
      <c r="AZ239" s="31">
        <f t="shared" si="106"/>
        <v>0</v>
      </c>
      <c r="BA239" s="31">
        <f t="shared" si="107"/>
        <v>0</v>
      </c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41"/>
      <c r="BM239" s="41"/>
      <c r="BN239" s="41"/>
      <c r="BO239" s="37"/>
      <c r="BP239" s="38"/>
      <c r="BQ239" s="37"/>
      <c r="BR239" s="40"/>
      <c r="BS239" s="39"/>
      <c r="BT239" s="39"/>
      <c r="BU239" s="39"/>
      <c r="BV239" s="39"/>
      <c r="BW239" s="39"/>
      <c r="BX239" s="36"/>
      <c r="BY239" s="33"/>
      <c r="BZ239" s="33"/>
      <c r="CA239" s="33"/>
      <c r="CB239" s="34"/>
      <c r="CC239" s="33"/>
      <c r="CD239" s="35"/>
      <c r="CE239" s="48"/>
      <c r="CF239" s="48"/>
      <c r="CG239" s="48"/>
      <c r="CH239" s="48"/>
      <c r="CI239" s="48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35"/>
      <c r="CW239" s="35"/>
      <c r="CX239" s="35"/>
      <c r="CY239" s="35"/>
      <c r="CZ239" s="35"/>
      <c r="DA239" s="35"/>
      <c r="DB239" s="35"/>
      <c r="DC239" s="35"/>
      <c r="DD239" s="40"/>
      <c r="DE239" s="40"/>
      <c r="DF239" s="40"/>
      <c r="DG239" s="40"/>
      <c r="DH239" s="40"/>
      <c r="DI239" s="40"/>
      <c r="DJ239" s="40"/>
      <c r="DK239" s="40"/>
      <c r="DL239" s="35"/>
      <c r="DM239" s="35"/>
      <c r="DN239" s="35"/>
      <c r="DO239" s="35"/>
      <c r="DP239" s="35"/>
      <c r="DQ239" s="35"/>
      <c r="DR239" s="35"/>
      <c r="DS239" s="35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40"/>
      <c r="ES239" s="40"/>
      <c r="ET239" s="40"/>
      <c r="EU239" s="40"/>
      <c r="EV239" s="40"/>
      <c r="EW239" s="40"/>
      <c r="EX239" s="40"/>
      <c r="EY239" s="40"/>
      <c r="EZ239" s="35"/>
      <c r="FA239" s="35"/>
      <c r="FB239" s="35"/>
      <c r="FC239" s="35"/>
      <c r="FD239" s="35"/>
      <c r="FE239" s="35"/>
      <c r="FF239" s="35"/>
      <c r="FG239" s="35"/>
    </row>
    <row r="240" spans="1:163">
      <c r="A240" s="62">
        <v>403</v>
      </c>
      <c r="E240" s="63" t="s">
        <v>233</v>
      </c>
      <c r="F240" s="56" t="s">
        <v>88</v>
      </c>
      <c r="G240" s="65" t="s">
        <v>771</v>
      </c>
      <c r="H240" s="66" t="str">
        <f t="shared" si="93"/>
        <v xml:space="preserve"> 123</v>
      </c>
      <c r="I240" s="67" t="s">
        <v>771</v>
      </c>
      <c r="J240" s="68">
        <f t="shared" si="94"/>
        <v>0</v>
      </c>
      <c r="K240" s="63" t="s">
        <v>269</v>
      </c>
      <c r="L240" s="1" t="s">
        <v>46</v>
      </c>
      <c r="O240" s="64" t="s">
        <v>789</v>
      </c>
      <c r="P240" s="82">
        <v>0</v>
      </c>
      <c r="Q240" s="74">
        <f t="shared" si="115"/>
        <v>62500</v>
      </c>
      <c r="R240" s="71">
        <v>62500</v>
      </c>
      <c r="S240" s="72">
        <f t="shared" si="109"/>
        <v>7900</v>
      </c>
      <c r="T240" s="68" t="s">
        <v>791</v>
      </c>
      <c r="U240" s="73">
        <f t="shared" si="110"/>
        <v>54600</v>
      </c>
      <c r="V240" s="73">
        <f>2000+4850+600+200+250</f>
        <v>7900</v>
      </c>
      <c r="W240" s="2">
        <f t="shared" si="95"/>
        <v>62500</v>
      </c>
      <c r="Y240" s="80">
        <f t="shared" si="96"/>
        <v>62500</v>
      </c>
      <c r="Z240" s="93"/>
      <c r="AA240" s="93"/>
      <c r="AB240" s="94"/>
      <c r="AE240" s="2">
        <v>80000</v>
      </c>
      <c r="AF240" s="28">
        <f t="shared" si="92"/>
        <v>80000</v>
      </c>
      <c r="AG240" s="55" t="s">
        <v>125</v>
      </c>
      <c r="AI240" s="20" t="s">
        <v>206</v>
      </c>
      <c r="AJ240" s="2">
        <f t="shared" si="97"/>
        <v>17500</v>
      </c>
      <c r="AN240" s="29">
        <f t="shared" si="98"/>
        <v>0.21875</v>
      </c>
      <c r="AP240" s="3" t="s">
        <v>140</v>
      </c>
      <c r="AQ240" s="1" t="s">
        <v>199</v>
      </c>
      <c r="AR240" s="31">
        <f t="shared" si="99"/>
        <v>0</v>
      </c>
      <c r="AS240" s="31">
        <f t="shared" si="100"/>
        <v>0</v>
      </c>
      <c r="AT240" s="31">
        <f t="shared" si="116"/>
        <v>0</v>
      </c>
      <c r="AU240" s="31">
        <f t="shared" si="101"/>
        <v>0</v>
      </c>
      <c r="AV240" s="31">
        <f t="shared" si="102"/>
        <v>0</v>
      </c>
      <c r="AW240" s="31">
        <f t="shared" si="103"/>
        <v>0</v>
      </c>
      <c r="AX240" s="31">
        <f t="shared" si="104"/>
        <v>0</v>
      </c>
      <c r="AY240" s="31">
        <f t="shared" si="105"/>
        <v>0</v>
      </c>
      <c r="AZ240" s="31">
        <f t="shared" si="106"/>
        <v>0</v>
      </c>
      <c r="BA240" s="31">
        <f t="shared" si="107"/>
        <v>0</v>
      </c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35"/>
      <c r="CW240" s="35"/>
      <c r="CX240" s="35"/>
      <c r="CY240" s="35"/>
      <c r="CZ240" s="35"/>
      <c r="DA240" s="35"/>
      <c r="DB240" s="35"/>
      <c r="DC240" s="35"/>
      <c r="DD240" s="40"/>
      <c r="DE240" s="40"/>
      <c r="DF240" s="40"/>
      <c r="DG240" s="40"/>
      <c r="DH240" s="40"/>
      <c r="DI240" s="40"/>
      <c r="DJ240" s="40"/>
      <c r="DK240" s="40"/>
      <c r="DL240" s="35"/>
      <c r="DM240" s="35"/>
      <c r="DN240" s="35"/>
      <c r="DO240" s="35"/>
      <c r="DP240" s="35"/>
      <c r="DQ240" s="35"/>
      <c r="DR240" s="35"/>
      <c r="DS240" s="35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40"/>
      <c r="ES240" s="40"/>
      <c r="ET240" s="40"/>
      <c r="EU240" s="40"/>
      <c r="EV240" s="40"/>
      <c r="EW240" s="40"/>
      <c r="EX240" s="40"/>
      <c r="EY240" s="40"/>
      <c r="EZ240" s="35"/>
      <c r="FA240" s="35"/>
      <c r="FB240" s="35"/>
      <c r="FC240" s="35"/>
      <c r="FD240" s="35"/>
      <c r="FE240" s="35"/>
      <c r="FF240" s="35"/>
      <c r="FG240" s="35"/>
    </row>
    <row r="241" spans="1:163">
      <c r="A241" s="62">
        <v>406</v>
      </c>
      <c r="E241" s="63" t="s">
        <v>233</v>
      </c>
      <c r="F241" s="56" t="s">
        <v>88</v>
      </c>
      <c r="G241" s="65" t="s">
        <v>774</v>
      </c>
      <c r="H241" s="66" t="str">
        <f t="shared" si="93"/>
        <v xml:space="preserve"> 602</v>
      </c>
      <c r="I241" s="67" t="s">
        <v>774</v>
      </c>
      <c r="J241" s="68">
        <f t="shared" si="94"/>
        <v>0</v>
      </c>
      <c r="K241" s="63" t="s">
        <v>269</v>
      </c>
      <c r="L241" s="1" t="s">
        <v>46</v>
      </c>
      <c r="O241" s="64" t="s">
        <v>789</v>
      </c>
      <c r="P241" s="82">
        <v>0</v>
      </c>
      <c r="Q241" s="74">
        <f t="shared" si="115"/>
        <v>66000</v>
      </c>
      <c r="R241" s="71">
        <v>66000</v>
      </c>
      <c r="S241" s="72">
        <f t="shared" si="109"/>
        <v>7900</v>
      </c>
      <c r="T241" s="68" t="s">
        <v>791</v>
      </c>
      <c r="U241" s="73">
        <f t="shared" si="110"/>
        <v>58100</v>
      </c>
      <c r="V241" s="73">
        <f>2000+4850+600+200+250</f>
        <v>7900</v>
      </c>
      <c r="W241" s="2">
        <f t="shared" si="95"/>
        <v>66000</v>
      </c>
      <c r="Y241" s="80">
        <f t="shared" si="96"/>
        <v>66000</v>
      </c>
      <c r="Z241" s="93"/>
      <c r="AA241" s="93"/>
      <c r="AB241" s="94"/>
      <c r="AE241" s="2">
        <v>89000</v>
      </c>
      <c r="AF241" s="28">
        <f t="shared" si="92"/>
        <v>89000</v>
      </c>
      <c r="AG241" s="55" t="s">
        <v>125</v>
      </c>
      <c r="AI241" s="20" t="s">
        <v>206</v>
      </c>
      <c r="AJ241" s="2">
        <f t="shared" si="97"/>
        <v>23000</v>
      </c>
      <c r="AN241" s="29">
        <f t="shared" si="98"/>
        <v>0.25842696629213485</v>
      </c>
      <c r="AP241" s="3" t="s">
        <v>140</v>
      </c>
      <c r="AQ241" s="1" t="s">
        <v>199</v>
      </c>
      <c r="AR241" s="31">
        <f t="shared" si="99"/>
        <v>0</v>
      </c>
      <c r="AS241" s="31">
        <f t="shared" si="100"/>
        <v>0</v>
      </c>
      <c r="AT241" s="31">
        <f t="shared" si="116"/>
        <v>0</v>
      </c>
      <c r="AU241" s="31">
        <f t="shared" si="101"/>
        <v>0</v>
      </c>
      <c r="AV241" s="31">
        <f t="shared" si="102"/>
        <v>0</v>
      </c>
      <c r="AW241" s="31">
        <f t="shared" si="103"/>
        <v>0</v>
      </c>
      <c r="AX241" s="31">
        <f t="shared" si="104"/>
        <v>0</v>
      </c>
      <c r="AY241" s="31">
        <f t="shared" si="105"/>
        <v>0</v>
      </c>
      <c r="AZ241" s="31">
        <f t="shared" si="106"/>
        <v>0</v>
      </c>
      <c r="BA241" s="31">
        <f t="shared" si="107"/>
        <v>0</v>
      </c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35"/>
      <c r="CW241" s="35"/>
      <c r="CX241" s="35"/>
      <c r="CY241" s="35"/>
      <c r="CZ241" s="35"/>
      <c r="DA241" s="35"/>
      <c r="DB241" s="35"/>
      <c r="DC241" s="35"/>
      <c r="DD241" s="40"/>
      <c r="DE241" s="40"/>
      <c r="DF241" s="40"/>
      <c r="DG241" s="40"/>
      <c r="DH241" s="40"/>
      <c r="DI241" s="40"/>
      <c r="DJ241" s="40"/>
      <c r="DK241" s="40"/>
      <c r="DL241" s="35"/>
      <c r="DM241" s="35"/>
      <c r="DN241" s="35"/>
      <c r="DO241" s="35"/>
      <c r="DP241" s="35"/>
      <c r="DQ241" s="35"/>
      <c r="DR241" s="35"/>
      <c r="DS241" s="35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40"/>
      <c r="ES241" s="40"/>
      <c r="ET241" s="40"/>
      <c r="EU241" s="40"/>
      <c r="EV241" s="40"/>
      <c r="EW241" s="40"/>
      <c r="EX241" s="40"/>
      <c r="EY241" s="40"/>
      <c r="EZ241" s="35"/>
      <c r="FA241" s="35"/>
      <c r="FB241" s="35"/>
      <c r="FC241" s="35"/>
      <c r="FD241" s="35"/>
      <c r="FE241" s="35"/>
      <c r="FF241" s="35"/>
      <c r="FG241" s="35"/>
    </row>
    <row r="242" spans="1:163">
      <c r="A242" s="60">
        <v>129</v>
      </c>
      <c r="E242" s="63" t="s">
        <v>58</v>
      </c>
      <c r="F242" s="56" t="s">
        <v>60</v>
      </c>
      <c r="G242" s="70" t="s">
        <v>508</v>
      </c>
      <c r="H242" s="66" t="str">
        <f t="shared" si="93"/>
        <v xml:space="preserve"> 226</v>
      </c>
      <c r="I242" s="67" t="s">
        <v>508</v>
      </c>
      <c r="J242" s="68">
        <f t="shared" si="94"/>
        <v>0</v>
      </c>
      <c r="K242" s="63" t="s">
        <v>269</v>
      </c>
      <c r="L242" s="1" t="s">
        <v>46</v>
      </c>
      <c r="O242" s="88" t="s">
        <v>790</v>
      </c>
      <c r="P242" s="89">
        <v>0</v>
      </c>
      <c r="Q242" s="90">
        <f t="shared" si="115"/>
        <v>0</v>
      </c>
      <c r="R242" s="71"/>
      <c r="S242" s="72">
        <f t="shared" si="109"/>
        <v>0</v>
      </c>
      <c r="T242" s="68"/>
      <c r="U242" s="73">
        <f t="shared" si="110"/>
        <v>0</v>
      </c>
      <c r="V242" s="73"/>
      <c r="W242" s="2">
        <f t="shared" si="95"/>
        <v>0</v>
      </c>
      <c r="Y242" s="81">
        <f t="shared" si="96"/>
        <v>0</v>
      </c>
      <c r="Z242" s="96">
        <v>0</v>
      </c>
      <c r="AA242" s="97">
        <f>U242-Z242</f>
        <v>0</v>
      </c>
      <c r="AB242" s="98" t="e">
        <f>AA242/Z242</f>
        <v>#DIV/0!</v>
      </c>
      <c r="AE242" s="2">
        <v>138000</v>
      </c>
      <c r="AF242" s="28">
        <f t="shared" si="92"/>
        <v>0</v>
      </c>
      <c r="AG242" s="55" t="s">
        <v>125</v>
      </c>
      <c r="AI242" s="20" t="s">
        <v>204</v>
      </c>
      <c r="AJ242" s="2">
        <f t="shared" si="97"/>
        <v>0</v>
      </c>
      <c r="AN242" s="29" t="e">
        <f t="shared" si="98"/>
        <v>#DIV/0!</v>
      </c>
      <c r="AP242" s="3" t="s">
        <v>29</v>
      </c>
      <c r="AQ242" s="1" t="s">
        <v>142</v>
      </c>
      <c r="AR242" s="31">
        <f t="shared" si="99"/>
        <v>0</v>
      </c>
      <c r="AS242" s="31">
        <f t="shared" si="100"/>
        <v>0</v>
      </c>
      <c r="AT242" s="31">
        <f t="shared" si="116"/>
        <v>0</v>
      </c>
      <c r="AU242" s="31">
        <f t="shared" si="101"/>
        <v>0</v>
      </c>
      <c r="AV242" s="31">
        <f t="shared" si="102"/>
        <v>0</v>
      </c>
      <c r="AW242" s="31">
        <f t="shared" si="103"/>
        <v>0</v>
      </c>
      <c r="AX242" s="31">
        <f t="shared" si="104"/>
        <v>0</v>
      </c>
      <c r="AY242" s="31">
        <f t="shared" si="105"/>
        <v>0</v>
      </c>
      <c r="AZ242" s="31">
        <f t="shared" si="106"/>
        <v>0</v>
      </c>
      <c r="BA242" s="31">
        <f t="shared" si="107"/>
        <v>0</v>
      </c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41"/>
      <c r="BM242" s="41"/>
      <c r="BN242" s="41"/>
      <c r="BO242" s="37"/>
      <c r="BP242" s="38"/>
      <c r="BQ242" s="37"/>
      <c r="BR242" s="40"/>
      <c r="BS242" s="39"/>
      <c r="BT242" s="39"/>
      <c r="BU242" s="39"/>
      <c r="BV242" s="39"/>
      <c r="BW242" s="39"/>
      <c r="BX242" s="36"/>
      <c r="BY242" s="33"/>
      <c r="BZ242" s="33"/>
      <c r="CA242" s="33"/>
      <c r="CB242" s="34"/>
      <c r="CC242" s="33"/>
      <c r="CD242" s="35"/>
      <c r="CE242" s="48"/>
      <c r="CF242" s="48"/>
      <c r="CG242" s="48"/>
      <c r="CH242" s="48"/>
      <c r="CI242" s="48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35"/>
      <c r="CW242" s="35"/>
      <c r="CX242" s="35"/>
      <c r="CY242" s="35"/>
      <c r="CZ242" s="35"/>
      <c r="DA242" s="35"/>
      <c r="DB242" s="35"/>
      <c r="DC242" s="35"/>
      <c r="DD242" s="40"/>
      <c r="DE242" s="40"/>
      <c r="DF242" s="40"/>
      <c r="DG242" s="40"/>
      <c r="DH242" s="40"/>
      <c r="DI242" s="40"/>
      <c r="DJ242" s="40"/>
      <c r="DK242" s="40"/>
      <c r="DL242" s="35"/>
      <c r="DM242" s="35"/>
      <c r="DN242" s="35"/>
      <c r="DO242" s="35"/>
      <c r="DP242" s="35"/>
      <c r="DQ242" s="35"/>
      <c r="DR242" s="35"/>
      <c r="DS242" s="35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40"/>
      <c r="ES242" s="40"/>
      <c r="ET242" s="40"/>
      <c r="EU242" s="40"/>
      <c r="EV242" s="40"/>
      <c r="EW242" s="40"/>
      <c r="EX242" s="40"/>
      <c r="EY242" s="40"/>
      <c r="EZ242" s="35"/>
      <c r="FA242" s="35"/>
      <c r="FB242" s="35"/>
      <c r="FC242" s="35"/>
      <c r="FD242" s="35"/>
      <c r="FE242" s="35"/>
      <c r="FF242" s="35"/>
      <c r="FG242" s="35"/>
    </row>
    <row r="243" spans="1:163">
      <c r="A243" s="62">
        <v>314</v>
      </c>
      <c r="E243" s="63" t="s">
        <v>76</v>
      </c>
      <c r="F243" s="56" t="s">
        <v>74</v>
      </c>
      <c r="G243" s="65" t="s">
        <v>686</v>
      </c>
      <c r="H243" s="66" t="str">
        <f t="shared" si="93"/>
        <v xml:space="preserve"> 366</v>
      </c>
      <c r="I243" s="67" t="s">
        <v>686</v>
      </c>
      <c r="J243" s="68">
        <f t="shared" si="94"/>
        <v>0</v>
      </c>
      <c r="K243" s="63" t="s">
        <v>269</v>
      </c>
      <c r="L243" s="1" t="s">
        <v>46</v>
      </c>
      <c r="O243" s="88" t="s">
        <v>790</v>
      </c>
      <c r="P243" s="89">
        <v>0</v>
      </c>
      <c r="Q243" s="90">
        <f t="shared" si="115"/>
        <v>77000</v>
      </c>
      <c r="R243" s="71">
        <v>77000</v>
      </c>
      <c r="S243" s="72">
        <f t="shared" si="109"/>
        <v>9050</v>
      </c>
      <c r="T243" s="68" t="s">
        <v>791</v>
      </c>
      <c r="U243" s="73">
        <f t="shared" si="110"/>
        <v>67950</v>
      </c>
      <c r="V243" s="73">
        <f>2000+5500+600+200+250+500</f>
        <v>9050</v>
      </c>
      <c r="W243" s="2">
        <f t="shared" si="95"/>
        <v>77000</v>
      </c>
      <c r="Y243" s="81">
        <f t="shared" si="96"/>
        <v>77000</v>
      </c>
      <c r="Z243" s="96">
        <v>0</v>
      </c>
      <c r="AA243" s="97">
        <f>U243-Z243</f>
        <v>67950</v>
      </c>
      <c r="AB243" s="98" t="e">
        <f>AA243/Z243</f>
        <v>#DIV/0!</v>
      </c>
      <c r="AC243" s="2">
        <v>3000</v>
      </c>
      <c r="AD243" s="2">
        <f>Z243+AC243</f>
        <v>3000</v>
      </c>
      <c r="AF243" s="28">
        <f t="shared" si="92"/>
        <v>3000</v>
      </c>
      <c r="AG243" s="55" t="s">
        <v>125</v>
      </c>
      <c r="AI243" s="20" t="s">
        <v>45</v>
      </c>
      <c r="AJ243" s="2">
        <f t="shared" si="97"/>
        <v>-74000</v>
      </c>
      <c r="AN243" s="29">
        <f t="shared" si="98"/>
        <v>-24.666666666666668</v>
      </c>
      <c r="AO243" s="29" t="e">
        <f>AN243-AB243</f>
        <v>#DIV/0!</v>
      </c>
      <c r="AP243" s="3" t="s">
        <v>29</v>
      </c>
      <c r="AQ243" s="1" t="s">
        <v>185</v>
      </c>
      <c r="AR243" s="31">
        <f t="shared" si="99"/>
        <v>0</v>
      </c>
      <c r="AS243" s="31">
        <f t="shared" si="100"/>
        <v>0</v>
      </c>
      <c r="AT243" s="31">
        <f t="shared" si="116"/>
        <v>0</v>
      </c>
      <c r="AU243" s="31">
        <f t="shared" si="101"/>
        <v>0</v>
      </c>
      <c r="AV243" s="31">
        <f t="shared" si="102"/>
        <v>0</v>
      </c>
      <c r="AW243" s="31">
        <f t="shared" si="103"/>
        <v>0</v>
      </c>
      <c r="AX243" s="31">
        <f t="shared" si="104"/>
        <v>0</v>
      </c>
      <c r="AY243" s="31">
        <f t="shared" si="105"/>
        <v>0</v>
      </c>
      <c r="AZ243" s="31">
        <f t="shared" si="106"/>
        <v>0</v>
      </c>
      <c r="BA243" s="31">
        <f t="shared" si="107"/>
        <v>0</v>
      </c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41"/>
      <c r="BM243" s="41"/>
      <c r="BN243" s="41"/>
      <c r="BO243" s="37"/>
      <c r="BP243" s="38"/>
      <c r="BQ243" s="37"/>
      <c r="BR243" s="40"/>
      <c r="BS243" s="39"/>
      <c r="BT243" s="39"/>
      <c r="BU243" s="39"/>
      <c r="BV243" s="39"/>
      <c r="BW243" s="39"/>
      <c r="BX243" s="36"/>
      <c r="BY243" s="33"/>
      <c r="BZ243" s="33"/>
      <c r="CA243" s="33"/>
      <c r="CB243" s="34"/>
      <c r="CC243" s="33"/>
      <c r="CD243" s="35"/>
      <c r="CE243" s="48"/>
      <c r="CF243" s="48"/>
      <c r="CG243" s="48"/>
      <c r="CH243" s="48"/>
      <c r="CI243" s="48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35"/>
      <c r="CW243" s="35"/>
      <c r="CX243" s="35"/>
      <c r="CY243" s="35"/>
      <c r="CZ243" s="35"/>
      <c r="DA243" s="35"/>
      <c r="DB243" s="35"/>
      <c r="DC243" s="35"/>
      <c r="DD243" s="40"/>
      <c r="DE243" s="40"/>
      <c r="DF243" s="40"/>
      <c r="DG243" s="40"/>
      <c r="DH243" s="40"/>
      <c r="DI243" s="40"/>
      <c r="DJ243" s="40"/>
      <c r="DK243" s="40"/>
      <c r="DL243" s="35"/>
      <c r="DM243" s="35"/>
      <c r="DN243" s="35"/>
      <c r="DO243" s="35"/>
      <c r="DP243" s="35"/>
      <c r="DQ243" s="35"/>
      <c r="DR243" s="35"/>
      <c r="DS243" s="35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40"/>
      <c r="ES243" s="40"/>
      <c r="ET243" s="40"/>
      <c r="EU243" s="40"/>
      <c r="EV243" s="40"/>
      <c r="EW243" s="40"/>
      <c r="EX243" s="40"/>
      <c r="EY243" s="40"/>
      <c r="EZ243" s="35"/>
      <c r="FA243" s="35"/>
      <c r="FB243" s="35"/>
      <c r="FC243" s="35"/>
      <c r="FD243" s="35"/>
      <c r="FE243" s="35"/>
      <c r="FF243" s="35"/>
      <c r="FG243" s="35"/>
    </row>
    <row r="244" spans="1:163">
      <c r="A244" s="60">
        <v>105</v>
      </c>
      <c r="E244" s="63" t="s">
        <v>56</v>
      </c>
      <c r="F244" s="56" t="s">
        <v>58</v>
      </c>
      <c r="G244" s="65" t="s">
        <v>484</v>
      </c>
      <c r="H244" s="66" t="str">
        <f t="shared" si="93"/>
        <v xml:space="preserve"> 422</v>
      </c>
      <c r="I244" s="67" t="s">
        <v>484</v>
      </c>
      <c r="J244" s="68">
        <f t="shared" si="94"/>
        <v>0</v>
      </c>
      <c r="K244" s="63" t="s">
        <v>269</v>
      </c>
      <c r="L244" s="1" t="s">
        <v>46</v>
      </c>
      <c r="O244" s="88" t="s">
        <v>790</v>
      </c>
      <c r="P244" s="89">
        <v>0</v>
      </c>
      <c r="Q244" s="90">
        <f t="shared" si="115"/>
        <v>60000</v>
      </c>
      <c r="R244" s="71">
        <v>60000</v>
      </c>
      <c r="S244" s="72">
        <f t="shared" si="109"/>
        <v>8150</v>
      </c>
      <c r="T244" s="68" t="s">
        <v>791</v>
      </c>
      <c r="U244" s="73">
        <f t="shared" si="110"/>
        <v>51850</v>
      </c>
      <c r="V244" s="73">
        <f>2000+5100+600+200+250</f>
        <v>8150</v>
      </c>
      <c r="W244" s="2">
        <f t="shared" si="95"/>
        <v>60000</v>
      </c>
      <c r="Y244" s="81">
        <f t="shared" si="96"/>
        <v>60000</v>
      </c>
      <c r="Z244" s="96">
        <v>0</v>
      </c>
      <c r="AA244" s="97">
        <f>U244-Z244</f>
        <v>51850</v>
      </c>
      <c r="AB244" s="98" t="e">
        <f>AA244/Z244</f>
        <v>#DIV/0!</v>
      </c>
      <c r="AE244" s="2">
        <v>113000</v>
      </c>
      <c r="AF244" s="28">
        <f t="shared" si="92"/>
        <v>0</v>
      </c>
      <c r="AG244" s="55" t="s">
        <v>125</v>
      </c>
      <c r="AI244" s="20" t="s">
        <v>45</v>
      </c>
      <c r="AJ244" s="2">
        <f t="shared" si="97"/>
        <v>-60000</v>
      </c>
      <c r="AN244" s="29" t="e">
        <f t="shared" si="98"/>
        <v>#DIV/0!</v>
      </c>
      <c r="AP244" s="3" t="s">
        <v>29</v>
      </c>
      <c r="AQ244" s="1" t="s">
        <v>143</v>
      </c>
      <c r="AR244" s="31">
        <f t="shared" si="99"/>
        <v>0</v>
      </c>
      <c r="AS244" s="31">
        <f t="shared" si="100"/>
        <v>0</v>
      </c>
      <c r="AT244" s="31">
        <f t="shared" si="116"/>
        <v>0</v>
      </c>
      <c r="AU244" s="31">
        <f t="shared" si="101"/>
        <v>0</v>
      </c>
      <c r="AV244" s="31">
        <f t="shared" si="102"/>
        <v>0</v>
      </c>
      <c r="AW244" s="31">
        <f t="shared" si="103"/>
        <v>0</v>
      </c>
      <c r="AX244" s="31">
        <f t="shared" si="104"/>
        <v>0</v>
      </c>
      <c r="AY244" s="31">
        <f t="shared" si="105"/>
        <v>0</v>
      </c>
      <c r="AZ244" s="31">
        <f t="shared" si="106"/>
        <v>0</v>
      </c>
      <c r="BA244" s="31">
        <f t="shared" si="107"/>
        <v>0</v>
      </c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41"/>
      <c r="BM244" s="41"/>
      <c r="BN244" s="41"/>
      <c r="BO244" s="37"/>
      <c r="BP244" s="38"/>
      <c r="BQ244" s="37"/>
      <c r="BR244" s="40"/>
      <c r="BS244" s="39"/>
      <c r="BT244" s="39"/>
      <c r="BU244" s="39"/>
      <c r="BV244" s="39"/>
      <c r="BW244" s="39"/>
      <c r="BX244" s="36"/>
      <c r="BY244" s="33"/>
      <c r="BZ244" s="33"/>
      <c r="CA244" s="33"/>
      <c r="CB244" s="34"/>
      <c r="CC244" s="33"/>
      <c r="CD244" s="35"/>
      <c r="CE244" s="48"/>
      <c r="CF244" s="48"/>
      <c r="CG244" s="48"/>
      <c r="CH244" s="48"/>
      <c r="CI244" s="48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35"/>
      <c r="CW244" s="35"/>
      <c r="CX244" s="35"/>
      <c r="CY244" s="35"/>
      <c r="CZ244" s="35"/>
      <c r="DA244" s="35"/>
      <c r="DB244" s="35"/>
      <c r="DC244" s="35"/>
      <c r="DD244" s="40"/>
      <c r="DE244" s="40"/>
      <c r="DF244" s="40"/>
      <c r="DG244" s="40"/>
      <c r="DH244" s="40"/>
      <c r="DI244" s="40"/>
      <c r="DJ244" s="40"/>
      <c r="DK244" s="40"/>
      <c r="DL244" s="35"/>
      <c r="DM244" s="35"/>
      <c r="DN244" s="35"/>
      <c r="DO244" s="35"/>
      <c r="DP244" s="35"/>
      <c r="DQ244" s="35"/>
      <c r="DR244" s="35"/>
      <c r="DS244" s="35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40"/>
      <c r="ES244" s="40"/>
      <c r="ET244" s="40"/>
      <c r="EU244" s="40"/>
      <c r="EV244" s="40"/>
      <c r="EW244" s="40"/>
      <c r="EX244" s="40"/>
      <c r="EY244" s="40"/>
      <c r="EZ244" s="35"/>
      <c r="FA244" s="35"/>
      <c r="FB244" s="35"/>
      <c r="FC244" s="35"/>
      <c r="FD244" s="35"/>
      <c r="FE244" s="35"/>
      <c r="FF244" s="35"/>
      <c r="FG244" s="35"/>
    </row>
    <row r="245" spans="1:163">
      <c r="A245" s="62">
        <v>276</v>
      </c>
      <c r="E245" s="63" t="s">
        <v>93</v>
      </c>
      <c r="F245" s="56" t="s">
        <v>95</v>
      </c>
      <c r="G245" s="65" t="s">
        <v>651</v>
      </c>
      <c r="H245" s="66" t="str">
        <f t="shared" si="93"/>
        <v xml:space="preserve"> 642</v>
      </c>
      <c r="I245" s="67" t="s">
        <v>651</v>
      </c>
      <c r="J245" s="68">
        <f t="shared" si="94"/>
        <v>0</v>
      </c>
      <c r="K245" s="63" t="s">
        <v>269</v>
      </c>
      <c r="L245" s="1" t="s">
        <v>46</v>
      </c>
      <c r="O245" s="88" t="s">
        <v>790</v>
      </c>
      <c r="P245" s="89">
        <v>0</v>
      </c>
      <c r="Q245" s="90">
        <f t="shared" si="115"/>
        <v>92500</v>
      </c>
      <c r="R245" s="71">
        <v>92500</v>
      </c>
      <c r="S245" s="72">
        <f t="shared" si="109"/>
        <v>9050</v>
      </c>
      <c r="T245" s="68" t="s">
        <v>791</v>
      </c>
      <c r="U245" s="73">
        <f t="shared" si="110"/>
        <v>83450</v>
      </c>
      <c r="V245" s="73">
        <f>2000+5500+600+200+250+500</f>
        <v>9050</v>
      </c>
      <c r="W245" s="2">
        <f t="shared" si="95"/>
        <v>92500</v>
      </c>
      <c r="Y245" s="81">
        <f t="shared" si="96"/>
        <v>92500</v>
      </c>
      <c r="Z245" s="96">
        <v>0</v>
      </c>
      <c r="AA245" s="97">
        <f>U245-Z245</f>
        <v>83450</v>
      </c>
      <c r="AB245" s="98" t="e">
        <f>AA245/Z245</f>
        <v>#DIV/0!</v>
      </c>
      <c r="AE245" s="2">
        <v>122000</v>
      </c>
      <c r="AF245" s="28">
        <f t="shared" si="92"/>
        <v>0</v>
      </c>
      <c r="AG245" s="55" t="s">
        <v>125</v>
      </c>
      <c r="AI245" s="20" t="s">
        <v>45</v>
      </c>
      <c r="AJ245" s="2">
        <f t="shared" si="97"/>
        <v>-92500</v>
      </c>
      <c r="AN245" s="29" t="e">
        <f t="shared" si="98"/>
        <v>#DIV/0!</v>
      </c>
      <c r="AP245" s="3" t="s">
        <v>29</v>
      </c>
      <c r="AQ245" s="1" t="s">
        <v>190</v>
      </c>
      <c r="AR245" s="31">
        <f t="shared" si="99"/>
        <v>0</v>
      </c>
      <c r="AS245" s="31">
        <f t="shared" si="100"/>
        <v>0</v>
      </c>
      <c r="AT245" s="31">
        <f t="shared" si="116"/>
        <v>0</v>
      </c>
      <c r="AU245" s="31">
        <f t="shared" si="101"/>
        <v>0</v>
      </c>
      <c r="AV245" s="31">
        <f t="shared" si="102"/>
        <v>0</v>
      </c>
      <c r="AW245" s="31">
        <f t="shared" si="103"/>
        <v>0</v>
      </c>
      <c r="AX245" s="31">
        <f t="shared" si="104"/>
        <v>0</v>
      </c>
      <c r="AY245" s="31">
        <f t="shared" si="105"/>
        <v>0</v>
      </c>
      <c r="AZ245" s="31">
        <f t="shared" si="106"/>
        <v>0</v>
      </c>
      <c r="BA245" s="31">
        <f t="shared" si="107"/>
        <v>0</v>
      </c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35"/>
      <c r="CW245" s="35"/>
      <c r="CX245" s="35"/>
      <c r="CY245" s="35"/>
      <c r="CZ245" s="35"/>
      <c r="DA245" s="35"/>
      <c r="DB245" s="35"/>
      <c r="DC245" s="35"/>
      <c r="DD245" s="40"/>
      <c r="DE245" s="40"/>
      <c r="DF245" s="40"/>
      <c r="DG245" s="40"/>
      <c r="DH245" s="40"/>
      <c r="DI245" s="40"/>
      <c r="DJ245" s="40"/>
      <c r="DK245" s="40"/>
      <c r="DL245" s="35"/>
      <c r="DM245" s="35"/>
      <c r="DN245" s="35"/>
      <c r="DO245" s="35"/>
      <c r="DP245" s="35"/>
      <c r="DQ245" s="35"/>
      <c r="DR245" s="35"/>
      <c r="DS245" s="35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40"/>
      <c r="ES245" s="40"/>
      <c r="ET245" s="40"/>
      <c r="EU245" s="40"/>
      <c r="EV245" s="40"/>
      <c r="EW245" s="40"/>
      <c r="EX245" s="40"/>
      <c r="EY245" s="40"/>
      <c r="EZ245" s="35"/>
      <c r="FA245" s="35"/>
      <c r="FB245" s="35"/>
      <c r="FC245" s="35"/>
      <c r="FD245" s="35"/>
      <c r="FE245" s="35"/>
      <c r="FF245" s="35"/>
      <c r="FG245" s="35"/>
    </row>
    <row r="246" spans="1:163">
      <c r="A246" s="62">
        <v>221</v>
      </c>
      <c r="E246" s="63" t="s">
        <v>218</v>
      </c>
      <c r="F246" s="56" t="s">
        <v>122</v>
      </c>
      <c r="G246" s="65" t="s">
        <v>601</v>
      </c>
      <c r="H246" s="66" t="str">
        <f t="shared" si="93"/>
        <v xml:space="preserve"> 668</v>
      </c>
      <c r="I246" s="67" t="s">
        <v>601</v>
      </c>
      <c r="J246" s="68">
        <f t="shared" si="94"/>
        <v>0</v>
      </c>
      <c r="K246" s="63" t="s">
        <v>269</v>
      </c>
      <c r="L246" s="1" t="s">
        <v>46</v>
      </c>
      <c r="O246" s="88" t="s">
        <v>790</v>
      </c>
      <c r="P246" s="89">
        <v>0</v>
      </c>
      <c r="Q246" s="90">
        <f t="shared" si="115"/>
        <v>92000</v>
      </c>
      <c r="R246" s="71">
        <v>92000</v>
      </c>
      <c r="S246" s="72">
        <f t="shared" si="109"/>
        <v>9050</v>
      </c>
      <c r="T246" s="68" t="s">
        <v>791</v>
      </c>
      <c r="U246" s="73">
        <f t="shared" si="110"/>
        <v>82950</v>
      </c>
      <c r="V246" s="73">
        <f>2000+5500+600+200+250+500</f>
        <v>9050</v>
      </c>
      <c r="W246" s="2">
        <f t="shared" si="95"/>
        <v>92000</v>
      </c>
      <c r="Y246" s="81">
        <f t="shared" si="96"/>
        <v>92000</v>
      </c>
      <c r="Z246" s="96">
        <v>0</v>
      </c>
      <c r="AA246" s="97">
        <f>U246-Z246</f>
        <v>82950</v>
      </c>
      <c r="AB246" s="98" t="e">
        <f>AA246/Z246</f>
        <v>#DIV/0!</v>
      </c>
      <c r="AE246" s="2">
        <v>120000</v>
      </c>
      <c r="AF246" s="28">
        <f t="shared" si="92"/>
        <v>0</v>
      </c>
      <c r="AJ246" s="2">
        <f t="shared" si="97"/>
        <v>-92000</v>
      </c>
      <c r="AN246" s="29" t="e">
        <f t="shared" si="98"/>
        <v>#DIV/0!</v>
      </c>
      <c r="AP246" s="3" t="s">
        <v>158</v>
      </c>
      <c r="AR246" s="31">
        <f t="shared" si="99"/>
        <v>0</v>
      </c>
      <c r="AS246" s="31">
        <f t="shared" si="100"/>
        <v>0</v>
      </c>
      <c r="AT246" s="31">
        <f t="shared" si="116"/>
        <v>0</v>
      </c>
      <c r="AU246" s="31">
        <f t="shared" si="101"/>
        <v>0</v>
      </c>
      <c r="AV246" s="31">
        <f t="shared" si="102"/>
        <v>0</v>
      </c>
      <c r="AW246" s="31">
        <f t="shared" si="103"/>
        <v>0</v>
      </c>
      <c r="AX246" s="31">
        <f t="shared" si="104"/>
        <v>0</v>
      </c>
      <c r="AY246" s="31">
        <f t="shared" si="105"/>
        <v>0</v>
      </c>
      <c r="AZ246" s="31">
        <f t="shared" si="106"/>
        <v>0</v>
      </c>
      <c r="BA246" s="31">
        <f t="shared" si="107"/>
        <v>0</v>
      </c>
      <c r="BB246" s="32">
        <f>IF(BS246&lt;&gt;"", AK246-BS246, 0)</f>
        <v>0</v>
      </c>
      <c r="BC246" s="32">
        <f>IF(DA246&lt;&gt;"", AK246-DA246, 0)</f>
        <v>0</v>
      </c>
      <c r="BD246" s="32">
        <f>IF(CE246&lt;&gt;"", AK246-CE246, )</f>
        <v>0</v>
      </c>
      <c r="BE246" s="32">
        <f>IF(DI246&lt;&gt;"", AK246-DI246, 0)</f>
        <v>0</v>
      </c>
      <c r="BF246" s="32">
        <f>IF(CQ246&lt;&gt;"",AK246-CQ246, 0)</f>
        <v>0</v>
      </c>
      <c r="BG246" s="32">
        <f>IF(DQ246&lt;&gt;"", AK246-DQ246, 0)</f>
        <v>0</v>
      </c>
      <c r="BH246" s="32">
        <f>IF(EA246&lt;&gt;"", AK246-EA246, 0)</f>
        <v>0</v>
      </c>
      <c r="BI246" s="32">
        <f>IF(EM246&lt;&gt;"", AK246-EM246, 0)</f>
        <v>0</v>
      </c>
      <c r="BJ246" s="32">
        <f>IF(EW246&lt;&gt;"", AK246-EW246, 0)</f>
        <v>0</v>
      </c>
      <c r="BK246" s="32">
        <f>IF(FE246&lt;&gt;"", AK246-FE246, 0)</f>
        <v>0</v>
      </c>
      <c r="DU246" s="1"/>
    </row>
    <row r="247" spans="1:163">
      <c r="A247" s="62">
        <v>411</v>
      </c>
      <c r="E247" s="63" t="s">
        <v>233</v>
      </c>
      <c r="F247" s="56" t="s">
        <v>81</v>
      </c>
      <c r="G247" s="70" t="s">
        <v>779</v>
      </c>
      <c r="H247" s="66" t="str">
        <f t="shared" si="93"/>
        <v xml:space="preserve"> 560</v>
      </c>
      <c r="I247" s="67" t="s">
        <v>779</v>
      </c>
      <c r="J247" s="68">
        <f t="shared" si="94"/>
        <v>0</v>
      </c>
      <c r="K247" s="63" t="s">
        <v>376</v>
      </c>
      <c r="L247" s="1" t="s">
        <v>46</v>
      </c>
      <c r="O247" s="64" t="s">
        <v>789</v>
      </c>
      <c r="P247" s="82">
        <v>0</v>
      </c>
      <c r="Q247" s="74">
        <f t="shared" si="115"/>
        <v>0</v>
      </c>
      <c r="R247" s="71"/>
      <c r="S247" s="72">
        <f t="shared" si="109"/>
        <v>0</v>
      </c>
      <c r="T247" s="68"/>
      <c r="U247" s="73">
        <f t="shared" si="110"/>
        <v>0</v>
      </c>
      <c r="V247" s="73"/>
      <c r="W247" s="2">
        <f t="shared" si="95"/>
        <v>0</v>
      </c>
      <c r="Y247" s="80">
        <f t="shared" si="96"/>
        <v>0</v>
      </c>
      <c r="Z247" s="93"/>
      <c r="AA247" s="93"/>
      <c r="AB247" s="94"/>
      <c r="AE247" s="2">
        <v>71000</v>
      </c>
      <c r="AF247" s="28">
        <f t="shared" si="92"/>
        <v>71000</v>
      </c>
      <c r="AG247" s="55" t="s">
        <v>125</v>
      </c>
      <c r="AI247" s="20" t="s">
        <v>45</v>
      </c>
      <c r="AJ247" s="2">
        <f t="shared" si="97"/>
        <v>71000</v>
      </c>
      <c r="AN247" s="29">
        <f t="shared" si="98"/>
        <v>1</v>
      </c>
      <c r="AP247" s="3" t="s">
        <v>140</v>
      </c>
      <c r="AQ247" s="1" t="s">
        <v>126</v>
      </c>
      <c r="AR247" s="31">
        <f t="shared" si="99"/>
        <v>0</v>
      </c>
      <c r="AS247" s="31">
        <f t="shared" si="100"/>
        <v>0</v>
      </c>
      <c r="AT247" s="31">
        <f>IF(BX247&lt;&gt;"", AF247-BX247, 0)</f>
        <v>0</v>
      </c>
      <c r="AU247" s="31">
        <f t="shared" si="101"/>
        <v>0</v>
      </c>
      <c r="AV247" s="31">
        <f t="shared" si="102"/>
        <v>0</v>
      </c>
      <c r="AW247" s="31">
        <f t="shared" si="103"/>
        <v>0</v>
      </c>
      <c r="AX247" s="31">
        <f t="shared" si="104"/>
        <v>0</v>
      </c>
      <c r="AY247" s="31">
        <f t="shared" si="105"/>
        <v>0</v>
      </c>
      <c r="AZ247" s="31">
        <f t="shared" si="106"/>
        <v>0</v>
      </c>
      <c r="BA247" s="31">
        <f t="shared" si="107"/>
        <v>0</v>
      </c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35"/>
      <c r="CW247" s="35"/>
      <c r="CX247" s="35"/>
      <c r="CY247" s="35"/>
      <c r="CZ247" s="35"/>
      <c r="DA247" s="35"/>
      <c r="DB247" s="35"/>
      <c r="DC247" s="35"/>
      <c r="DD247" s="40"/>
      <c r="DE247" s="40"/>
      <c r="DF247" s="40"/>
      <c r="DG247" s="40"/>
      <c r="DH247" s="40"/>
      <c r="DI247" s="40"/>
      <c r="DJ247" s="40"/>
      <c r="DK247" s="40"/>
      <c r="DL247" s="35"/>
      <c r="DM247" s="35"/>
      <c r="DN247" s="35"/>
      <c r="DO247" s="35"/>
      <c r="DP247" s="35"/>
      <c r="DQ247" s="35"/>
      <c r="DR247" s="35"/>
      <c r="DS247" s="35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40"/>
      <c r="ES247" s="40"/>
      <c r="ET247" s="40"/>
      <c r="EU247" s="40"/>
      <c r="EV247" s="40"/>
      <c r="EW247" s="40"/>
      <c r="EX247" s="40"/>
      <c r="EY247" s="40"/>
      <c r="EZ247" s="35"/>
      <c r="FA247" s="35"/>
      <c r="FB247" s="35"/>
      <c r="FC247" s="35"/>
      <c r="FD247" s="35"/>
      <c r="FE247" s="35"/>
      <c r="FF247" s="35"/>
      <c r="FG247" s="35"/>
    </row>
    <row r="248" spans="1:163">
      <c r="A248" s="62">
        <v>369</v>
      </c>
      <c r="E248" s="63" t="s">
        <v>76</v>
      </c>
      <c r="F248" s="56" t="s">
        <v>86</v>
      </c>
      <c r="G248" s="70" t="s">
        <v>738</v>
      </c>
      <c r="H248" s="66" t="str">
        <f t="shared" si="93"/>
        <v xml:space="preserve"> 971</v>
      </c>
      <c r="I248" s="67" t="s">
        <v>738</v>
      </c>
      <c r="J248" s="68">
        <f t="shared" si="94"/>
        <v>0</v>
      </c>
      <c r="K248" s="63" t="s">
        <v>376</v>
      </c>
      <c r="L248" s="1" t="s">
        <v>46</v>
      </c>
      <c r="O248" s="64" t="s">
        <v>789</v>
      </c>
      <c r="P248" s="82">
        <v>0</v>
      </c>
      <c r="Q248" s="74">
        <f t="shared" si="115"/>
        <v>0</v>
      </c>
      <c r="R248" s="71"/>
      <c r="S248" s="72">
        <f t="shared" si="109"/>
        <v>0</v>
      </c>
      <c r="T248" s="68"/>
      <c r="U248" s="73">
        <f t="shared" si="110"/>
        <v>0</v>
      </c>
      <c r="V248" s="73"/>
      <c r="W248" s="2">
        <f t="shared" si="95"/>
        <v>0</v>
      </c>
      <c r="Y248" s="80">
        <f t="shared" si="96"/>
        <v>0</v>
      </c>
      <c r="Z248" s="93"/>
      <c r="AA248" s="93"/>
      <c r="AB248" s="94"/>
      <c r="AE248" s="2">
        <v>98000</v>
      </c>
      <c r="AF248" s="28">
        <f t="shared" si="92"/>
        <v>98000</v>
      </c>
      <c r="AG248" s="55" t="s">
        <v>125</v>
      </c>
      <c r="AI248" s="20" t="s">
        <v>45</v>
      </c>
      <c r="AJ248" s="2">
        <f t="shared" si="97"/>
        <v>98000</v>
      </c>
      <c r="AK248" s="2">
        <f>AVERAGE(AF248,AF247,AF246,AF245,AF244,AF243,AF242,AF241,AF240,AF239,AF238,AF237,AF236,AF235,AF234,AF233,AF232,AF231,AF230,AF229,AF228)</f>
        <v>55571.428571428572</v>
      </c>
      <c r="AL248" s="2">
        <f>MIN(AF248,AF247,AF246,AF245,AF244,AF243,AF242,AF241,AF240,AF239,AF238,AF237,AF236,AF235,AF234,AF233,AF232,AF231,AF230,AF229,AF228)</f>
        <v>0</v>
      </c>
      <c r="AM248" s="2">
        <f>MAX(AF248,AF247,AF246,AF245,AF244,AF243,AF242,AF241,AF240,AF239,AF238,AF237,AF236,AF235,AF234,AF233,AF232,AF231,AF230,AF229,AF228)</f>
        <v>250000</v>
      </c>
      <c r="AN248" s="29">
        <f t="shared" si="98"/>
        <v>1</v>
      </c>
      <c r="AP248" s="3" t="s">
        <v>29</v>
      </c>
      <c r="AQ248" s="1" t="s">
        <v>203</v>
      </c>
      <c r="AR248" s="31">
        <f t="shared" si="99"/>
        <v>0</v>
      </c>
      <c r="AS248" s="31">
        <f t="shared" si="100"/>
        <v>0</v>
      </c>
      <c r="AT248" s="31">
        <f>IF(BZ248&lt;&gt;"", AF248-BZ248, 0)</f>
        <v>0</v>
      </c>
      <c r="AU248" s="31">
        <f t="shared" si="101"/>
        <v>0</v>
      </c>
      <c r="AV248" s="31">
        <f t="shared" si="102"/>
        <v>0</v>
      </c>
      <c r="AW248" s="31">
        <f t="shared" si="103"/>
        <v>0</v>
      </c>
      <c r="AX248" s="31">
        <f t="shared" si="104"/>
        <v>0</v>
      </c>
      <c r="AY248" s="31">
        <f t="shared" si="105"/>
        <v>0</v>
      </c>
      <c r="AZ248" s="31">
        <f t="shared" si="106"/>
        <v>0</v>
      </c>
      <c r="BA248" s="31">
        <f t="shared" si="107"/>
        <v>0</v>
      </c>
      <c r="BB248" s="32">
        <f>IF(BS248&lt;&gt;"", AK248-BS248, 0)</f>
        <v>0</v>
      </c>
      <c r="BC248" s="32">
        <f>IF(DA248&lt;&gt;"", AK248-DA248, 0)</f>
        <v>-45580.571428571428</v>
      </c>
      <c r="BD248" s="32">
        <f>IF(CE248&lt;&gt;"", AK248-CE248, )</f>
        <v>0</v>
      </c>
      <c r="BE248" s="32">
        <f>IF(DI248&lt;&gt;"", AK248-DI248, 0)</f>
        <v>-36577.571428571428</v>
      </c>
      <c r="BF248" s="32">
        <f>IF(CQ248&lt;&gt;"",AK248-CQ248, 0)</f>
        <v>-37872.571428571428</v>
      </c>
      <c r="BG248" s="32">
        <f>IF(DQ248&lt;&gt;"", AK248-DQ248, 0)</f>
        <v>-34251.571428571428</v>
      </c>
      <c r="BH248" s="32">
        <f>IF(EA248&lt;&gt;"", AK248-EA248, 0)</f>
        <v>-33004.571428571428</v>
      </c>
      <c r="BI248" s="32">
        <f>IF(EM248&lt;&gt;"", AK248-EM248, 0)</f>
        <v>-36483.571428571428</v>
      </c>
      <c r="BJ248" s="32">
        <f>IF(EW248&lt;&gt;"", AK248-EW248, 0)</f>
        <v>-70761.57142857142</v>
      </c>
      <c r="BK248" s="32">
        <f>IF(FE248&lt;&gt;"", AK248-FE248, 0)</f>
        <v>0</v>
      </c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0"/>
      <c r="CK248" s="40"/>
      <c r="CL248" s="40"/>
      <c r="CM248" s="40"/>
      <c r="CN248" s="40"/>
      <c r="CO248" s="40"/>
      <c r="CP248" s="40"/>
      <c r="CQ248" s="41">
        <f>CS248+CR248</f>
        <v>93444</v>
      </c>
      <c r="CR248" s="41">
        <v>2500</v>
      </c>
      <c r="CS248" s="41">
        <v>90944</v>
      </c>
      <c r="CT248" s="41">
        <v>109350</v>
      </c>
      <c r="CU248" s="41">
        <v>72450</v>
      </c>
      <c r="CV248" s="35"/>
      <c r="CW248" s="35"/>
      <c r="CX248" s="35"/>
      <c r="CY248" s="35"/>
      <c r="CZ248" s="35"/>
      <c r="DA248" s="36">
        <v>101152</v>
      </c>
      <c r="DB248" s="36">
        <v>113611</v>
      </c>
      <c r="DC248" s="36">
        <v>87480</v>
      </c>
      <c r="DD248" s="40"/>
      <c r="DE248" s="40"/>
      <c r="DF248" s="40"/>
      <c r="DG248" s="40"/>
      <c r="DH248" s="40"/>
      <c r="DI248" s="41">
        <v>92149</v>
      </c>
      <c r="DJ248" s="41">
        <v>102600</v>
      </c>
      <c r="DK248" s="41">
        <v>84726</v>
      </c>
      <c r="DL248" s="35"/>
      <c r="DM248" s="35"/>
      <c r="DN248" s="35"/>
      <c r="DO248" s="35"/>
      <c r="DP248" s="35"/>
      <c r="DQ248" s="36">
        <v>89823</v>
      </c>
      <c r="DR248" s="36">
        <v>107625</v>
      </c>
      <c r="DS248" s="36">
        <v>72450</v>
      </c>
      <c r="DT248" s="40"/>
      <c r="DU248" s="40"/>
      <c r="DV248" s="40"/>
      <c r="DW248" s="40"/>
      <c r="DX248" s="40"/>
      <c r="DY248" s="40"/>
      <c r="DZ248" s="40"/>
      <c r="EA248" s="41">
        <f>EC248+EB248</f>
        <v>88576</v>
      </c>
      <c r="EB248" s="41">
        <v>2500</v>
      </c>
      <c r="EC248" s="41">
        <v>86076</v>
      </c>
      <c r="ED248" s="41">
        <v>102847</v>
      </c>
      <c r="EE248" s="41">
        <v>69825</v>
      </c>
      <c r="EF248" s="35"/>
      <c r="EG248" s="35"/>
      <c r="EH248" s="35"/>
      <c r="EI248" s="35"/>
      <c r="EJ248" s="35"/>
      <c r="EK248" s="35"/>
      <c r="EL248" s="35"/>
      <c r="EM248" s="49">
        <f>EO248+EN248</f>
        <v>92055</v>
      </c>
      <c r="EN248" s="36">
        <v>2500</v>
      </c>
      <c r="EO248" s="36">
        <v>89555</v>
      </c>
      <c r="EP248" s="36">
        <v>97755</v>
      </c>
      <c r="EQ248" s="36">
        <v>73237</v>
      </c>
      <c r="ER248" s="40"/>
      <c r="ES248" s="40"/>
      <c r="ET248" s="40"/>
      <c r="EU248" s="40"/>
      <c r="EV248" s="40"/>
      <c r="EW248" s="41">
        <v>126333</v>
      </c>
      <c r="EX248" s="41">
        <v>164999</v>
      </c>
      <c r="EY248" s="41">
        <v>99000</v>
      </c>
    </row>
    <row r="249" spans="1:163">
      <c r="A249" s="62">
        <v>306</v>
      </c>
      <c r="E249" s="63" t="s">
        <v>76</v>
      </c>
      <c r="F249" s="56" t="s">
        <v>73</v>
      </c>
      <c r="G249" s="65" t="s">
        <v>677</v>
      </c>
      <c r="H249" s="66" t="str">
        <f t="shared" si="93"/>
        <v xml:space="preserve"> 149</v>
      </c>
      <c r="I249" s="67" t="s">
        <v>677</v>
      </c>
      <c r="J249" s="68">
        <f t="shared" si="94"/>
        <v>0</v>
      </c>
      <c r="K249" s="63" t="s">
        <v>355</v>
      </c>
      <c r="L249" s="1" t="s">
        <v>46</v>
      </c>
      <c r="O249" s="64" t="s">
        <v>789</v>
      </c>
      <c r="P249" s="82">
        <v>0</v>
      </c>
      <c r="Q249" s="74">
        <f t="shared" si="115"/>
        <v>75000</v>
      </c>
      <c r="R249" s="71">
        <v>75000</v>
      </c>
      <c r="S249" s="72">
        <f t="shared" si="109"/>
        <v>8550</v>
      </c>
      <c r="T249" s="68" t="s">
        <v>791</v>
      </c>
      <c r="U249" s="73">
        <f t="shared" si="110"/>
        <v>66450</v>
      </c>
      <c r="V249" s="75">
        <f>2000+5500+600+200+250</f>
        <v>8550</v>
      </c>
      <c r="W249" s="2">
        <f t="shared" si="95"/>
        <v>75000</v>
      </c>
      <c r="Y249" s="80">
        <f t="shared" si="96"/>
        <v>75000</v>
      </c>
      <c r="Z249" s="93"/>
      <c r="AA249" s="93"/>
      <c r="AB249" s="94"/>
      <c r="AE249" s="2">
        <v>123000</v>
      </c>
      <c r="AF249" s="28">
        <f t="shared" si="92"/>
        <v>123000</v>
      </c>
      <c r="AG249" s="55" t="s">
        <v>125</v>
      </c>
      <c r="AI249" s="20" t="s">
        <v>45</v>
      </c>
      <c r="AJ249" s="2">
        <f t="shared" si="97"/>
        <v>48000</v>
      </c>
      <c r="AN249" s="29">
        <f t="shared" si="98"/>
        <v>0.3902439024390244</v>
      </c>
      <c r="AP249" s="3" t="s">
        <v>29</v>
      </c>
      <c r="AQ249" s="1" t="s">
        <v>195</v>
      </c>
      <c r="AR249" s="31">
        <f t="shared" si="99"/>
        <v>7500</v>
      </c>
      <c r="AS249" s="31">
        <f t="shared" si="100"/>
        <v>2648</v>
      </c>
      <c r="AT249" s="31">
        <f>IF(BX249&lt;&gt;"", AF249-BX249, 0)</f>
        <v>0</v>
      </c>
      <c r="AU249" s="31">
        <f t="shared" si="101"/>
        <v>0</v>
      </c>
      <c r="AV249" s="31">
        <f t="shared" si="102"/>
        <v>0</v>
      </c>
      <c r="AW249" s="31">
        <f t="shared" si="103"/>
        <v>237</v>
      </c>
      <c r="AX249" s="31">
        <f t="shared" si="104"/>
        <v>-1607</v>
      </c>
      <c r="AY249" s="31">
        <f t="shared" si="105"/>
        <v>-3060</v>
      </c>
      <c r="AZ249" s="31">
        <f t="shared" si="106"/>
        <v>0</v>
      </c>
      <c r="BA249" s="31">
        <f t="shared" si="107"/>
        <v>0</v>
      </c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41">
        <v>112500</v>
      </c>
      <c r="BM249" s="41">
        <v>3000</v>
      </c>
      <c r="BN249" s="41">
        <f>BL249+BM249</f>
        <v>115500</v>
      </c>
      <c r="BO249" s="37">
        <f>BN249-Y249</f>
        <v>40500</v>
      </c>
      <c r="BP249" s="38">
        <f>BO249/BL249</f>
        <v>0.36</v>
      </c>
      <c r="BQ249" s="37">
        <f>AF249-BN249</f>
        <v>7500</v>
      </c>
      <c r="BR249" s="40" t="s">
        <v>120</v>
      </c>
      <c r="BS249" s="39"/>
      <c r="BT249" s="39"/>
      <c r="BU249" s="39"/>
      <c r="BV249" s="39"/>
      <c r="BW249" s="39"/>
      <c r="BX249" s="36"/>
      <c r="BY249" s="33"/>
      <c r="BZ249" s="33"/>
      <c r="CA249" s="33"/>
      <c r="CB249" s="34"/>
      <c r="CC249" s="33"/>
      <c r="CD249" s="35"/>
      <c r="CE249" s="48"/>
      <c r="CF249" s="48"/>
      <c r="CG249" s="48"/>
      <c r="CH249" s="48"/>
      <c r="CI249" s="48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36">
        <v>120352</v>
      </c>
      <c r="CW249" s="36">
        <f>CV249-Y249</f>
        <v>45352</v>
      </c>
      <c r="CX249" s="46">
        <f>CW249/CV249</f>
        <v>0.3768279712842329</v>
      </c>
      <c r="CY249" s="36">
        <f>AF249-CV249</f>
        <v>2648</v>
      </c>
      <c r="CZ249" s="35" t="s">
        <v>29</v>
      </c>
      <c r="DA249" s="35"/>
      <c r="DB249" s="35"/>
      <c r="DC249" s="35"/>
      <c r="DD249" s="40"/>
      <c r="DE249" s="40"/>
      <c r="DF249" s="40"/>
      <c r="DG249" s="40"/>
      <c r="DH249" s="40"/>
      <c r="DI249" s="40"/>
      <c r="DJ249" s="40"/>
      <c r="DK249" s="40"/>
      <c r="DL249" s="36">
        <v>122763</v>
      </c>
      <c r="DM249" s="33">
        <f>DL249-Y249</f>
        <v>47763</v>
      </c>
      <c r="DN249" s="34">
        <f>DM249/DL249</f>
        <v>0.38906673834950273</v>
      </c>
      <c r="DO249" s="33">
        <f>AF249-DL249</f>
        <v>237</v>
      </c>
      <c r="DP249" s="43" t="s">
        <v>29</v>
      </c>
      <c r="DQ249" s="35"/>
      <c r="DR249" s="35"/>
      <c r="DS249" s="35"/>
      <c r="DT249" s="41">
        <v>121607</v>
      </c>
      <c r="DU249" s="37">
        <v>3000</v>
      </c>
      <c r="DV249" s="41">
        <f>DT249+DU249</f>
        <v>124607</v>
      </c>
      <c r="DW249" s="37">
        <f>DV249-Y249</f>
        <v>49607</v>
      </c>
      <c r="DX249" s="38">
        <f>DW249/DV249</f>
        <v>0.39810765045302432</v>
      </c>
      <c r="DY249" s="37">
        <f>AF249-DV249</f>
        <v>-1607</v>
      </c>
      <c r="DZ249" s="40" t="s">
        <v>29</v>
      </c>
      <c r="EA249" s="40"/>
      <c r="EB249" s="40"/>
      <c r="EC249" s="40"/>
      <c r="ED249" s="40"/>
      <c r="EE249" s="40"/>
      <c r="EF249" s="36">
        <v>123060</v>
      </c>
      <c r="EG249" s="33">
        <v>3000</v>
      </c>
      <c r="EH249" s="33">
        <f>EF249+EG249</f>
        <v>126060</v>
      </c>
      <c r="EI249" s="33">
        <f>EH249-Y249</f>
        <v>51060</v>
      </c>
      <c r="EJ249" s="44">
        <f>EI249/EH249</f>
        <v>0.40504521656354114</v>
      </c>
      <c r="EK249" s="45">
        <f>AF249-EH249</f>
        <v>-3060</v>
      </c>
      <c r="EL249" s="43" t="s">
        <v>29</v>
      </c>
      <c r="EM249" s="35"/>
      <c r="EN249" s="35"/>
      <c r="EO249" s="35"/>
      <c r="EP249" s="35"/>
      <c r="EQ249" s="35"/>
      <c r="ER249" s="40"/>
      <c r="ES249" s="40"/>
      <c r="ET249" s="40"/>
      <c r="EU249" s="40"/>
      <c r="EV249" s="40"/>
      <c r="EW249" s="40"/>
      <c r="EX249" s="40"/>
      <c r="EY249" s="40"/>
      <c r="EZ249" s="35"/>
      <c r="FA249" s="35"/>
      <c r="FB249" s="35"/>
      <c r="FC249" s="35"/>
      <c r="FD249" s="35"/>
      <c r="FE249" s="35"/>
      <c r="FF249" s="35"/>
      <c r="FG249" s="35"/>
    </row>
    <row r="250" spans="1:163">
      <c r="A250" s="62">
        <v>318</v>
      </c>
      <c r="E250" s="63" t="s">
        <v>76</v>
      </c>
      <c r="F250" s="56" t="s">
        <v>74</v>
      </c>
      <c r="G250" s="65" t="s">
        <v>689</v>
      </c>
      <c r="H250" s="66" t="str">
        <f t="shared" si="93"/>
        <v xml:space="preserve"> 114</v>
      </c>
      <c r="I250" s="67" t="s">
        <v>689</v>
      </c>
      <c r="J250" s="68">
        <f t="shared" si="94"/>
        <v>0</v>
      </c>
      <c r="K250" s="63" t="s">
        <v>355</v>
      </c>
      <c r="L250" s="1" t="s">
        <v>46</v>
      </c>
      <c r="O250" s="88" t="s">
        <v>790</v>
      </c>
      <c r="P250" s="89">
        <v>0</v>
      </c>
      <c r="Q250" s="90">
        <f t="shared" si="115"/>
        <v>75000</v>
      </c>
      <c r="R250" s="71">
        <v>75000</v>
      </c>
      <c r="S250" s="72">
        <f t="shared" si="109"/>
        <v>8550</v>
      </c>
      <c r="T250" s="68" t="s">
        <v>791</v>
      </c>
      <c r="U250" s="73">
        <f t="shared" si="110"/>
        <v>66450</v>
      </c>
      <c r="V250" s="75">
        <f>2000+5500+600+200+250</f>
        <v>8550</v>
      </c>
      <c r="W250" s="2">
        <f t="shared" si="95"/>
        <v>75000</v>
      </c>
      <c r="Y250" s="81">
        <f t="shared" si="96"/>
        <v>75000</v>
      </c>
      <c r="Z250" s="96">
        <v>0</v>
      </c>
      <c r="AA250" s="97">
        <f>U250-Z250</f>
        <v>66450</v>
      </c>
      <c r="AB250" s="98" t="e">
        <f>AA250/Z250</f>
        <v>#DIV/0!</v>
      </c>
      <c r="AC250" s="2">
        <v>3000</v>
      </c>
      <c r="AD250" s="2">
        <f>Z250+AC250</f>
        <v>3000</v>
      </c>
      <c r="AF250" s="28">
        <f t="shared" si="92"/>
        <v>3000</v>
      </c>
      <c r="AG250" s="55" t="s">
        <v>125</v>
      </c>
      <c r="AI250" s="20" t="s">
        <v>45</v>
      </c>
      <c r="AJ250" s="2">
        <f t="shared" si="97"/>
        <v>-72000</v>
      </c>
      <c r="AN250" s="29">
        <f t="shared" si="98"/>
        <v>-24</v>
      </c>
      <c r="AO250" s="29" t="e">
        <f>AN250-AB250</f>
        <v>#DIV/0!</v>
      </c>
      <c r="AP250" s="3" t="s">
        <v>29</v>
      </c>
      <c r="AQ250" s="1" t="s">
        <v>185</v>
      </c>
      <c r="AR250" s="31">
        <f t="shared" si="99"/>
        <v>0</v>
      </c>
      <c r="AS250" s="31">
        <f t="shared" si="100"/>
        <v>0</v>
      </c>
      <c r="AT250" s="31">
        <f>IF(BZ250&lt;&gt;"", AF250-BZ250, 0)</f>
        <v>0</v>
      </c>
      <c r="AU250" s="31">
        <f t="shared" si="101"/>
        <v>0</v>
      </c>
      <c r="AV250" s="31">
        <f t="shared" si="102"/>
        <v>0</v>
      </c>
      <c r="AW250" s="31">
        <f t="shared" si="103"/>
        <v>0</v>
      </c>
      <c r="AX250" s="31">
        <f t="shared" si="104"/>
        <v>0</v>
      </c>
      <c r="AY250" s="31">
        <f t="shared" si="105"/>
        <v>0</v>
      </c>
      <c r="AZ250" s="31">
        <f t="shared" si="106"/>
        <v>0</v>
      </c>
      <c r="BA250" s="31">
        <f t="shared" si="107"/>
        <v>0</v>
      </c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41"/>
      <c r="BM250" s="41"/>
      <c r="BN250" s="41"/>
      <c r="BO250" s="37"/>
      <c r="BP250" s="38"/>
      <c r="BQ250" s="37"/>
      <c r="BR250" s="40"/>
      <c r="BS250" s="39"/>
      <c r="BT250" s="39"/>
      <c r="BU250" s="39"/>
      <c r="BV250" s="39"/>
      <c r="BW250" s="39"/>
      <c r="BX250" s="36"/>
      <c r="BY250" s="33"/>
      <c r="BZ250" s="33"/>
      <c r="CA250" s="33"/>
      <c r="CB250" s="34"/>
      <c r="CC250" s="33"/>
      <c r="CD250" s="35"/>
      <c r="CE250" s="48"/>
      <c r="CF250" s="48"/>
      <c r="CG250" s="48"/>
      <c r="CH250" s="48"/>
      <c r="CI250" s="48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35"/>
      <c r="CW250" s="35"/>
      <c r="CX250" s="35"/>
      <c r="CY250" s="35"/>
      <c r="CZ250" s="35"/>
      <c r="DA250" s="35"/>
      <c r="DB250" s="35"/>
      <c r="DC250" s="35"/>
      <c r="DD250" s="40"/>
      <c r="DE250" s="40"/>
      <c r="DF250" s="40"/>
      <c r="DG250" s="40"/>
      <c r="DH250" s="40"/>
      <c r="DI250" s="40"/>
      <c r="DJ250" s="40"/>
      <c r="DK250" s="40"/>
      <c r="DL250" s="35"/>
      <c r="DM250" s="35"/>
      <c r="DN250" s="35"/>
      <c r="DO250" s="35"/>
      <c r="DP250" s="35"/>
      <c r="DQ250" s="35"/>
      <c r="DR250" s="35"/>
      <c r="DS250" s="35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40"/>
      <c r="ES250" s="40"/>
      <c r="ET250" s="40"/>
      <c r="EU250" s="40"/>
      <c r="EV250" s="40"/>
      <c r="EW250" s="40"/>
      <c r="EX250" s="40"/>
      <c r="EY250" s="40"/>
      <c r="EZ250" s="35"/>
      <c r="FA250" s="35"/>
      <c r="FB250" s="35"/>
      <c r="FC250" s="35"/>
      <c r="FD250" s="35"/>
      <c r="FE250" s="35"/>
      <c r="FF250" s="35"/>
      <c r="FG250" s="35"/>
    </row>
    <row r="251" spans="1:163">
      <c r="A251" s="62">
        <v>322</v>
      </c>
      <c r="E251" s="63" t="s">
        <v>76</v>
      </c>
      <c r="F251" s="56" t="s">
        <v>75</v>
      </c>
      <c r="G251" s="65" t="s">
        <v>693</v>
      </c>
      <c r="H251" s="66" t="str">
        <f t="shared" si="93"/>
        <v xml:space="preserve"> 164</v>
      </c>
      <c r="I251" s="67" t="s">
        <v>693</v>
      </c>
      <c r="J251" s="68">
        <f t="shared" si="94"/>
        <v>0</v>
      </c>
      <c r="K251" s="63" t="s">
        <v>355</v>
      </c>
      <c r="L251" s="1" t="s">
        <v>46</v>
      </c>
      <c r="O251" s="88" t="s">
        <v>790</v>
      </c>
      <c r="P251" s="89">
        <v>0</v>
      </c>
      <c r="Q251" s="90">
        <f t="shared" si="115"/>
        <v>75000</v>
      </c>
      <c r="R251" s="71">
        <v>75000</v>
      </c>
      <c r="S251" s="72">
        <f t="shared" si="109"/>
        <v>8550</v>
      </c>
      <c r="T251" s="68" t="s">
        <v>791</v>
      </c>
      <c r="U251" s="73">
        <f t="shared" si="110"/>
        <v>66450</v>
      </c>
      <c r="V251" s="75">
        <f>2000+5500+600+200+250</f>
        <v>8550</v>
      </c>
      <c r="W251" s="2">
        <f t="shared" si="95"/>
        <v>75000</v>
      </c>
      <c r="Y251" s="81">
        <f t="shared" si="96"/>
        <v>75000</v>
      </c>
      <c r="Z251" s="96">
        <v>0</v>
      </c>
      <c r="AA251" s="97">
        <f>U251-Z251</f>
        <v>66450</v>
      </c>
      <c r="AB251" s="98" t="e">
        <f>AA251/Z251</f>
        <v>#DIV/0!</v>
      </c>
      <c r="AC251" s="2">
        <v>3000</v>
      </c>
      <c r="AD251" s="2">
        <f>Z251+AC251</f>
        <v>3000</v>
      </c>
      <c r="AF251" s="28">
        <f t="shared" si="92"/>
        <v>3000</v>
      </c>
      <c r="AG251" s="55" t="s">
        <v>125</v>
      </c>
      <c r="AI251" s="20" t="s">
        <v>206</v>
      </c>
      <c r="AJ251" s="2">
        <f t="shared" si="97"/>
        <v>-72000</v>
      </c>
      <c r="AK251" s="2">
        <f>AVERAGE(AF251,AF250,AF237,AF240)</f>
        <v>53250</v>
      </c>
      <c r="AL251" s="2">
        <f>MIN(AF251,AF250,AF237,AF240)</f>
        <v>3000</v>
      </c>
      <c r="AM251" s="2">
        <f>MAX(AF251,AF250,AF237,AF240)</f>
        <v>127000</v>
      </c>
      <c r="AN251" s="29">
        <f t="shared" si="98"/>
        <v>-24</v>
      </c>
      <c r="AO251" s="29" t="e">
        <f>AN251-AB251</f>
        <v>#DIV/0!</v>
      </c>
      <c r="AP251" s="3" t="s">
        <v>140</v>
      </c>
      <c r="AQ251" s="1" t="s">
        <v>166</v>
      </c>
      <c r="AR251" s="31">
        <f t="shared" si="99"/>
        <v>0</v>
      </c>
      <c r="AS251" s="31">
        <f t="shared" si="100"/>
        <v>0</v>
      </c>
      <c r="AT251" s="31">
        <f>IF(BZ251&lt;&gt;"", AF251-BZ251, 0)</f>
        <v>0</v>
      </c>
      <c r="AU251" s="31">
        <f t="shared" si="101"/>
        <v>0</v>
      </c>
      <c r="AV251" s="31">
        <f t="shared" si="102"/>
        <v>0</v>
      </c>
      <c r="AW251" s="31">
        <f t="shared" si="103"/>
        <v>0</v>
      </c>
      <c r="AX251" s="31">
        <f t="shared" si="104"/>
        <v>0</v>
      </c>
      <c r="AY251" s="31">
        <f t="shared" si="105"/>
        <v>0</v>
      </c>
      <c r="AZ251" s="31">
        <f t="shared" si="106"/>
        <v>0</v>
      </c>
      <c r="BA251" s="31">
        <f t="shared" si="107"/>
        <v>0</v>
      </c>
      <c r="BB251" s="32">
        <f>IF(BS251&lt;&gt;"", AK251-BS251, 0)</f>
        <v>-66291</v>
      </c>
      <c r="BC251" s="32">
        <f>IF(DA251&lt;&gt;"", AK251-DA251, 0)</f>
        <v>-68205</v>
      </c>
      <c r="BD251" s="32">
        <f>IF(CE251&lt;&gt;"", AK251-CE251, )</f>
        <v>-64360</v>
      </c>
      <c r="BE251" s="32">
        <f>IF(DI251&lt;&gt;"", AK251-DI251, 0)</f>
        <v>-70009</v>
      </c>
      <c r="BF251" s="32">
        <f>IF(CQ251&lt;&gt;"",AK251-CQ251, 0)</f>
        <v>0</v>
      </c>
      <c r="BG251" s="32">
        <f>IF(DQ251&lt;&gt;"", AK251-DQ251, 0)</f>
        <v>-71070</v>
      </c>
      <c r="BH251" s="32">
        <f>IF(EA251&lt;&gt;"", AK251-EA251, 0)</f>
        <v>-67232</v>
      </c>
      <c r="BI251" s="32">
        <f>IF(EM251&lt;&gt;"", AK251-EM251, 0)</f>
        <v>-69653</v>
      </c>
      <c r="BJ251" s="32">
        <f>IF(EW251&lt;&gt;"", AK251-EW251, 0)</f>
        <v>-86750</v>
      </c>
      <c r="BK251" s="32">
        <f>IF(FE251&lt;&gt;"", AK251-FE251, 0)</f>
        <v>0</v>
      </c>
      <c r="BL251" s="39"/>
      <c r="BM251" s="39"/>
      <c r="BN251" s="39"/>
      <c r="BO251" s="39"/>
      <c r="BP251" s="39"/>
      <c r="BQ251" s="39"/>
      <c r="BR251" s="39"/>
      <c r="BS251" s="41">
        <f>BU251+BT251</f>
        <v>119541</v>
      </c>
      <c r="BT251" s="41">
        <v>2500</v>
      </c>
      <c r="BU251" s="41">
        <v>117041</v>
      </c>
      <c r="BV251" s="41">
        <v>121950</v>
      </c>
      <c r="BW251" s="41">
        <v>105300</v>
      </c>
      <c r="BX251" s="48"/>
      <c r="BY251" s="48"/>
      <c r="BZ251" s="48"/>
      <c r="CA251" s="48"/>
      <c r="CB251" s="48"/>
      <c r="CC251" s="48"/>
      <c r="CD251" s="48"/>
      <c r="CE251" s="36">
        <f>CG251+CF251</f>
        <v>117610</v>
      </c>
      <c r="CF251" s="36">
        <v>2500</v>
      </c>
      <c r="CG251" s="36">
        <v>115110</v>
      </c>
      <c r="CH251" s="36">
        <v>117000</v>
      </c>
      <c r="CI251" s="36">
        <v>111600</v>
      </c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35"/>
      <c r="CW251" s="35"/>
      <c r="CX251" s="35"/>
      <c r="CY251" s="35"/>
      <c r="CZ251" s="35"/>
      <c r="DA251" s="36">
        <v>121455</v>
      </c>
      <c r="DB251" s="36">
        <v>123930</v>
      </c>
      <c r="DC251" s="36">
        <v>116640</v>
      </c>
      <c r="DD251" s="40"/>
      <c r="DE251" s="40"/>
      <c r="DF251" s="40"/>
      <c r="DG251" s="40"/>
      <c r="DH251" s="40"/>
      <c r="DI251" s="41">
        <v>123259</v>
      </c>
      <c r="DJ251" s="41">
        <v>133326</v>
      </c>
      <c r="DK251" s="41">
        <v>118260</v>
      </c>
      <c r="DL251" s="35"/>
      <c r="DM251" s="35"/>
      <c r="DN251" s="35"/>
      <c r="DO251" s="35"/>
      <c r="DP251" s="35"/>
      <c r="DQ251" s="36">
        <v>124320</v>
      </c>
      <c r="DR251" s="36">
        <v>126000</v>
      </c>
      <c r="DS251" s="36">
        <v>121800</v>
      </c>
      <c r="DT251" s="40"/>
      <c r="DU251" s="40"/>
      <c r="DV251" s="40"/>
      <c r="DW251" s="40"/>
      <c r="DX251" s="40"/>
      <c r="DY251" s="40"/>
      <c r="DZ251" s="40"/>
      <c r="EA251" s="41">
        <f>EC251+EB251</f>
        <v>120482</v>
      </c>
      <c r="EB251" s="41">
        <v>2500</v>
      </c>
      <c r="EC251" s="41">
        <v>117982</v>
      </c>
      <c r="ED251" s="41">
        <v>123847</v>
      </c>
      <c r="EE251" s="41">
        <v>108412</v>
      </c>
      <c r="EF251" s="35"/>
      <c r="EG251" s="35"/>
      <c r="EH251" s="35"/>
      <c r="EI251" s="35"/>
      <c r="EJ251" s="35"/>
      <c r="EK251" s="35"/>
      <c r="EL251" s="35"/>
      <c r="EM251" s="36">
        <f>EO251+EN251</f>
        <v>122903</v>
      </c>
      <c r="EN251" s="36">
        <v>2500</v>
      </c>
      <c r="EO251" s="36">
        <v>120403</v>
      </c>
      <c r="EP251" s="36">
        <v>123847</v>
      </c>
      <c r="EQ251" s="36">
        <v>116812</v>
      </c>
      <c r="ER251" s="40"/>
      <c r="ES251" s="40"/>
      <c r="ET251" s="40"/>
      <c r="EU251" s="40"/>
      <c r="EV251" s="40"/>
      <c r="EW251" s="41">
        <v>140000</v>
      </c>
      <c r="EX251" s="41">
        <v>165999</v>
      </c>
      <c r="EY251" s="41">
        <v>116000</v>
      </c>
      <c r="EZ251" s="35"/>
      <c r="FA251" s="35"/>
      <c r="FB251" s="35"/>
      <c r="FC251" s="35"/>
      <c r="FD251" s="35"/>
      <c r="FE251" s="35"/>
      <c r="FF251" s="35"/>
      <c r="FG251" s="35"/>
    </row>
    <row r="252" spans="1:163">
      <c r="A252" s="62">
        <v>413</v>
      </c>
      <c r="E252" s="63" t="s">
        <v>233</v>
      </c>
      <c r="F252" s="56" t="s">
        <v>82</v>
      </c>
      <c r="G252" s="70" t="s">
        <v>781</v>
      </c>
      <c r="H252" s="66" t="str">
        <f t="shared" si="93"/>
        <v xml:space="preserve"> 644</v>
      </c>
      <c r="I252" s="67" t="s">
        <v>781</v>
      </c>
      <c r="J252" s="68">
        <f t="shared" si="94"/>
        <v>0</v>
      </c>
      <c r="K252" s="63" t="s">
        <v>316</v>
      </c>
      <c r="L252" s="1" t="s">
        <v>46</v>
      </c>
      <c r="O252" s="64" t="s">
        <v>789</v>
      </c>
      <c r="P252" s="82">
        <v>0</v>
      </c>
      <c r="Q252" s="74">
        <f t="shared" si="115"/>
        <v>58000</v>
      </c>
      <c r="R252" s="71">
        <v>58000</v>
      </c>
      <c r="S252" s="72">
        <f t="shared" si="109"/>
        <v>7900</v>
      </c>
      <c r="T252" s="68" t="s">
        <v>791</v>
      </c>
      <c r="U252" s="73">
        <f t="shared" si="110"/>
        <v>50100</v>
      </c>
      <c r="V252" s="73">
        <f>2000+4850+600+200+250</f>
        <v>7900</v>
      </c>
      <c r="W252" s="2">
        <f t="shared" si="95"/>
        <v>58000</v>
      </c>
      <c r="Y252" s="80">
        <f t="shared" si="96"/>
        <v>58000</v>
      </c>
      <c r="Z252" s="93"/>
      <c r="AA252" s="93"/>
      <c r="AB252" s="94"/>
      <c r="AC252" s="2">
        <v>3500</v>
      </c>
      <c r="AD252" s="2">
        <f>Z252+AC252</f>
        <v>3500</v>
      </c>
      <c r="AF252" s="28">
        <f t="shared" si="92"/>
        <v>0</v>
      </c>
      <c r="AG252" s="55" t="s">
        <v>125</v>
      </c>
      <c r="AI252" s="20" t="s">
        <v>205</v>
      </c>
      <c r="AJ252" s="2">
        <f t="shared" si="97"/>
        <v>-58000</v>
      </c>
      <c r="AN252" s="29" t="e">
        <f t="shared" si="98"/>
        <v>#DIV/0!</v>
      </c>
      <c r="AO252" s="29" t="e">
        <f>AN252-AB252</f>
        <v>#DIV/0!</v>
      </c>
      <c r="AP252" s="3" t="s">
        <v>140</v>
      </c>
      <c r="AQ252" s="1" t="s">
        <v>198</v>
      </c>
      <c r="AR252" s="31">
        <f t="shared" si="99"/>
        <v>0</v>
      </c>
      <c r="AS252" s="31">
        <f t="shared" si="100"/>
        <v>0</v>
      </c>
      <c r="AT252" s="31">
        <f>IF(BZ252&lt;&gt;"", AF252-BZ252, 0)</f>
        <v>0</v>
      </c>
      <c r="AU252" s="31">
        <f t="shared" si="101"/>
        <v>0</v>
      </c>
      <c r="AV252" s="31">
        <f t="shared" si="102"/>
        <v>0</v>
      </c>
      <c r="AW252" s="31">
        <f t="shared" si="103"/>
        <v>0</v>
      </c>
      <c r="AX252" s="31">
        <f t="shared" si="104"/>
        <v>0</v>
      </c>
      <c r="AY252" s="31">
        <f t="shared" si="105"/>
        <v>0</v>
      </c>
      <c r="AZ252" s="31">
        <f t="shared" si="106"/>
        <v>0</v>
      </c>
      <c r="BA252" s="31">
        <f t="shared" si="107"/>
        <v>0</v>
      </c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35"/>
      <c r="CW252" s="35"/>
      <c r="CX252" s="35"/>
      <c r="CY252" s="35"/>
      <c r="CZ252" s="35"/>
      <c r="DA252" s="35"/>
      <c r="DB252" s="35"/>
      <c r="DC252" s="35"/>
      <c r="DD252" s="40"/>
      <c r="DE252" s="40"/>
      <c r="DF252" s="40"/>
      <c r="DG252" s="40"/>
      <c r="DH252" s="40"/>
      <c r="DI252" s="40"/>
      <c r="DJ252" s="40"/>
      <c r="DK252" s="40"/>
      <c r="DL252" s="36"/>
      <c r="DM252" s="36"/>
      <c r="DN252" s="36"/>
      <c r="DO252" s="36"/>
      <c r="DP252" s="36"/>
      <c r="DQ252" s="36"/>
      <c r="DR252" s="36"/>
      <c r="DS252" s="36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40"/>
      <c r="ES252" s="40"/>
      <c r="ET252" s="40"/>
      <c r="EU252" s="40"/>
      <c r="EV252" s="40"/>
      <c r="EW252" s="40"/>
      <c r="EX252" s="40"/>
      <c r="EY252" s="40"/>
      <c r="EZ252" s="35"/>
      <c r="FA252" s="35"/>
      <c r="FB252" s="35"/>
      <c r="FC252" s="35"/>
      <c r="FD252" s="35"/>
      <c r="FE252" s="35"/>
      <c r="FF252" s="35"/>
      <c r="FG252" s="35"/>
    </row>
    <row r="253" spans="1:163">
      <c r="A253" s="62">
        <v>196</v>
      </c>
      <c r="E253" s="63" t="s">
        <v>216</v>
      </c>
      <c r="F253" s="56" t="s">
        <v>65</v>
      </c>
      <c r="G253" s="70" t="s">
        <v>576</v>
      </c>
      <c r="H253" s="66" t="str">
        <f t="shared" si="93"/>
        <v xml:space="preserve"> 949</v>
      </c>
      <c r="I253" s="67" t="s">
        <v>576</v>
      </c>
      <c r="J253" s="68">
        <f t="shared" si="94"/>
        <v>0</v>
      </c>
      <c r="K253" s="63" t="s">
        <v>316</v>
      </c>
      <c r="L253" s="1" t="s">
        <v>46</v>
      </c>
      <c r="O253" s="88" t="s">
        <v>790</v>
      </c>
      <c r="P253" s="89">
        <v>0</v>
      </c>
      <c r="Q253" s="90">
        <f t="shared" si="115"/>
        <v>74000</v>
      </c>
      <c r="R253" s="71">
        <v>74000</v>
      </c>
      <c r="S253" s="72">
        <f t="shared" si="109"/>
        <v>8150</v>
      </c>
      <c r="T253" s="68"/>
      <c r="U253" s="73">
        <f t="shared" si="110"/>
        <v>65850</v>
      </c>
      <c r="V253" s="73">
        <f>2000+5100+600+200+250</f>
        <v>8150</v>
      </c>
      <c r="W253" s="2">
        <f t="shared" si="95"/>
        <v>74000</v>
      </c>
      <c r="Y253" s="81">
        <f t="shared" si="96"/>
        <v>74000</v>
      </c>
      <c r="Z253" s="96">
        <v>0</v>
      </c>
      <c r="AA253" s="97">
        <f>U253-Z253</f>
        <v>65850</v>
      </c>
      <c r="AB253" s="98" t="e">
        <f>AA253/Z253</f>
        <v>#DIV/0!</v>
      </c>
      <c r="AE253" s="2">
        <v>112000</v>
      </c>
      <c r="AF253" s="28">
        <f t="shared" si="92"/>
        <v>0</v>
      </c>
      <c r="AJ253" s="2">
        <f t="shared" si="97"/>
        <v>-74000</v>
      </c>
      <c r="AN253" s="29" t="e">
        <f t="shared" si="98"/>
        <v>#DIV/0!</v>
      </c>
      <c r="AP253" s="3" t="s">
        <v>158</v>
      </c>
      <c r="AR253" s="31">
        <f t="shared" si="99"/>
        <v>0</v>
      </c>
      <c r="AS253" s="31">
        <f t="shared" si="100"/>
        <v>0</v>
      </c>
      <c r="AT253" s="31">
        <f>IF(BX253&lt;&gt;"", AF253-BX253, 0)</f>
        <v>0</v>
      </c>
      <c r="AU253" s="31">
        <f t="shared" si="101"/>
        <v>0</v>
      </c>
      <c r="AV253" s="31">
        <f t="shared" si="102"/>
        <v>0</v>
      </c>
      <c r="AW253" s="31">
        <f t="shared" si="103"/>
        <v>0</v>
      </c>
      <c r="AX253" s="31">
        <f t="shared" si="104"/>
        <v>0</v>
      </c>
      <c r="AY253" s="31">
        <f t="shared" si="105"/>
        <v>0</v>
      </c>
      <c r="AZ253" s="31">
        <f t="shared" si="106"/>
        <v>0</v>
      </c>
      <c r="BA253" s="31">
        <f t="shared" si="107"/>
        <v>0</v>
      </c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41"/>
      <c r="BM253" s="41"/>
      <c r="BN253" s="41"/>
      <c r="BO253" s="37"/>
      <c r="BP253" s="38"/>
      <c r="BQ253" s="37"/>
      <c r="BR253" s="40"/>
      <c r="BS253" s="39"/>
      <c r="BT253" s="39"/>
      <c r="BU253" s="39"/>
      <c r="BV253" s="39"/>
      <c r="BW253" s="39"/>
      <c r="BX253" s="36"/>
      <c r="BY253" s="33"/>
      <c r="BZ253" s="33"/>
      <c r="CA253" s="33"/>
      <c r="CB253" s="34"/>
      <c r="CC253" s="33"/>
      <c r="CD253" s="35"/>
      <c r="CE253" s="48"/>
      <c r="CF253" s="48"/>
      <c r="CG253" s="48"/>
      <c r="CH253" s="48"/>
      <c r="CI253" s="48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35"/>
      <c r="CW253" s="35"/>
      <c r="CX253" s="35"/>
      <c r="CY253" s="35"/>
      <c r="CZ253" s="35"/>
      <c r="DA253" s="35"/>
      <c r="DB253" s="35"/>
      <c r="DC253" s="35"/>
      <c r="DD253" s="40"/>
      <c r="DE253" s="40"/>
      <c r="DF253" s="40"/>
      <c r="DG253" s="40"/>
      <c r="DH253" s="40"/>
      <c r="DI253" s="40"/>
      <c r="DJ253" s="40"/>
      <c r="DK253" s="40"/>
      <c r="DL253" s="35"/>
      <c r="DM253" s="35"/>
      <c r="DN253" s="35"/>
      <c r="DO253" s="35"/>
      <c r="DP253" s="35"/>
      <c r="DQ253" s="35"/>
      <c r="DR253" s="35"/>
      <c r="DS253" s="35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40"/>
      <c r="ES253" s="40"/>
      <c r="ET253" s="40"/>
      <c r="EU253" s="40"/>
      <c r="EV253" s="40"/>
      <c r="EW253" s="40"/>
      <c r="EX253" s="40"/>
      <c r="EY253" s="40"/>
      <c r="EZ253" s="35"/>
      <c r="FA253" s="35"/>
      <c r="FB253" s="35"/>
      <c r="FC253" s="35"/>
      <c r="FD253" s="35"/>
      <c r="FE253" s="35"/>
      <c r="FF253" s="35"/>
      <c r="FG253" s="35"/>
    </row>
    <row r="254" spans="1:163">
      <c r="A254" s="62">
        <v>76</v>
      </c>
      <c r="E254" s="63" t="s">
        <v>113</v>
      </c>
      <c r="F254" s="56" t="s">
        <v>56</v>
      </c>
      <c r="G254" s="70" t="s">
        <v>457</v>
      </c>
      <c r="H254" s="66" t="str">
        <f t="shared" si="93"/>
        <v xml:space="preserve"> 761</v>
      </c>
      <c r="I254" s="67" t="s">
        <v>457</v>
      </c>
      <c r="J254" s="68">
        <f t="shared" si="94"/>
        <v>0</v>
      </c>
      <c r="K254" s="63" t="s">
        <v>272</v>
      </c>
      <c r="L254" s="1" t="s">
        <v>46</v>
      </c>
      <c r="O254" s="64" t="s">
        <v>789</v>
      </c>
      <c r="P254" s="82">
        <v>0</v>
      </c>
      <c r="Q254" s="74">
        <f t="shared" si="115"/>
        <v>0</v>
      </c>
      <c r="R254" s="71"/>
      <c r="S254" s="72">
        <f t="shared" si="109"/>
        <v>0</v>
      </c>
      <c r="T254" s="68"/>
      <c r="U254" s="73">
        <f t="shared" si="110"/>
        <v>0</v>
      </c>
      <c r="V254" s="73"/>
      <c r="W254" s="2">
        <f t="shared" si="95"/>
        <v>0</v>
      </c>
      <c r="Y254" s="80">
        <f t="shared" si="96"/>
        <v>0</v>
      </c>
      <c r="Z254" s="93"/>
      <c r="AA254" s="93"/>
      <c r="AB254" s="94"/>
      <c r="AC254" s="2">
        <v>3000</v>
      </c>
      <c r="AD254" s="2">
        <f>Z254+AC254</f>
        <v>3000</v>
      </c>
      <c r="AF254" s="28">
        <f t="shared" si="92"/>
        <v>0</v>
      </c>
      <c r="AG254" s="55" t="s">
        <v>125</v>
      </c>
      <c r="AI254" s="20" t="s">
        <v>204</v>
      </c>
      <c r="AJ254" s="2">
        <f t="shared" si="97"/>
        <v>0</v>
      </c>
      <c r="AN254" s="29" t="e">
        <f t="shared" si="98"/>
        <v>#DIV/0!</v>
      </c>
      <c r="AO254" s="29" t="e">
        <f>AN254-AB254</f>
        <v>#DIV/0!</v>
      </c>
      <c r="AP254" s="3" t="s">
        <v>29</v>
      </c>
      <c r="AQ254" s="1" t="s">
        <v>145</v>
      </c>
      <c r="AR254" s="31">
        <f t="shared" si="99"/>
        <v>0</v>
      </c>
      <c r="AS254" s="31">
        <f t="shared" si="100"/>
        <v>0</v>
      </c>
      <c r="AT254" s="31">
        <f t="shared" ref="AT254:AT266" si="117">IF(BZ254&lt;&gt;"", AF254-BZ254, 0)</f>
        <v>0</v>
      </c>
      <c r="AU254" s="31">
        <f t="shared" si="101"/>
        <v>0</v>
      </c>
      <c r="AV254" s="31">
        <f t="shared" si="102"/>
        <v>0</v>
      </c>
      <c r="AW254" s="31">
        <f t="shared" si="103"/>
        <v>0</v>
      </c>
      <c r="AX254" s="31">
        <f t="shared" si="104"/>
        <v>0</v>
      </c>
      <c r="AY254" s="31">
        <f t="shared" si="105"/>
        <v>0</v>
      </c>
      <c r="AZ254" s="31">
        <f t="shared" si="106"/>
        <v>0</v>
      </c>
      <c r="BA254" s="31">
        <f t="shared" si="107"/>
        <v>0</v>
      </c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41"/>
      <c r="BM254" s="41"/>
      <c r="BN254" s="41"/>
      <c r="BO254" s="37"/>
      <c r="BP254" s="38"/>
      <c r="BQ254" s="37"/>
      <c r="BR254" s="40"/>
      <c r="BS254" s="39"/>
      <c r="BT254" s="39"/>
      <c r="BU254" s="39"/>
      <c r="BV254" s="39"/>
      <c r="BW254" s="39"/>
      <c r="BX254" s="36"/>
      <c r="BY254" s="33"/>
      <c r="BZ254" s="33"/>
      <c r="CA254" s="33"/>
      <c r="CB254" s="34"/>
      <c r="CC254" s="33"/>
      <c r="CD254" s="35"/>
      <c r="CE254" s="48"/>
      <c r="CF254" s="48"/>
      <c r="CG254" s="48"/>
      <c r="CH254" s="48"/>
      <c r="CI254" s="48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35"/>
      <c r="CW254" s="35"/>
      <c r="CX254" s="35"/>
      <c r="CY254" s="35"/>
      <c r="CZ254" s="35"/>
      <c r="DA254" s="35"/>
      <c r="DB254" s="35"/>
      <c r="DC254" s="35"/>
      <c r="DD254" s="40"/>
      <c r="DE254" s="40"/>
      <c r="DF254" s="40"/>
      <c r="DG254" s="40"/>
      <c r="DH254" s="40"/>
      <c r="DI254" s="40"/>
      <c r="DJ254" s="40"/>
      <c r="DK254" s="40"/>
      <c r="DL254" s="35"/>
      <c r="DM254" s="35"/>
      <c r="DN254" s="35"/>
      <c r="DO254" s="35"/>
      <c r="DP254" s="35"/>
      <c r="DQ254" s="35"/>
      <c r="DR254" s="35"/>
      <c r="DS254" s="35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40"/>
      <c r="ES254" s="40"/>
      <c r="ET254" s="40"/>
      <c r="EU254" s="40"/>
      <c r="EV254" s="40"/>
      <c r="EW254" s="40"/>
      <c r="EX254" s="40"/>
      <c r="EY254" s="40"/>
      <c r="EZ254" s="35"/>
      <c r="FA254" s="35"/>
      <c r="FB254" s="35"/>
      <c r="FC254" s="35"/>
      <c r="FD254" s="35"/>
      <c r="FE254" s="35"/>
      <c r="FF254" s="35"/>
      <c r="FG254" s="35"/>
    </row>
    <row r="255" spans="1:163">
      <c r="A255" s="60">
        <v>169</v>
      </c>
      <c r="E255" s="63" t="s">
        <v>213</v>
      </c>
      <c r="F255" s="56" t="s">
        <v>63</v>
      </c>
      <c r="G255" s="70" t="s">
        <v>548</v>
      </c>
      <c r="H255" s="66" t="str">
        <f t="shared" si="93"/>
        <v xml:space="preserve"> 373</v>
      </c>
      <c r="I255" s="67" t="s">
        <v>548</v>
      </c>
      <c r="J255" s="68">
        <f t="shared" si="94"/>
        <v>0</v>
      </c>
      <c r="K255" s="63" t="s">
        <v>306</v>
      </c>
      <c r="L255" s="1" t="s">
        <v>46</v>
      </c>
      <c r="O255" s="64" t="s">
        <v>789</v>
      </c>
      <c r="P255" s="82">
        <v>0</v>
      </c>
      <c r="Q255" s="74">
        <f t="shared" si="115"/>
        <v>0</v>
      </c>
      <c r="R255" s="71"/>
      <c r="S255" s="72">
        <f t="shared" si="109"/>
        <v>0</v>
      </c>
      <c r="T255" s="68"/>
      <c r="U255" s="73">
        <f t="shared" si="110"/>
        <v>0</v>
      </c>
      <c r="V255" s="73"/>
      <c r="W255" s="2">
        <f t="shared" si="95"/>
        <v>0</v>
      </c>
      <c r="Y255" s="80">
        <f t="shared" si="96"/>
        <v>0</v>
      </c>
      <c r="Z255" s="93"/>
      <c r="AA255" s="93"/>
      <c r="AB255" s="94"/>
      <c r="AE255" s="2">
        <v>118000</v>
      </c>
      <c r="AF255" s="28">
        <f t="shared" si="92"/>
        <v>118000</v>
      </c>
      <c r="AG255" s="55" t="s">
        <v>125</v>
      </c>
      <c r="AI255" s="20" t="s">
        <v>206</v>
      </c>
      <c r="AJ255" s="2">
        <f t="shared" si="97"/>
        <v>118000</v>
      </c>
      <c r="AN255" s="29">
        <f t="shared" si="98"/>
        <v>1</v>
      </c>
      <c r="AP255" s="3" t="s">
        <v>29</v>
      </c>
      <c r="AQ255" s="1" t="s">
        <v>165</v>
      </c>
      <c r="AR255" s="31">
        <f t="shared" si="99"/>
        <v>0</v>
      </c>
      <c r="AS255" s="31">
        <f t="shared" si="100"/>
        <v>0</v>
      </c>
      <c r="AT255" s="31">
        <f t="shared" si="117"/>
        <v>0</v>
      </c>
      <c r="AU255" s="31">
        <f t="shared" si="101"/>
        <v>0</v>
      </c>
      <c r="AV255" s="31">
        <f t="shared" si="102"/>
        <v>0</v>
      </c>
      <c r="AW255" s="31">
        <f t="shared" si="103"/>
        <v>0</v>
      </c>
      <c r="AX255" s="31">
        <f t="shared" si="104"/>
        <v>0</v>
      </c>
      <c r="AY255" s="31">
        <f t="shared" si="105"/>
        <v>0</v>
      </c>
      <c r="AZ255" s="31">
        <f t="shared" si="106"/>
        <v>0</v>
      </c>
      <c r="BA255" s="31">
        <f t="shared" si="107"/>
        <v>0</v>
      </c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41"/>
      <c r="BM255" s="41"/>
      <c r="BN255" s="41"/>
      <c r="BO255" s="37"/>
      <c r="BP255" s="38"/>
      <c r="BQ255" s="37"/>
      <c r="BR255" s="40"/>
      <c r="BS255" s="39"/>
      <c r="BT255" s="39"/>
      <c r="BU255" s="39"/>
      <c r="BV255" s="39"/>
      <c r="BW255" s="39"/>
      <c r="BX255" s="36"/>
      <c r="BY255" s="33"/>
      <c r="BZ255" s="33"/>
      <c r="CA255" s="33"/>
      <c r="CB255" s="34"/>
      <c r="CC255" s="33"/>
      <c r="CD255" s="35"/>
      <c r="CE255" s="48"/>
      <c r="CF255" s="48"/>
      <c r="CG255" s="48"/>
      <c r="CH255" s="48"/>
      <c r="CI255" s="48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35"/>
      <c r="CW255" s="35"/>
      <c r="CX255" s="35"/>
      <c r="CY255" s="35"/>
      <c r="CZ255" s="35"/>
      <c r="DA255" s="35"/>
      <c r="DB255" s="35"/>
      <c r="DC255" s="35"/>
      <c r="DD255" s="40"/>
      <c r="DE255" s="40"/>
      <c r="DF255" s="40"/>
      <c r="DG255" s="40"/>
      <c r="DH255" s="40"/>
      <c r="DI255" s="40"/>
      <c r="DJ255" s="40"/>
      <c r="DK255" s="40"/>
      <c r="DL255" s="35"/>
      <c r="DM255" s="35"/>
      <c r="DN255" s="35"/>
      <c r="DO255" s="35"/>
      <c r="DP255" s="35"/>
      <c r="DQ255" s="35"/>
      <c r="DR255" s="35"/>
      <c r="DS255" s="35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40"/>
      <c r="ES255" s="40"/>
      <c r="ET255" s="40"/>
      <c r="EU255" s="40"/>
      <c r="EV255" s="40"/>
      <c r="EW255" s="40"/>
      <c r="EX255" s="40"/>
      <c r="EY255" s="40"/>
      <c r="EZ255" s="35"/>
      <c r="FA255" s="35"/>
      <c r="FB255" s="35"/>
      <c r="FC255" s="35"/>
      <c r="FD255" s="35"/>
      <c r="FE255" s="35"/>
      <c r="FF255" s="35"/>
      <c r="FG255" s="35"/>
    </row>
    <row r="256" spans="1:163">
      <c r="A256" s="60">
        <v>144</v>
      </c>
      <c r="E256" s="63" t="s">
        <v>65</v>
      </c>
      <c r="F256" s="56" t="s">
        <v>124</v>
      </c>
      <c r="G256" s="70" t="s">
        <v>523</v>
      </c>
      <c r="H256" s="66" t="str">
        <f t="shared" si="93"/>
        <v xml:space="preserve"> 240</v>
      </c>
      <c r="I256" s="67" t="s">
        <v>523</v>
      </c>
      <c r="J256" s="68">
        <f t="shared" si="94"/>
        <v>0</v>
      </c>
      <c r="K256" s="63" t="s">
        <v>293</v>
      </c>
      <c r="L256" s="1" t="s">
        <v>46</v>
      </c>
      <c r="O256" s="88" t="s">
        <v>790</v>
      </c>
      <c r="P256" s="89">
        <v>79500</v>
      </c>
      <c r="Q256" s="90">
        <f t="shared" si="115"/>
        <v>0</v>
      </c>
      <c r="R256" s="71"/>
      <c r="S256" s="72">
        <f t="shared" si="109"/>
        <v>0</v>
      </c>
      <c r="T256" s="68"/>
      <c r="U256" s="73">
        <f t="shared" si="110"/>
        <v>0</v>
      </c>
      <c r="V256" s="73"/>
      <c r="W256" s="2">
        <f t="shared" si="95"/>
        <v>-79500</v>
      </c>
      <c r="Y256" s="81">
        <f t="shared" si="96"/>
        <v>0</v>
      </c>
      <c r="Z256" s="96">
        <v>0</v>
      </c>
      <c r="AA256" s="97">
        <f>U256-Z256</f>
        <v>0</v>
      </c>
      <c r="AB256" s="98" t="e">
        <f>AA256/Z256</f>
        <v>#DIV/0!</v>
      </c>
      <c r="AE256" s="2">
        <v>113000</v>
      </c>
      <c r="AF256" s="28">
        <f t="shared" ref="AF256:AF319" si="118">IF(O256="Baru",AE256,AD256)</f>
        <v>0</v>
      </c>
      <c r="AG256" s="55" t="s">
        <v>125</v>
      </c>
      <c r="AI256" s="20" t="s">
        <v>45</v>
      </c>
      <c r="AJ256" s="2">
        <f t="shared" si="97"/>
        <v>0</v>
      </c>
      <c r="AK256" s="2">
        <f>AVERAGE(AF256,AF255,AF254,AF247)</f>
        <v>47250</v>
      </c>
      <c r="AL256" s="2">
        <f>MIN(AF256,AF255,AF254,AF247)</f>
        <v>0</v>
      </c>
      <c r="AM256" s="2">
        <f>MAX(AF256,AF255,AF254,AF247)</f>
        <v>118000</v>
      </c>
      <c r="AN256" s="29" t="e">
        <f t="shared" si="98"/>
        <v>#DIV/0!</v>
      </c>
      <c r="AP256" s="3" t="s">
        <v>29</v>
      </c>
      <c r="AQ256" s="1" t="s">
        <v>171</v>
      </c>
      <c r="AR256" s="31">
        <f t="shared" si="99"/>
        <v>0</v>
      </c>
      <c r="AS256" s="31">
        <f t="shared" si="100"/>
        <v>0</v>
      </c>
      <c r="AT256" s="31">
        <f t="shared" si="117"/>
        <v>0</v>
      </c>
      <c r="AU256" s="31">
        <f t="shared" si="101"/>
        <v>0</v>
      </c>
      <c r="AV256" s="31">
        <f t="shared" si="102"/>
        <v>0</v>
      </c>
      <c r="AW256" s="31">
        <f t="shared" si="103"/>
        <v>0</v>
      </c>
      <c r="AX256" s="31">
        <f t="shared" si="104"/>
        <v>0</v>
      </c>
      <c r="AY256" s="31">
        <f t="shared" si="105"/>
        <v>0</v>
      </c>
      <c r="AZ256" s="31">
        <f t="shared" si="106"/>
        <v>0</v>
      </c>
      <c r="BA256" s="31">
        <f t="shared" si="107"/>
        <v>0</v>
      </c>
      <c r="BB256" s="32">
        <f>IF(BS256&lt;&gt;"", AK256-BS256, 0)</f>
        <v>-56836</v>
      </c>
      <c r="BC256" s="32">
        <f>IF(DA256&lt;&gt;"", AK256-DA256, 0)</f>
        <v>-56970</v>
      </c>
      <c r="BD256" s="32">
        <f>IF(CE256&lt;&gt;"", AK256-CE256, )</f>
        <v>-55150</v>
      </c>
      <c r="BE256" s="32">
        <f>IF(DI256&lt;&gt;"", AK256-DI256, 0)</f>
        <v>-69120</v>
      </c>
      <c r="BF256" s="32">
        <f>IF(CQ256&lt;&gt;"",AK256-CQ256, 0)</f>
        <v>0</v>
      </c>
      <c r="BG256" s="32">
        <f>IF(DQ256&lt;&gt;"", AK256-DQ256, 0)</f>
        <v>-39375</v>
      </c>
      <c r="BH256" s="32">
        <f>IF(EA256&lt;&gt;"", AK256-EA256, 0)</f>
        <v>-51759</v>
      </c>
      <c r="BI256" s="32">
        <f>IF(EM256&lt;&gt;"", AK256-EM256, 0)</f>
        <v>-48365</v>
      </c>
      <c r="BJ256" s="32">
        <f>IF(EW256&lt;&gt;"", AK256-EW256, 0)</f>
        <v>-70749</v>
      </c>
      <c r="BK256" s="32">
        <f>IF(FE256&lt;&gt;"", AK256-FE256, 0)</f>
        <v>0</v>
      </c>
      <c r="BL256" s="41"/>
      <c r="BM256" s="41"/>
      <c r="BN256" s="41"/>
      <c r="BO256" s="37"/>
      <c r="BP256" s="38"/>
      <c r="BQ256" s="37"/>
      <c r="BR256" s="40"/>
      <c r="BS256" s="50">
        <f>BU256+BT256</f>
        <v>104086</v>
      </c>
      <c r="BT256" s="41">
        <v>3000</v>
      </c>
      <c r="BU256" s="41">
        <v>101086</v>
      </c>
      <c r="BV256" s="41">
        <v>105750</v>
      </c>
      <c r="BW256" s="41">
        <v>96300</v>
      </c>
      <c r="BX256" s="36"/>
      <c r="BY256" s="33"/>
      <c r="BZ256" s="33"/>
      <c r="CA256" s="33"/>
      <c r="CB256" s="34"/>
      <c r="CC256" s="33"/>
      <c r="CD256" s="35"/>
      <c r="CE256" s="36">
        <f>CG256+CF256</f>
        <v>102400</v>
      </c>
      <c r="CF256" s="36">
        <v>2500</v>
      </c>
      <c r="CG256" s="36">
        <v>99900</v>
      </c>
      <c r="CH256" s="36">
        <v>102600</v>
      </c>
      <c r="CI256" s="36">
        <v>97200</v>
      </c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35"/>
      <c r="CW256" s="35"/>
      <c r="CX256" s="35"/>
      <c r="CY256" s="35"/>
      <c r="CZ256" s="35"/>
      <c r="DA256" s="36">
        <v>104220</v>
      </c>
      <c r="DB256" s="36">
        <v>132840</v>
      </c>
      <c r="DC256" s="36">
        <v>97470</v>
      </c>
      <c r="DD256" s="40"/>
      <c r="DE256" s="40"/>
      <c r="DF256" s="40"/>
      <c r="DG256" s="40"/>
      <c r="DH256" s="40"/>
      <c r="DI256" s="41">
        <v>116370</v>
      </c>
      <c r="DJ256" s="41">
        <v>130680</v>
      </c>
      <c r="DK256" s="41">
        <v>102060</v>
      </c>
      <c r="DL256" s="35"/>
      <c r="DM256" s="35"/>
      <c r="DN256" s="35"/>
      <c r="DO256" s="35"/>
      <c r="DP256" s="35"/>
      <c r="DQ256" s="36">
        <v>86625</v>
      </c>
      <c r="DR256" s="36">
        <v>86625</v>
      </c>
      <c r="DS256" s="36">
        <v>86625</v>
      </c>
      <c r="DT256" s="40"/>
      <c r="DU256" s="40"/>
      <c r="DV256" s="40"/>
      <c r="DW256" s="40"/>
      <c r="DX256" s="40"/>
      <c r="DY256" s="40"/>
      <c r="DZ256" s="40"/>
      <c r="EA256" s="41">
        <f>EC256+EB256</f>
        <v>99009</v>
      </c>
      <c r="EB256" s="41">
        <v>3000</v>
      </c>
      <c r="EC256" s="41">
        <v>96009</v>
      </c>
      <c r="ED256" s="41">
        <v>106312</v>
      </c>
      <c r="EE256" s="41">
        <v>86047</v>
      </c>
      <c r="EF256" s="35"/>
      <c r="EG256" s="35"/>
      <c r="EH256" s="35"/>
      <c r="EI256" s="35"/>
      <c r="EJ256" s="35"/>
      <c r="EK256" s="35"/>
      <c r="EL256" s="35"/>
      <c r="EM256" s="36">
        <f>EO256+EN256</f>
        <v>95615</v>
      </c>
      <c r="EN256" s="36">
        <v>2500</v>
      </c>
      <c r="EO256" s="36">
        <v>93115</v>
      </c>
      <c r="EP256" s="36">
        <v>99330</v>
      </c>
      <c r="EQ256" s="36">
        <v>84525</v>
      </c>
      <c r="ER256" s="40"/>
      <c r="ES256" s="40"/>
      <c r="ET256" s="40"/>
      <c r="EU256" s="40"/>
      <c r="EV256" s="40"/>
      <c r="EW256" s="41">
        <v>117999</v>
      </c>
      <c r="EX256" s="41">
        <v>117999</v>
      </c>
      <c r="EY256" s="41">
        <v>117999</v>
      </c>
      <c r="EZ256" s="35"/>
      <c r="FA256" s="35"/>
      <c r="FB256" s="35"/>
      <c r="FC256" s="35"/>
      <c r="FD256" s="35"/>
      <c r="FE256" s="35"/>
      <c r="FF256" s="35"/>
      <c r="FG256" s="35"/>
    </row>
    <row r="257" spans="1:163">
      <c r="A257" s="60">
        <v>164</v>
      </c>
      <c r="E257" s="63" t="s">
        <v>63</v>
      </c>
      <c r="F257" s="56" t="s">
        <v>63</v>
      </c>
      <c r="G257" s="70" t="s">
        <v>543</v>
      </c>
      <c r="H257" s="66" t="str">
        <f t="shared" si="93"/>
        <v xml:space="preserve"> 247</v>
      </c>
      <c r="I257" s="67" t="s">
        <v>543</v>
      </c>
      <c r="J257" s="68">
        <f t="shared" si="94"/>
        <v>0</v>
      </c>
      <c r="K257" s="63" t="s">
        <v>298</v>
      </c>
      <c r="L257" s="1" t="s">
        <v>46</v>
      </c>
      <c r="O257" s="88" t="s">
        <v>790</v>
      </c>
      <c r="P257" s="89">
        <v>77500</v>
      </c>
      <c r="Q257" s="90">
        <f t="shared" si="115"/>
        <v>0</v>
      </c>
      <c r="R257" s="71"/>
      <c r="S257" s="72">
        <f t="shared" si="109"/>
        <v>0</v>
      </c>
      <c r="T257" s="68"/>
      <c r="U257" s="73">
        <f t="shared" si="110"/>
        <v>0</v>
      </c>
      <c r="V257" s="75"/>
      <c r="W257" s="2">
        <f t="shared" si="95"/>
        <v>-77500</v>
      </c>
      <c r="Y257" s="81">
        <f t="shared" si="96"/>
        <v>0</v>
      </c>
      <c r="Z257" s="96">
        <v>0</v>
      </c>
      <c r="AA257" s="97">
        <f>U257-Z257</f>
        <v>0</v>
      </c>
      <c r="AB257" s="98" t="e">
        <f>AA257/Z257</f>
        <v>#DIV/0!</v>
      </c>
      <c r="AE257" s="2">
        <v>127000</v>
      </c>
      <c r="AF257" s="28">
        <f t="shared" si="118"/>
        <v>0</v>
      </c>
      <c r="AG257" s="55" t="s">
        <v>125</v>
      </c>
      <c r="AI257" s="20" t="s">
        <v>206</v>
      </c>
      <c r="AJ257" s="2">
        <f t="shared" si="97"/>
        <v>0</v>
      </c>
      <c r="AN257" s="29" t="e">
        <f t="shared" si="98"/>
        <v>#DIV/0!</v>
      </c>
      <c r="AP257" s="3" t="s">
        <v>29</v>
      </c>
      <c r="AQ257" s="1" t="s">
        <v>165</v>
      </c>
      <c r="AR257" s="31">
        <f t="shared" si="99"/>
        <v>0</v>
      </c>
      <c r="AS257" s="31">
        <f t="shared" si="100"/>
        <v>0</v>
      </c>
      <c r="AT257" s="31">
        <f t="shared" si="117"/>
        <v>0</v>
      </c>
      <c r="AU257" s="31">
        <f t="shared" si="101"/>
        <v>0</v>
      </c>
      <c r="AV257" s="31">
        <f t="shared" si="102"/>
        <v>0</v>
      </c>
      <c r="AW257" s="31">
        <f t="shared" si="103"/>
        <v>0</v>
      </c>
      <c r="AX257" s="31">
        <f t="shared" si="104"/>
        <v>0</v>
      </c>
      <c r="AY257" s="31">
        <f t="shared" si="105"/>
        <v>0</v>
      </c>
      <c r="AZ257" s="31">
        <f t="shared" si="106"/>
        <v>0</v>
      </c>
      <c r="BA257" s="31">
        <f t="shared" si="107"/>
        <v>0</v>
      </c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41"/>
      <c r="BM257" s="41"/>
      <c r="BN257" s="41"/>
      <c r="BO257" s="37"/>
      <c r="BP257" s="38"/>
      <c r="BQ257" s="37"/>
      <c r="BR257" s="40"/>
      <c r="BS257" s="39"/>
      <c r="BT257" s="39"/>
      <c r="BU257" s="39"/>
      <c r="BV257" s="39"/>
      <c r="BW257" s="39"/>
      <c r="BX257" s="36"/>
      <c r="BY257" s="33"/>
      <c r="BZ257" s="33"/>
      <c r="CA257" s="33"/>
      <c r="CB257" s="34"/>
      <c r="CC257" s="33"/>
      <c r="CD257" s="35"/>
      <c r="CE257" s="48"/>
      <c r="CF257" s="48"/>
      <c r="CG257" s="48"/>
      <c r="CH257" s="48"/>
      <c r="CI257" s="48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35"/>
      <c r="CW257" s="35"/>
      <c r="CX257" s="35"/>
      <c r="CY257" s="35"/>
      <c r="CZ257" s="35"/>
      <c r="DA257" s="35"/>
      <c r="DB257" s="35"/>
      <c r="DC257" s="35"/>
      <c r="DD257" s="40"/>
      <c r="DE257" s="40"/>
      <c r="DF257" s="40"/>
      <c r="DG257" s="40"/>
      <c r="DH257" s="40"/>
      <c r="DI257" s="40"/>
      <c r="DJ257" s="40"/>
      <c r="DK257" s="40"/>
      <c r="DL257" s="35"/>
      <c r="DM257" s="35"/>
      <c r="DN257" s="35"/>
      <c r="DO257" s="35"/>
      <c r="DP257" s="35"/>
      <c r="DQ257" s="35"/>
      <c r="DR257" s="35"/>
      <c r="DS257" s="35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40"/>
      <c r="ES257" s="40"/>
      <c r="ET257" s="40"/>
      <c r="EU257" s="40"/>
      <c r="EV257" s="40"/>
      <c r="EW257" s="40"/>
      <c r="EX257" s="40"/>
      <c r="EY257" s="40"/>
      <c r="EZ257" s="35"/>
      <c r="FA257" s="35"/>
      <c r="FB257" s="35"/>
      <c r="FC257" s="35"/>
      <c r="FD257" s="35"/>
      <c r="FE257" s="35"/>
      <c r="FF257" s="35"/>
      <c r="FG257" s="35"/>
    </row>
    <row r="258" spans="1:163">
      <c r="A258" s="60">
        <v>154</v>
      </c>
      <c r="E258" s="63" t="s">
        <v>214</v>
      </c>
      <c r="F258" s="56" t="s">
        <v>62</v>
      </c>
      <c r="G258" s="70" t="s">
        <v>533</v>
      </c>
      <c r="H258" s="66" t="str">
        <f t="shared" si="93"/>
        <v xml:space="preserve"> 926</v>
      </c>
      <c r="I258" s="67" t="s">
        <v>533</v>
      </c>
      <c r="J258" s="68">
        <f t="shared" si="94"/>
        <v>0</v>
      </c>
      <c r="K258" s="63" t="s">
        <v>298</v>
      </c>
      <c r="L258" s="1" t="s">
        <v>46</v>
      </c>
      <c r="O258" s="88" t="s">
        <v>790</v>
      </c>
      <c r="P258" s="89">
        <v>77500</v>
      </c>
      <c r="Q258" s="90">
        <f t="shared" si="115"/>
        <v>0</v>
      </c>
      <c r="R258" s="71"/>
      <c r="S258" s="72">
        <f t="shared" si="109"/>
        <v>0</v>
      </c>
      <c r="T258" s="68"/>
      <c r="U258" s="73">
        <f t="shared" si="110"/>
        <v>0</v>
      </c>
      <c r="V258" s="73"/>
      <c r="W258" s="2">
        <f t="shared" si="95"/>
        <v>-77500</v>
      </c>
      <c r="Y258" s="81">
        <f t="shared" si="96"/>
        <v>0</v>
      </c>
      <c r="Z258" s="96">
        <v>0</v>
      </c>
      <c r="AA258" s="97">
        <f>U258-Z258</f>
        <v>0</v>
      </c>
      <c r="AB258" s="98" t="e">
        <f>AA258/Z258</f>
        <v>#DIV/0!</v>
      </c>
      <c r="AC258" s="2">
        <v>4000</v>
      </c>
      <c r="AD258" s="2">
        <f>Z258+AC258</f>
        <v>4000</v>
      </c>
      <c r="AF258" s="28">
        <f t="shared" si="118"/>
        <v>4000</v>
      </c>
      <c r="AG258" s="55" t="s">
        <v>125</v>
      </c>
      <c r="AI258" s="20" t="s">
        <v>45</v>
      </c>
      <c r="AJ258" s="2">
        <f t="shared" si="97"/>
        <v>4000</v>
      </c>
      <c r="AN258" s="29">
        <f t="shared" si="98"/>
        <v>1</v>
      </c>
      <c r="AO258" s="29" t="e">
        <f>AN258-AB258</f>
        <v>#DIV/0!</v>
      </c>
      <c r="AP258" s="3" t="s">
        <v>29</v>
      </c>
      <c r="AQ258" s="1" t="s">
        <v>155</v>
      </c>
      <c r="AR258" s="31">
        <f t="shared" si="99"/>
        <v>0</v>
      </c>
      <c r="AS258" s="31">
        <f t="shared" si="100"/>
        <v>0</v>
      </c>
      <c r="AT258" s="31">
        <f t="shared" si="117"/>
        <v>0</v>
      </c>
      <c r="AU258" s="31">
        <f t="shared" si="101"/>
        <v>0</v>
      </c>
      <c r="AV258" s="31">
        <f t="shared" si="102"/>
        <v>0</v>
      </c>
      <c r="AW258" s="31">
        <f t="shared" si="103"/>
        <v>0</v>
      </c>
      <c r="AX258" s="31">
        <f t="shared" si="104"/>
        <v>0</v>
      </c>
      <c r="AY258" s="31">
        <f t="shared" si="105"/>
        <v>0</v>
      </c>
      <c r="AZ258" s="31">
        <f t="shared" si="106"/>
        <v>0</v>
      </c>
      <c r="BA258" s="31">
        <f t="shared" si="107"/>
        <v>0</v>
      </c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35"/>
      <c r="CW258" s="35"/>
      <c r="CX258" s="35"/>
      <c r="CY258" s="35"/>
      <c r="CZ258" s="35"/>
      <c r="DA258" s="35"/>
      <c r="DB258" s="35"/>
      <c r="DC258" s="35"/>
      <c r="DD258" s="40"/>
      <c r="DE258" s="40"/>
      <c r="DF258" s="40"/>
      <c r="DG258" s="40"/>
      <c r="DH258" s="40"/>
      <c r="DI258" s="40"/>
      <c r="DJ258" s="40"/>
      <c r="DK258" s="40"/>
      <c r="DL258" s="35"/>
      <c r="DM258" s="35"/>
      <c r="DN258" s="35"/>
      <c r="DO258" s="35"/>
      <c r="DP258" s="35"/>
      <c r="DQ258" s="35"/>
      <c r="DR258" s="35"/>
      <c r="DS258" s="35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40"/>
      <c r="ES258" s="40"/>
      <c r="ET258" s="40"/>
      <c r="EU258" s="40"/>
      <c r="EV258" s="40"/>
      <c r="EW258" s="40"/>
      <c r="EX258" s="40"/>
      <c r="EY258" s="40"/>
      <c r="EZ258" s="35"/>
      <c r="FA258" s="35"/>
      <c r="FB258" s="35"/>
      <c r="FC258" s="35"/>
      <c r="FD258" s="35"/>
      <c r="FE258" s="35"/>
      <c r="FF258" s="35"/>
      <c r="FG258" s="35"/>
    </row>
    <row r="259" spans="1:163">
      <c r="A259" s="62">
        <v>219</v>
      </c>
      <c r="E259" s="63" t="s">
        <v>93</v>
      </c>
      <c r="F259" s="56" t="s">
        <v>95</v>
      </c>
      <c r="G259" s="70" t="s">
        <v>599</v>
      </c>
      <c r="H259" s="66" t="str">
        <f t="shared" si="93"/>
        <v xml:space="preserve"> 413</v>
      </c>
      <c r="I259" s="67" t="s">
        <v>599</v>
      </c>
      <c r="J259" s="68">
        <f t="shared" si="94"/>
        <v>0</v>
      </c>
      <c r="K259" s="63" t="s">
        <v>327</v>
      </c>
      <c r="L259" s="1" t="s">
        <v>46</v>
      </c>
      <c r="O259" s="88" t="s">
        <v>790</v>
      </c>
      <c r="P259" s="89">
        <v>84000</v>
      </c>
      <c r="Q259" s="90">
        <f t="shared" si="115"/>
        <v>0</v>
      </c>
      <c r="R259" s="73"/>
      <c r="S259" s="72">
        <f t="shared" si="109"/>
        <v>0</v>
      </c>
      <c r="T259" s="68"/>
      <c r="U259" s="73">
        <f t="shared" si="110"/>
        <v>0</v>
      </c>
      <c r="V259" s="73"/>
      <c r="W259" s="2">
        <f t="shared" si="95"/>
        <v>-84000</v>
      </c>
      <c r="Y259" s="81">
        <f t="shared" si="96"/>
        <v>0</v>
      </c>
      <c r="Z259" s="96">
        <v>0</v>
      </c>
      <c r="AA259" s="97">
        <f>U259-Z259</f>
        <v>0</v>
      </c>
      <c r="AB259" s="98" t="e">
        <f>AA259/Z259</f>
        <v>#DIV/0!</v>
      </c>
      <c r="AC259" s="2">
        <v>4000</v>
      </c>
      <c r="AD259" s="2">
        <f>Z259+AC259</f>
        <v>4000</v>
      </c>
      <c r="AF259" s="28">
        <f t="shared" si="118"/>
        <v>4000</v>
      </c>
      <c r="AG259" s="55" t="s">
        <v>125</v>
      </c>
      <c r="AI259" s="20" t="s">
        <v>45</v>
      </c>
      <c r="AJ259" s="2">
        <f t="shared" si="97"/>
        <v>4000</v>
      </c>
      <c r="AN259" s="29">
        <f t="shared" si="98"/>
        <v>1</v>
      </c>
      <c r="AO259" s="29" t="e">
        <f>AN259-AB259</f>
        <v>#DIV/0!</v>
      </c>
      <c r="AP259" s="3" t="s">
        <v>29</v>
      </c>
      <c r="AQ259" s="1" t="s">
        <v>190</v>
      </c>
      <c r="AR259" s="31">
        <f t="shared" si="99"/>
        <v>0</v>
      </c>
      <c r="AS259" s="31">
        <f t="shared" si="100"/>
        <v>0</v>
      </c>
      <c r="AT259" s="31">
        <f t="shared" si="117"/>
        <v>0</v>
      </c>
      <c r="AU259" s="31">
        <f t="shared" si="101"/>
        <v>0</v>
      </c>
      <c r="AV259" s="31">
        <f t="shared" si="102"/>
        <v>0</v>
      </c>
      <c r="AW259" s="31">
        <f t="shared" si="103"/>
        <v>0</v>
      </c>
      <c r="AX259" s="31">
        <f t="shared" si="104"/>
        <v>0</v>
      </c>
      <c r="AY259" s="31">
        <f t="shared" si="105"/>
        <v>0</v>
      </c>
      <c r="AZ259" s="31">
        <f t="shared" si="106"/>
        <v>0</v>
      </c>
      <c r="BA259" s="31">
        <f t="shared" si="107"/>
        <v>0</v>
      </c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35"/>
      <c r="CW259" s="35"/>
      <c r="CX259" s="35"/>
      <c r="CY259" s="35"/>
      <c r="CZ259" s="35"/>
      <c r="DA259" s="35"/>
      <c r="DB259" s="35"/>
      <c r="DC259" s="35"/>
      <c r="DD259" s="40"/>
      <c r="DE259" s="40"/>
      <c r="DF259" s="40"/>
      <c r="DG259" s="40"/>
      <c r="DH259" s="40"/>
      <c r="DI259" s="40"/>
      <c r="DJ259" s="40"/>
      <c r="DK259" s="40"/>
      <c r="DL259" s="35"/>
      <c r="DM259" s="35"/>
      <c r="DN259" s="35"/>
      <c r="DO259" s="35"/>
      <c r="DP259" s="35"/>
      <c r="DQ259" s="35"/>
      <c r="DR259" s="35"/>
      <c r="DS259" s="35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40"/>
      <c r="ES259" s="40"/>
      <c r="ET259" s="40"/>
      <c r="EU259" s="40"/>
      <c r="EV259" s="40"/>
      <c r="EW259" s="40"/>
      <c r="EX259" s="40"/>
      <c r="EY259" s="40"/>
      <c r="EZ259" s="35"/>
      <c r="FA259" s="35"/>
      <c r="FB259" s="35"/>
      <c r="FC259" s="35"/>
      <c r="FD259" s="35"/>
      <c r="FE259" s="35"/>
      <c r="FF259" s="35"/>
      <c r="FG259" s="35"/>
    </row>
    <row r="260" spans="1:163">
      <c r="A260" s="62">
        <v>271</v>
      </c>
      <c r="E260" s="63" t="s">
        <v>218</v>
      </c>
      <c r="F260" s="56" t="s">
        <v>95</v>
      </c>
      <c r="G260" s="70" t="s">
        <v>645</v>
      </c>
      <c r="H260" s="66" t="str">
        <f t="shared" si="93"/>
        <v xml:space="preserve"> 584</v>
      </c>
      <c r="I260" s="67" t="s">
        <v>645</v>
      </c>
      <c r="J260" s="68">
        <f t="shared" si="94"/>
        <v>0</v>
      </c>
      <c r="K260" s="63" t="s">
        <v>327</v>
      </c>
      <c r="L260" s="1" t="s">
        <v>46</v>
      </c>
      <c r="O260" s="88" t="s">
        <v>790</v>
      </c>
      <c r="P260" s="89">
        <v>80000</v>
      </c>
      <c r="Q260" s="90">
        <f t="shared" si="115"/>
        <v>0</v>
      </c>
      <c r="R260" s="71"/>
      <c r="S260" s="72">
        <f t="shared" si="109"/>
        <v>0</v>
      </c>
      <c r="T260" s="68"/>
      <c r="U260" s="73">
        <f t="shared" si="110"/>
        <v>0</v>
      </c>
      <c r="V260" s="75"/>
      <c r="W260" s="2">
        <f t="shared" si="95"/>
        <v>-80000</v>
      </c>
      <c r="Y260" s="81">
        <f t="shared" si="96"/>
        <v>0</v>
      </c>
      <c r="Z260" s="96">
        <v>0</v>
      </c>
      <c r="AA260" s="97">
        <f>U260-Z260</f>
        <v>0</v>
      </c>
      <c r="AB260" s="98" t="e">
        <f>AA260/Z260</f>
        <v>#DIV/0!</v>
      </c>
      <c r="AE260" s="2">
        <v>115000</v>
      </c>
      <c r="AF260" s="28">
        <f t="shared" si="118"/>
        <v>0</v>
      </c>
      <c r="AG260" s="55" t="s">
        <v>125</v>
      </c>
      <c r="AI260" s="20" t="s">
        <v>45</v>
      </c>
      <c r="AJ260" s="2">
        <f t="shared" si="97"/>
        <v>0</v>
      </c>
      <c r="AN260" s="29" t="e">
        <f t="shared" si="98"/>
        <v>#DIV/0!</v>
      </c>
      <c r="AP260" s="3" t="s">
        <v>29</v>
      </c>
      <c r="AQ260" s="1" t="s">
        <v>190</v>
      </c>
      <c r="AR260" s="31">
        <f t="shared" si="99"/>
        <v>0</v>
      </c>
      <c r="AS260" s="31">
        <f t="shared" si="100"/>
        <v>0</v>
      </c>
      <c r="AT260" s="31">
        <f t="shared" si="117"/>
        <v>0</v>
      </c>
      <c r="AU260" s="31">
        <f t="shared" si="101"/>
        <v>0</v>
      </c>
      <c r="AV260" s="31">
        <f t="shared" si="102"/>
        <v>0</v>
      </c>
      <c r="AW260" s="31">
        <f t="shared" si="103"/>
        <v>0</v>
      </c>
      <c r="AX260" s="31">
        <f t="shared" si="104"/>
        <v>0</v>
      </c>
      <c r="AY260" s="31">
        <f t="shared" si="105"/>
        <v>0</v>
      </c>
      <c r="AZ260" s="31">
        <f t="shared" si="106"/>
        <v>0</v>
      </c>
      <c r="BA260" s="31">
        <f t="shared" si="107"/>
        <v>0</v>
      </c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35"/>
      <c r="CW260" s="35"/>
      <c r="CX260" s="35"/>
      <c r="CY260" s="35"/>
      <c r="CZ260" s="35"/>
      <c r="DA260" s="35"/>
      <c r="DB260" s="35"/>
      <c r="DC260" s="35"/>
      <c r="DD260" s="40"/>
      <c r="DE260" s="40"/>
      <c r="DF260" s="40"/>
      <c r="DG260" s="40"/>
      <c r="DH260" s="40"/>
      <c r="DI260" s="40"/>
      <c r="DJ260" s="40"/>
      <c r="DK260" s="40"/>
      <c r="DL260" s="35"/>
      <c r="DM260" s="35"/>
      <c r="DN260" s="35"/>
      <c r="DO260" s="35"/>
      <c r="DP260" s="35"/>
      <c r="DQ260" s="35"/>
      <c r="DR260" s="35"/>
      <c r="DS260" s="35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40"/>
      <c r="ES260" s="40"/>
      <c r="ET260" s="40"/>
      <c r="EU260" s="40"/>
      <c r="EV260" s="40"/>
      <c r="EW260" s="40"/>
      <c r="EX260" s="40"/>
      <c r="EY260" s="40"/>
      <c r="EZ260" s="35"/>
      <c r="FA260" s="35"/>
      <c r="FB260" s="35"/>
      <c r="FC260" s="35"/>
      <c r="FD260" s="35"/>
      <c r="FE260" s="35"/>
      <c r="FF260" s="35"/>
      <c r="FG260" s="35"/>
    </row>
    <row r="261" spans="1:163">
      <c r="A261" s="60">
        <v>151</v>
      </c>
      <c r="E261" s="63" t="s">
        <v>63</v>
      </c>
      <c r="F261" s="56" t="s">
        <v>62</v>
      </c>
      <c r="G261" s="70" t="s">
        <v>530</v>
      </c>
      <c r="H261" s="66" t="str">
        <f t="shared" si="93"/>
        <v xml:space="preserve"> 512</v>
      </c>
      <c r="I261" s="67" t="s">
        <v>530</v>
      </c>
      <c r="J261" s="68">
        <f t="shared" si="94"/>
        <v>0</v>
      </c>
      <c r="K261" s="63" t="s">
        <v>296</v>
      </c>
      <c r="L261" s="1" t="s">
        <v>46</v>
      </c>
      <c r="O261" s="64" t="s">
        <v>789</v>
      </c>
      <c r="P261" s="82">
        <v>0</v>
      </c>
      <c r="Q261" s="74">
        <f t="shared" si="115"/>
        <v>90000</v>
      </c>
      <c r="R261" s="71">
        <v>90000</v>
      </c>
      <c r="S261" s="72">
        <f t="shared" si="109"/>
        <v>9250</v>
      </c>
      <c r="T261" s="68"/>
      <c r="U261" s="73">
        <f t="shared" si="110"/>
        <v>80750</v>
      </c>
      <c r="V261" s="75">
        <f>5200+600+200+2000+250+1000</f>
        <v>9250</v>
      </c>
      <c r="W261" s="2">
        <f t="shared" si="95"/>
        <v>90000</v>
      </c>
      <c r="Y261" s="80">
        <f t="shared" si="96"/>
        <v>90000</v>
      </c>
      <c r="Z261" s="93"/>
      <c r="AA261" s="93"/>
      <c r="AB261" s="94"/>
      <c r="AC261" s="2">
        <v>3000</v>
      </c>
      <c r="AD261" s="2">
        <f>Z261+AC261</f>
        <v>3000</v>
      </c>
      <c r="AF261" s="28">
        <f t="shared" si="118"/>
        <v>0</v>
      </c>
      <c r="AG261" s="55" t="s">
        <v>125</v>
      </c>
      <c r="AI261" s="20" t="s">
        <v>45</v>
      </c>
      <c r="AJ261" s="2">
        <f t="shared" si="97"/>
        <v>-90000</v>
      </c>
      <c r="AN261" s="29" t="e">
        <f t="shared" si="98"/>
        <v>#DIV/0!</v>
      </c>
      <c r="AO261" s="29" t="e">
        <f>AN261-AB261</f>
        <v>#DIV/0!</v>
      </c>
      <c r="AP261" s="3" t="s">
        <v>29</v>
      </c>
      <c r="AQ261" s="1" t="s">
        <v>155</v>
      </c>
      <c r="AR261" s="31">
        <f t="shared" si="99"/>
        <v>0</v>
      </c>
      <c r="AS261" s="31">
        <f t="shared" si="100"/>
        <v>0</v>
      </c>
      <c r="AT261" s="31">
        <f t="shared" si="117"/>
        <v>0</v>
      </c>
      <c r="AU261" s="31">
        <f t="shared" si="101"/>
        <v>0</v>
      </c>
      <c r="AV261" s="31">
        <f t="shared" si="102"/>
        <v>0</v>
      </c>
      <c r="AW261" s="31">
        <f t="shared" si="103"/>
        <v>0</v>
      </c>
      <c r="AX261" s="31">
        <f t="shared" si="104"/>
        <v>0</v>
      </c>
      <c r="AY261" s="31">
        <f t="shared" si="105"/>
        <v>0</v>
      </c>
      <c r="AZ261" s="31">
        <f t="shared" si="106"/>
        <v>0</v>
      </c>
      <c r="BA261" s="31">
        <f t="shared" si="107"/>
        <v>0</v>
      </c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35"/>
      <c r="CW261" s="35"/>
      <c r="CX261" s="35"/>
      <c r="CY261" s="35"/>
      <c r="CZ261" s="35"/>
      <c r="DA261" s="35"/>
      <c r="DB261" s="35"/>
      <c r="DC261" s="35"/>
      <c r="DD261" s="40"/>
      <c r="DE261" s="40"/>
      <c r="DF261" s="40"/>
      <c r="DG261" s="40"/>
      <c r="DH261" s="40"/>
      <c r="DI261" s="40"/>
      <c r="DJ261" s="40"/>
      <c r="DK261" s="40"/>
      <c r="DL261" s="35"/>
      <c r="DM261" s="35"/>
      <c r="DN261" s="35"/>
      <c r="DO261" s="35"/>
      <c r="DP261" s="35"/>
      <c r="DQ261" s="35"/>
      <c r="DR261" s="35"/>
      <c r="DS261" s="35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40"/>
      <c r="ES261" s="40"/>
      <c r="ET261" s="40"/>
      <c r="EU261" s="40"/>
      <c r="EV261" s="40"/>
      <c r="EW261" s="40"/>
      <c r="EX261" s="40"/>
      <c r="EY261" s="40"/>
      <c r="EZ261" s="35"/>
      <c r="FA261" s="35"/>
      <c r="FB261" s="35"/>
      <c r="FC261" s="35"/>
      <c r="FD261" s="35"/>
      <c r="FE261" s="35"/>
      <c r="FF261" s="35"/>
      <c r="FG261" s="35"/>
    </row>
    <row r="262" spans="1:163">
      <c r="A262" s="62">
        <v>330</v>
      </c>
      <c r="E262" s="63" t="s">
        <v>76</v>
      </c>
      <c r="F262" s="56" t="s">
        <v>74</v>
      </c>
      <c r="G262" s="70" t="s">
        <v>701</v>
      </c>
      <c r="H262" s="66" t="str">
        <f t="shared" si="93"/>
        <v xml:space="preserve"> 700</v>
      </c>
      <c r="I262" s="67" t="s">
        <v>701</v>
      </c>
      <c r="J262" s="68">
        <f t="shared" si="94"/>
        <v>0</v>
      </c>
      <c r="K262" s="63" t="s">
        <v>296</v>
      </c>
      <c r="L262" s="1" t="s">
        <v>46</v>
      </c>
      <c r="O262" s="64" t="s">
        <v>789</v>
      </c>
      <c r="P262" s="82">
        <v>0</v>
      </c>
      <c r="Q262" s="74">
        <f t="shared" si="115"/>
        <v>52500</v>
      </c>
      <c r="R262" s="71">
        <v>52500</v>
      </c>
      <c r="S262" s="72">
        <f t="shared" si="109"/>
        <v>8550</v>
      </c>
      <c r="T262" s="68"/>
      <c r="U262" s="73">
        <f t="shared" si="110"/>
        <v>43950</v>
      </c>
      <c r="V262" s="73">
        <f>2000+5500+600+200+250</f>
        <v>8550</v>
      </c>
      <c r="W262" s="2">
        <f t="shared" si="95"/>
        <v>52500</v>
      </c>
      <c r="Y262" s="80">
        <f t="shared" si="96"/>
        <v>52500</v>
      </c>
      <c r="Z262" s="93"/>
      <c r="AA262" s="93"/>
      <c r="AB262" s="94"/>
      <c r="AC262" s="2">
        <v>3000</v>
      </c>
      <c r="AD262" s="2">
        <f>Z262+AC262</f>
        <v>3000</v>
      </c>
      <c r="AF262" s="28">
        <f t="shared" si="118"/>
        <v>0</v>
      </c>
      <c r="AG262" s="55" t="s">
        <v>125</v>
      </c>
      <c r="AH262" s="2"/>
      <c r="AI262" s="20" t="s">
        <v>45</v>
      </c>
      <c r="AJ262" s="2">
        <f t="shared" si="97"/>
        <v>-52500</v>
      </c>
      <c r="AK262" s="2">
        <f>AVERAGE(AF262,AF261,AF260,AF259,AF258,AF257,AF256,AF255,AF252,AF251,AF250,AF249,AF248,AF247,AF246,AF245,AF244,AF242,AF241,AF239)</f>
        <v>30300</v>
      </c>
      <c r="AL262" s="2">
        <f>MIN(AF262,AF261,AF260,AF259,AF258,AF257,AF256,AF255,AF252,AF251,AF250,AF249,AF248,AF247,AF246,AF245,AF244,AF242,AF241,AF239)</f>
        <v>0</v>
      </c>
      <c r="AM262" s="2">
        <f>MAX(AF262,AF261,AF260,AF259,AF258,AF257,AF256,AF255,AF252,AF251,AF250,AF249,AF248,AF247,AF246,AF245,AF244,AF242,AF241,AF239)</f>
        <v>123000</v>
      </c>
      <c r="AN262" s="29" t="e">
        <f t="shared" si="98"/>
        <v>#DIV/0!</v>
      </c>
      <c r="AO262" s="29" t="e">
        <f>AN262-AB262</f>
        <v>#DIV/0!</v>
      </c>
      <c r="AP262" s="3" t="s">
        <v>29</v>
      </c>
      <c r="AQ262" s="1" t="s">
        <v>185</v>
      </c>
      <c r="AR262" s="31">
        <f t="shared" si="99"/>
        <v>0</v>
      </c>
      <c r="AS262" s="31">
        <f t="shared" si="100"/>
        <v>0</v>
      </c>
      <c r="AT262" s="31">
        <f t="shared" si="117"/>
        <v>0</v>
      </c>
      <c r="AU262" s="31">
        <f t="shared" si="101"/>
        <v>0</v>
      </c>
      <c r="AV262" s="31">
        <f t="shared" si="102"/>
        <v>0</v>
      </c>
      <c r="AW262" s="31">
        <f t="shared" si="103"/>
        <v>0</v>
      </c>
      <c r="AX262" s="31">
        <f t="shared" si="104"/>
        <v>0</v>
      </c>
      <c r="AY262" s="31">
        <f t="shared" si="105"/>
        <v>0</v>
      </c>
      <c r="AZ262" s="31">
        <f t="shared" si="106"/>
        <v>0</v>
      </c>
      <c r="BA262" s="31">
        <f t="shared" si="107"/>
        <v>0</v>
      </c>
      <c r="BB262" s="32">
        <f>IF(BS262&lt;&gt;"", AK262-BS262, 0)</f>
        <v>-69771</v>
      </c>
      <c r="BC262" s="32">
        <f>IF(DA262&lt;&gt;"", AK262-DA262, 0)</f>
        <v>-69168</v>
      </c>
      <c r="BD262" s="32">
        <f>IF(CE262&lt;&gt;"", AK262-CE262, )</f>
        <v>-66587</v>
      </c>
      <c r="BE262" s="32">
        <f>IF(DI262&lt;&gt;"", AK262-DI262, 0)</f>
        <v>-72732</v>
      </c>
      <c r="BF262" s="32">
        <f>IF(CQ262&lt;&gt;"",AK262-CQ262, 0)</f>
        <v>0</v>
      </c>
      <c r="BG262" s="32">
        <f>IF(DQ262&lt;&gt;"", AK262-DQ262, 0)</f>
        <v>-66230</v>
      </c>
      <c r="BH262" s="32">
        <f>IF(EA262&lt;&gt;"", AK262-EA262, 0)</f>
        <v>-76984</v>
      </c>
      <c r="BI262" s="32">
        <f>IF(EM262&lt;&gt;"", AK262-EM262, 0)</f>
        <v>-77123</v>
      </c>
      <c r="BJ262" s="32">
        <f>IF(EW262&lt;&gt;"", AK262-EW262, 0)</f>
        <v>-70843</v>
      </c>
      <c r="BK262" s="32">
        <f>IF(FE262&lt;&gt;"", AK262-FE262, 0)</f>
        <v>0</v>
      </c>
      <c r="BL262" s="41"/>
      <c r="BM262" s="41"/>
      <c r="BN262" s="41"/>
      <c r="BO262" s="37"/>
      <c r="BP262" s="38"/>
      <c r="BQ262" s="37"/>
      <c r="BR262" s="40"/>
      <c r="BS262" s="50">
        <f>BU262+BT262</f>
        <v>100071</v>
      </c>
      <c r="BT262" s="41">
        <v>2500</v>
      </c>
      <c r="BU262" s="41">
        <v>97571</v>
      </c>
      <c r="BV262" s="41">
        <v>109350</v>
      </c>
      <c r="BW262" s="41">
        <v>84150</v>
      </c>
      <c r="BX262" s="36"/>
      <c r="BY262" s="33"/>
      <c r="BZ262" s="33"/>
      <c r="CA262" s="33"/>
      <c r="CB262" s="34"/>
      <c r="CC262" s="33"/>
      <c r="CD262" s="35"/>
      <c r="CE262" s="36">
        <f>CG262+CF262</f>
        <v>96887</v>
      </c>
      <c r="CF262" s="36">
        <v>2500</v>
      </c>
      <c r="CG262" s="36">
        <v>94387</v>
      </c>
      <c r="CH262" s="36">
        <v>101250</v>
      </c>
      <c r="CI262" s="36">
        <v>86400</v>
      </c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35"/>
      <c r="CW262" s="35"/>
      <c r="CX262" s="35"/>
      <c r="CY262" s="35"/>
      <c r="CZ262" s="35"/>
      <c r="DA262" s="36">
        <v>99468</v>
      </c>
      <c r="DB262" s="36">
        <v>116640</v>
      </c>
      <c r="DC262" s="36">
        <v>87480</v>
      </c>
      <c r="DD262" s="40"/>
      <c r="DE262" s="40"/>
      <c r="DF262" s="40"/>
      <c r="DG262" s="40"/>
      <c r="DH262" s="40"/>
      <c r="DI262" s="41">
        <v>103032</v>
      </c>
      <c r="DJ262" s="41">
        <v>107460</v>
      </c>
      <c r="DK262" s="41">
        <v>100170</v>
      </c>
      <c r="DL262" s="35"/>
      <c r="DM262" s="35"/>
      <c r="DN262" s="35"/>
      <c r="DO262" s="35"/>
      <c r="DP262" s="35"/>
      <c r="DQ262" s="36">
        <v>96530</v>
      </c>
      <c r="DR262" s="36">
        <v>104212</v>
      </c>
      <c r="DS262" s="36">
        <v>79537</v>
      </c>
      <c r="DT262" s="40"/>
      <c r="DU262" s="40"/>
      <c r="DV262" s="40"/>
      <c r="DW262" s="40"/>
      <c r="DX262" s="40"/>
      <c r="DY262" s="40"/>
      <c r="DZ262" s="40"/>
      <c r="EA262" s="41">
        <f>EC262+EB262</f>
        <v>107284</v>
      </c>
      <c r="EB262" s="41">
        <v>2500</v>
      </c>
      <c r="EC262" s="41">
        <v>104784</v>
      </c>
      <c r="ED262" s="41">
        <v>120277</v>
      </c>
      <c r="EE262" s="41">
        <v>83790</v>
      </c>
      <c r="EF262" s="35"/>
      <c r="EG262" s="35"/>
      <c r="EH262" s="35"/>
      <c r="EI262" s="35"/>
      <c r="EJ262" s="35"/>
      <c r="EK262" s="35"/>
      <c r="EL262" s="35"/>
      <c r="EM262" s="36">
        <f>EO262+EN262</f>
        <v>107423</v>
      </c>
      <c r="EN262" s="36">
        <v>2500</v>
      </c>
      <c r="EO262" s="36">
        <v>104923</v>
      </c>
      <c r="EP262" s="36">
        <v>135712</v>
      </c>
      <c r="EQ262" s="36">
        <v>85365</v>
      </c>
      <c r="ER262" s="40"/>
      <c r="ES262" s="40"/>
      <c r="ET262" s="40"/>
      <c r="EU262" s="40"/>
      <c r="EV262" s="40"/>
      <c r="EW262" s="41">
        <v>101143</v>
      </c>
      <c r="EX262" s="41">
        <v>104000</v>
      </c>
      <c r="EY262" s="41">
        <v>87999</v>
      </c>
      <c r="EZ262" s="35"/>
      <c r="FA262" s="35"/>
      <c r="FB262" s="35"/>
      <c r="FC262" s="35"/>
      <c r="FD262" s="35"/>
      <c r="FE262" s="35"/>
      <c r="FF262" s="35"/>
      <c r="FG262" s="35"/>
    </row>
    <row r="263" spans="1:163">
      <c r="A263" s="62">
        <v>340</v>
      </c>
      <c r="E263" s="63" t="s">
        <v>225</v>
      </c>
      <c r="F263" s="56" t="s">
        <v>79</v>
      </c>
      <c r="G263" s="70" t="s">
        <v>711</v>
      </c>
      <c r="H263" s="66" t="str">
        <f t="shared" ref="H263:H326" si="119">REPLACE(G263,1,3, )</f>
        <v xml:space="preserve"> 131</v>
      </c>
      <c r="I263" s="67" t="s">
        <v>711</v>
      </c>
      <c r="J263" s="68">
        <f t="shared" ref="J263:J326" si="120">IF(G263=I263,0,1)</f>
        <v>0</v>
      </c>
      <c r="K263" s="63" t="s">
        <v>296</v>
      </c>
      <c r="L263" s="1" t="s">
        <v>46</v>
      </c>
      <c r="O263" s="88" t="s">
        <v>790</v>
      </c>
      <c r="P263" s="89">
        <v>0</v>
      </c>
      <c r="Q263" s="90">
        <f t="shared" si="115"/>
        <v>66000</v>
      </c>
      <c r="R263" s="71">
        <v>66000</v>
      </c>
      <c r="S263" s="72">
        <f t="shared" si="109"/>
        <v>8550</v>
      </c>
      <c r="T263" s="68" t="s">
        <v>791</v>
      </c>
      <c r="U263" s="73">
        <f t="shared" si="110"/>
        <v>57450</v>
      </c>
      <c r="V263" s="73">
        <f>2000+5500+600+200+250</f>
        <v>8550</v>
      </c>
      <c r="W263" s="2">
        <f t="shared" ref="W263:W326" si="121">Q263-P263</f>
        <v>66000</v>
      </c>
      <c r="Y263" s="81">
        <f t="shared" ref="Y263:Y326" si="122">Q263</f>
        <v>66000</v>
      </c>
      <c r="Z263" s="96">
        <v>0</v>
      </c>
      <c r="AA263" s="97">
        <f>U263-Z263</f>
        <v>57450</v>
      </c>
      <c r="AB263" s="98" t="e">
        <f>AA263/Z263</f>
        <v>#DIV/0!</v>
      </c>
      <c r="AE263" s="2">
        <v>92000</v>
      </c>
      <c r="AF263" s="28">
        <f t="shared" si="118"/>
        <v>0</v>
      </c>
      <c r="AG263" s="55" t="s">
        <v>125</v>
      </c>
      <c r="AI263" s="20" t="s">
        <v>45</v>
      </c>
      <c r="AJ263" s="2">
        <f t="shared" ref="AJ263:AJ326" si="123">AF263-Y263</f>
        <v>-66000</v>
      </c>
      <c r="AN263" s="29" t="e">
        <f t="shared" ref="AN263:AN326" si="124">AJ263/AF263</f>
        <v>#DIV/0!</v>
      </c>
      <c r="AP263" s="3" t="s">
        <v>29</v>
      </c>
      <c r="AQ263" s="1" t="s">
        <v>176</v>
      </c>
      <c r="AR263" s="31">
        <f t="shared" ref="AR263:AR326" si="125">IF(BN263&lt;&gt;"", AF263-BN263, 0)</f>
        <v>0</v>
      </c>
      <c r="AS263" s="31">
        <f t="shared" ref="AS263:AS326" si="126">IF(CV263&lt;&gt;"", AF263-CV263, 0)</f>
        <v>0</v>
      </c>
      <c r="AT263" s="31">
        <f t="shared" si="117"/>
        <v>0</v>
      </c>
      <c r="AU263" s="31">
        <f t="shared" ref="AU263:AU326" si="127">IF(DD263&lt;&gt;"", AF263-DD263, 0)</f>
        <v>0</v>
      </c>
      <c r="AV263" s="31">
        <f t="shared" ref="AV263:AV326" si="128">IF(CL263&lt;&gt;"", AF263-CL263, 0)</f>
        <v>0</v>
      </c>
      <c r="AW263" s="31">
        <f t="shared" ref="AW263:AW326" si="129">IF(DL263&lt;&gt;"", AF263-DL263, 0)</f>
        <v>0</v>
      </c>
      <c r="AX263" s="31">
        <f t="shared" ref="AX263:AX326" si="130">IF(DV263&lt;&gt;"",AF263-DV263, 0)</f>
        <v>0</v>
      </c>
      <c r="AY263" s="31">
        <f t="shared" ref="AY263:AY326" si="131">IF(EH263&lt;&gt;"",AF263-EH263, 0)</f>
        <v>0</v>
      </c>
      <c r="AZ263" s="31">
        <f t="shared" ref="AZ263:AZ326" si="132">IF(ER263&lt;&gt;"", AF263-ER263, 0)</f>
        <v>0</v>
      </c>
      <c r="BA263" s="31">
        <f t="shared" ref="BA263:BA326" si="133">IF(EZ263&lt;&gt;"", AF263-EZ263, 0)</f>
        <v>0</v>
      </c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35"/>
      <c r="CW263" s="35"/>
      <c r="CX263" s="35"/>
      <c r="CY263" s="35"/>
      <c r="CZ263" s="35"/>
      <c r="DA263" s="35"/>
      <c r="DB263" s="35"/>
      <c r="DC263" s="35"/>
      <c r="DD263" s="40"/>
      <c r="DE263" s="40"/>
      <c r="DF263" s="40"/>
      <c r="DG263" s="40"/>
      <c r="DH263" s="40"/>
      <c r="DI263" s="40"/>
      <c r="DJ263" s="40"/>
      <c r="DK263" s="40"/>
      <c r="DL263" s="35"/>
      <c r="DM263" s="35"/>
      <c r="DN263" s="35"/>
      <c r="DO263" s="35"/>
      <c r="DP263" s="35"/>
      <c r="DQ263" s="35"/>
      <c r="DR263" s="35"/>
      <c r="DS263" s="35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40"/>
      <c r="ES263" s="40"/>
      <c r="ET263" s="40"/>
      <c r="EU263" s="40"/>
      <c r="EV263" s="40"/>
      <c r="EW263" s="40"/>
      <c r="EX263" s="40"/>
      <c r="EY263" s="40"/>
      <c r="EZ263" s="35"/>
      <c r="FA263" s="35"/>
      <c r="FB263" s="35"/>
      <c r="FC263" s="35"/>
      <c r="FD263" s="35"/>
      <c r="FE263" s="35"/>
      <c r="FF263" s="35"/>
      <c r="FG263" s="35"/>
    </row>
    <row r="264" spans="1:163">
      <c r="A264" s="62">
        <v>375</v>
      </c>
      <c r="E264" s="63" t="s">
        <v>231</v>
      </c>
      <c r="F264" s="56" t="s">
        <v>80</v>
      </c>
      <c r="G264" s="70" t="s">
        <v>744</v>
      </c>
      <c r="H264" s="66" t="str">
        <f t="shared" si="119"/>
        <v xml:space="preserve"> 978</v>
      </c>
      <c r="I264" s="67" t="s">
        <v>744</v>
      </c>
      <c r="J264" s="68">
        <f t="shared" si="120"/>
        <v>0</v>
      </c>
      <c r="K264" s="63" t="s">
        <v>296</v>
      </c>
      <c r="L264" s="1" t="s">
        <v>46</v>
      </c>
      <c r="O264" s="88" t="s">
        <v>790</v>
      </c>
      <c r="P264" s="89">
        <v>0</v>
      </c>
      <c r="Q264" s="90">
        <f t="shared" si="115"/>
        <v>54000</v>
      </c>
      <c r="R264" s="71">
        <v>54000</v>
      </c>
      <c r="S264" s="72">
        <f t="shared" si="109"/>
        <v>7900</v>
      </c>
      <c r="T264" s="68" t="s">
        <v>791</v>
      </c>
      <c r="U264" s="73">
        <f t="shared" si="110"/>
        <v>46100</v>
      </c>
      <c r="V264" s="73">
        <f>2000+4850+600+200+250</f>
        <v>7900</v>
      </c>
      <c r="W264" s="2">
        <f t="shared" si="121"/>
        <v>54000</v>
      </c>
      <c r="Y264" s="81">
        <f t="shared" si="122"/>
        <v>54000</v>
      </c>
      <c r="Z264" s="96">
        <v>0</v>
      </c>
      <c r="AA264" s="97">
        <f>U264-Z264</f>
        <v>46100</v>
      </c>
      <c r="AB264" s="98" t="e">
        <f>AA264/Z264</f>
        <v>#DIV/0!</v>
      </c>
      <c r="AC264" s="2">
        <v>3000</v>
      </c>
      <c r="AD264" s="2">
        <f>Z264+AC264</f>
        <v>3000</v>
      </c>
      <c r="AF264" s="28">
        <f t="shared" si="118"/>
        <v>3000</v>
      </c>
      <c r="AG264" s="55" t="s">
        <v>125</v>
      </c>
      <c r="AI264" s="20" t="s">
        <v>204</v>
      </c>
      <c r="AJ264" s="2">
        <f t="shared" si="123"/>
        <v>-51000</v>
      </c>
      <c r="AN264" s="29">
        <f t="shared" si="124"/>
        <v>-17</v>
      </c>
      <c r="AO264" s="29" t="e">
        <f>AN264-AB264</f>
        <v>#DIV/0!</v>
      </c>
      <c r="AP264" s="3" t="s">
        <v>140</v>
      </c>
      <c r="AQ264" s="1" t="s">
        <v>200</v>
      </c>
      <c r="AR264" s="31">
        <f t="shared" si="125"/>
        <v>0</v>
      </c>
      <c r="AS264" s="31">
        <f t="shared" si="126"/>
        <v>-72060</v>
      </c>
      <c r="AT264" s="31">
        <f t="shared" si="117"/>
        <v>0</v>
      </c>
      <c r="AU264" s="31">
        <f t="shared" si="127"/>
        <v>-71520</v>
      </c>
      <c r="AV264" s="31">
        <f t="shared" si="128"/>
        <v>-68350</v>
      </c>
      <c r="AW264" s="31">
        <f t="shared" si="129"/>
        <v>-62855</v>
      </c>
      <c r="AX264" s="31">
        <f t="shared" si="130"/>
        <v>-63795</v>
      </c>
      <c r="AY264" s="31">
        <f t="shared" si="131"/>
        <v>-62695</v>
      </c>
      <c r="AZ264" s="31">
        <f t="shared" si="132"/>
        <v>-82000</v>
      </c>
      <c r="BA264" s="31">
        <f t="shared" si="133"/>
        <v>0</v>
      </c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41">
        <v>68850</v>
      </c>
      <c r="CK264" s="41">
        <v>2500</v>
      </c>
      <c r="CL264" s="37">
        <f>CJ264+CK264</f>
        <v>71350</v>
      </c>
      <c r="CM264" s="37">
        <f>CL264-Y264</f>
        <v>17350</v>
      </c>
      <c r="CN264" s="38">
        <f>CM264/CJ264</f>
        <v>0.25199709513435004</v>
      </c>
      <c r="CO264" s="37">
        <f>AF264-CL264</f>
        <v>-68350</v>
      </c>
      <c r="CP264" s="40" t="s">
        <v>29</v>
      </c>
      <c r="CQ264" s="39"/>
      <c r="CR264" s="39"/>
      <c r="CS264" s="39"/>
      <c r="CT264" s="39"/>
      <c r="CU264" s="39"/>
      <c r="CV264" s="36">
        <v>75060</v>
      </c>
      <c r="CW264" s="36">
        <f>CV264-Y264</f>
        <v>21060</v>
      </c>
      <c r="CX264" s="46">
        <f>CW264/CV264</f>
        <v>0.2805755395683453</v>
      </c>
      <c r="CY264" s="36">
        <f>AF264-CV264</f>
        <v>-72060</v>
      </c>
      <c r="CZ264" s="35" t="s">
        <v>29</v>
      </c>
      <c r="DA264" s="36"/>
      <c r="DB264" s="36"/>
      <c r="DC264" s="36"/>
      <c r="DD264" s="37">
        <v>74520</v>
      </c>
      <c r="DE264" s="37">
        <f>DD264-Y264</f>
        <v>20520</v>
      </c>
      <c r="DF264" s="38">
        <f>DE264/DD264</f>
        <v>0.27536231884057971</v>
      </c>
      <c r="DG264" s="37">
        <f>AF264-DD264</f>
        <v>-71520</v>
      </c>
      <c r="DH264" s="42" t="s">
        <v>29</v>
      </c>
      <c r="DI264" s="39"/>
      <c r="DJ264" s="39"/>
      <c r="DK264" s="39"/>
      <c r="DL264" s="33">
        <v>65855</v>
      </c>
      <c r="DM264" s="33">
        <f>DL264-Y264</f>
        <v>11855</v>
      </c>
      <c r="DN264" s="34">
        <f>DM264/DL264</f>
        <v>0.18001670336344999</v>
      </c>
      <c r="DO264" s="33">
        <f>AF264-DL264</f>
        <v>-62855</v>
      </c>
      <c r="DP264" s="43" t="s">
        <v>29</v>
      </c>
      <c r="DQ264" s="43"/>
      <c r="DR264" s="43"/>
      <c r="DS264" s="43"/>
      <c r="DT264" s="41">
        <v>64295</v>
      </c>
      <c r="DU264" s="37">
        <v>2500</v>
      </c>
      <c r="DV264" s="41">
        <f>DT264+DU264</f>
        <v>66795</v>
      </c>
      <c r="DW264" s="37">
        <f>DV264-Y264</f>
        <v>12795</v>
      </c>
      <c r="DX264" s="38">
        <f>DW264/DV264</f>
        <v>0.19155625421064451</v>
      </c>
      <c r="DY264" s="37">
        <f>AF264-DV264</f>
        <v>-63795</v>
      </c>
      <c r="DZ264" s="40" t="s">
        <v>29</v>
      </c>
      <c r="EA264" s="40"/>
      <c r="EB264" s="40"/>
      <c r="EC264" s="40"/>
      <c r="ED264" s="40"/>
      <c r="EE264" s="40"/>
      <c r="EF264" s="33">
        <v>63195</v>
      </c>
      <c r="EG264" s="33">
        <v>2500</v>
      </c>
      <c r="EH264" s="33">
        <f>EF264+EG264</f>
        <v>65695</v>
      </c>
      <c r="EI264" s="33">
        <f>EH264-Y264</f>
        <v>11695</v>
      </c>
      <c r="EJ264" s="44">
        <f>EI264/EH264</f>
        <v>0.17801963619757971</v>
      </c>
      <c r="EK264" s="45">
        <f>AF264-EH264</f>
        <v>-62695</v>
      </c>
      <c r="EL264" s="43" t="s">
        <v>29</v>
      </c>
      <c r="EM264" s="43"/>
      <c r="EN264" s="43"/>
      <c r="EO264" s="43"/>
      <c r="EP264" s="43"/>
      <c r="EQ264" s="43"/>
      <c r="ER264" s="41">
        <v>85000</v>
      </c>
      <c r="ES264" s="37">
        <f>ER264-Y264</f>
        <v>31000</v>
      </c>
      <c r="ET264" s="38">
        <f>ES264/ER264</f>
        <v>0.36470588235294116</v>
      </c>
      <c r="EU264" s="37">
        <f>AF264-ER264</f>
        <v>-82000</v>
      </c>
      <c r="EV264" s="40" t="s">
        <v>29</v>
      </c>
      <c r="EW264" s="40"/>
      <c r="EX264" s="40"/>
      <c r="EY264" s="40"/>
      <c r="EZ264" s="35"/>
      <c r="FA264" s="35"/>
      <c r="FB264" s="35"/>
      <c r="FC264" s="35"/>
      <c r="FD264" s="35"/>
      <c r="FE264" s="35"/>
      <c r="FF264" s="35"/>
      <c r="FG264" s="35"/>
    </row>
    <row r="265" spans="1:163">
      <c r="A265" s="60">
        <v>171</v>
      </c>
      <c r="E265" s="63" t="s">
        <v>215</v>
      </c>
      <c r="F265" s="56" t="s">
        <v>63</v>
      </c>
      <c r="G265" s="65" t="s">
        <v>550</v>
      </c>
      <c r="H265" s="66" t="str">
        <f t="shared" si="119"/>
        <v xml:space="preserve"> 798</v>
      </c>
      <c r="I265" s="67" t="s">
        <v>550</v>
      </c>
      <c r="J265" s="68">
        <f t="shared" si="120"/>
        <v>0</v>
      </c>
      <c r="K265" s="63" t="s">
        <v>308</v>
      </c>
      <c r="L265" s="1" t="s">
        <v>46</v>
      </c>
      <c r="O265" s="64" t="s">
        <v>789</v>
      </c>
      <c r="P265" s="82">
        <v>0</v>
      </c>
      <c r="Q265" s="74">
        <f t="shared" si="115"/>
        <v>62500</v>
      </c>
      <c r="R265" s="71">
        <v>62500</v>
      </c>
      <c r="S265" s="72">
        <f t="shared" si="109"/>
        <v>7900</v>
      </c>
      <c r="T265" s="68" t="s">
        <v>791</v>
      </c>
      <c r="U265" s="73">
        <f t="shared" si="110"/>
        <v>54600</v>
      </c>
      <c r="V265" s="75">
        <f>2000+4850+600+200+250</f>
        <v>7900</v>
      </c>
      <c r="W265" s="2">
        <f t="shared" si="121"/>
        <v>62500</v>
      </c>
      <c r="Y265" s="80">
        <f t="shared" si="122"/>
        <v>62500</v>
      </c>
      <c r="Z265" s="93"/>
      <c r="AA265" s="93"/>
      <c r="AB265" s="94"/>
      <c r="AE265" s="2">
        <v>95000</v>
      </c>
      <c r="AF265" s="28">
        <f t="shared" si="118"/>
        <v>95000</v>
      </c>
      <c r="AG265" s="55" t="s">
        <v>125</v>
      </c>
      <c r="AI265" s="20" t="s">
        <v>206</v>
      </c>
      <c r="AJ265" s="2">
        <f t="shared" si="123"/>
        <v>32500</v>
      </c>
      <c r="AN265" s="29">
        <f t="shared" si="124"/>
        <v>0.34210526315789475</v>
      </c>
      <c r="AP265" s="3" t="s">
        <v>29</v>
      </c>
      <c r="AQ265" s="1" t="s">
        <v>165</v>
      </c>
      <c r="AR265" s="31">
        <f t="shared" si="125"/>
        <v>0</v>
      </c>
      <c r="AS265" s="31">
        <f t="shared" si="126"/>
        <v>0</v>
      </c>
      <c r="AT265" s="31">
        <f t="shared" si="117"/>
        <v>0</v>
      </c>
      <c r="AU265" s="31">
        <f t="shared" si="127"/>
        <v>0</v>
      </c>
      <c r="AV265" s="31">
        <f t="shared" si="128"/>
        <v>0</v>
      </c>
      <c r="AW265" s="31">
        <f t="shared" si="129"/>
        <v>0</v>
      </c>
      <c r="AX265" s="31">
        <f t="shared" si="130"/>
        <v>0</v>
      </c>
      <c r="AY265" s="31">
        <f t="shared" si="131"/>
        <v>0</v>
      </c>
      <c r="AZ265" s="31">
        <f t="shared" si="132"/>
        <v>0</v>
      </c>
      <c r="BA265" s="31">
        <f t="shared" si="133"/>
        <v>0</v>
      </c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41"/>
      <c r="BM265" s="41"/>
      <c r="BN265" s="41"/>
      <c r="BO265" s="37"/>
      <c r="BP265" s="38"/>
      <c r="BQ265" s="37"/>
      <c r="BR265" s="40"/>
      <c r="BS265" s="39"/>
      <c r="BT265" s="39"/>
      <c r="BU265" s="39"/>
      <c r="BV265" s="39"/>
      <c r="BW265" s="39"/>
      <c r="BX265" s="36"/>
      <c r="BY265" s="33"/>
      <c r="BZ265" s="33"/>
      <c r="CA265" s="33"/>
      <c r="CB265" s="34"/>
      <c r="CC265" s="33"/>
      <c r="CD265" s="35"/>
      <c r="CE265" s="48"/>
      <c r="CF265" s="48"/>
      <c r="CG265" s="48"/>
      <c r="CH265" s="48"/>
      <c r="CI265" s="48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35"/>
      <c r="CW265" s="35"/>
      <c r="CX265" s="35"/>
      <c r="CY265" s="35"/>
      <c r="CZ265" s="35"/>
      <c r="DA265" s="35"/>
      <c r="DB265" s="35"/>
      <c r="DC265" s="35"/>
      <c r="DD265" s="40"/>
      <c r="DE265" s="40"/>
      <c r="DF265" s="40"/>
      <c r="DG265" s="40"/>
      <c r="DH265" s="40"/>
      <c r="DI265" s="40"/>
      <c r="DJ265" s="40"/>
      <c r="DK265" s="40"/>
      <c r="DL265" s="35"/>
      <c r="DM265" s="35"/>
      <c r="DN265" s="35"/>
      <c r="DO265" s="35"/>
      <c r="DP265" s="35"/>
      <c r="DQ265" s="35"/>
      <c r="DR265" s="35"/>
      <c r="DS265" s="35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40"/>
      <c r="ES265" s="40"/>
      <c r="ET265" s="40"/>
      <c r="EU265" s="40"/>
      <c r="EV265" s="40"/>
      <c r="EW265" s="40"/>
      <c r="EX265" s="40"/>
      <c r="EY265" s="40"/>
      <c r="EZ265" s="35"/>
      <c r="FA265" s="35"/>
      <c r="FB265" s="35"/>
      <c r="FC265" s="35"/>
      <c r="FD265" s="35"/>
      <c r="FE265" s="35"/>
      <c r="FF265" s="35"/>
      <c r="FG265" s="35"/>
    </row>
    <row r="266" spans="1:163">
      <c r="A266" s="60">
        <v>163</v>
      </c>
      <c r="E266" s="63" t="s">
        <v>213</v>
      </c>
      <c r="F266" s="56" t="s">
        <v>62</v>
      </c>
      <c r="G266" s="70" t="s">
        <v>542</v>
      </c>
      <c r="H266" s="66" t="str">
        <f t="shared" si="119"/>
        <v xml:space="preserve"> 582</v>
      </c>
      <c r="I266" s="67" t="s">
        <v>542</v>
      </c>
      <c r="J266" s="68">
        <f t="shared" si="120"/>
        <v>0</v>
      </c>
      <c r="K266" s="63" t="s">
        <v>304</v>
      </c>
      <c r="L266" s="1" t="s">
        <v>46</v>
      </c>
      <c r="O266" s="64" t="s">
        <v>789</v>
      </c>
      <c r="P266" s="82">
        <v>0</v>
      </c>
      <c r="Q266" s="74">
        <f t="shared" ref="Q266:Q294" si="134">U266+V266</f>
        <v>0</v>
      </c>
      <c r="R266" s="71"/>
      <c r="S266" s="72">
        <f t="shared" si="109"/>
        <v>0</v>
      </c>
      <c r="T266" s="68"/>
      <c r="U266" s="73">
        <f t="shared" si="110"/>
        <v>0</v>
      </c>
      <c r="V266" s="75"/>
      <c r="W266" s="2">
        <f t="shared" si="121"/>
        <v>0</v>
      </c>
      <c r="Y266" s="80">
        <f t="shared" si="122"/>
        <v>0</v>
      </c>
      <c r="Z266" s="93"/>
      <c r="AA266" s="93"/>
      <c r="AB266" s="94"/>
      <c r="AE266" s="2">
        <v>99000</v>
      </c>
      <c r="AF266" s="28">
        <f t="shared" si="118"/>
        <v>99000</v>
      </c>
      <c r="AG266" s="55" t="s">
        <v>125</v>
      </c>
      <c r="AI266" s="20" t="s">
        <v>45</v>
      </c>
      <c r="AJ266" s="2">
        <f t="shared" si="123"/>
        <v>99000</v>
      </c>
      <c r="AN266" s="29">
        <f t="shared" si="124"/>
        <v>1</v>
      </c>
      <c r="AP266" s="3" t="s">
        <v>29</v>
      </c>
      <c r="AQ266" s="1" t="s">
        <v>155</v>
      </c>
      <c r="AR266" s="31">
        <f t="shared" si="125"/>
        <v>0</v>
      </c>
      <c r="AS266" s="31">
        <f t="shared" si="126"/>
        <v>0</v>
      </c>
      <c r="AT266" s="31">
        <f t="shared" si="117"/>
        <v>0</v>
      </c>
      <c r="AU266" s="31">
        <f t="shared" si="127"/>
        <v>0</v>
      </c>
      <c r="AV266" s="31">
        <f t="shared" si="128"/>
        <v>0</v>
      </c>
      <c r="AW266" s="31">
        <f t="shared" si="129"/>
        <v>0</v>
      </c>
      <c r="AX266" s="31">
        <f t="shared" si="130"/>
        <v>0</v>
      </c>
      <c r="AY266" s="31">
        <f t="shared" si="131"/>
        <v>0</v>
      </c>
      <c r="AZ266" s="31">
        <f t="shared" si="132"/>
        <v>0</v>
      </c>
      <c r="BA266" s="31">
        <f t="shared" si="133"/>
        <v>0</v>
      </c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35"/>
      <c r="CW266" s="35"/>
      <c r="CX266" s="35"/>
      <c r="CY266" s="35"/>
      <c r="CZ266" s="35"/>
      <c r="DA266" s="35"/>
      <c r="DB266" s="35"/>
      <c r="DC266" s="35"/>
      <c r="DD266" s="40"/>
      <c r="DE266" s="40"/>
      <c r="DF266" s="40"/>
      <c r="DG266" s="40"/>
      <c r="DH266" s="40"/>
      <c r="DI266" s="40"/>
      <c r="DJ266" s="40"/>
      <c r="DK266" s="40"/>
      <c r="DL266" s="35"/>
      <c r="DM266" s="35"/>
      <c r="DN266" s="35"/>
      <c r="DO266" s="35"/>
      <c r="DP266" s="35"/>
      <c r="DQ266" s="35"/>
      <c r="DR266" s="35"/>
      <c r="DS266" s="35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40"/>
      <c r="ES266" s="40"/>
      <c r="ET266" s="40"/>
      <c r="EU266" s="40"/>
      <c r="EV266" s="40"/>
      <c r="EW266" s="40"/>
      <c r="EX266" s="40"/>
      <c r="EY266" s="40"/>
      <c r="EZ266" s="35"/>
      <c r="FA266" s="35"/>
      <c r="FB266" s="35"/>
      <c r="FC266" s="35"/>
      <c r="FD266" s="35"/>
      <c r="FE266" s="35"/>
      <c r="FF266" s="35"/>
      <c r="FG266" s="35"/>
    </row>
    <row r="267" spans="1:163">
      <c r="A267" s="62">
        <v>372</v>
      </c>
      <c r="E267" s="63" t="s">
        <v>231</v>
      </c>
      <c r="F267" s="56" t="s">
        <v>81</v>
      </c>
      <c r="G267" s="70" t="s">
        <v>741</v>
      </c>
      <c r="H267" s="66" t="str">
        <f t="shared" si="119"/>
        <v xml:space="preserve"> 866</v>
      </c>
      <c r="I267" s="67" t="s">
        <v>741</v>
      </c>
      <c r="J267" s="68">
        <f t="shared" si="120"/>
        <v>0</v>
      </c>
      <c r="K267" s="63" t="s">
        <v>271</v>
      </c>
      <c r="L267" s="1" t="s">
        <v>46</v>
      </c>
      <c r="O267" s="64" t="s">
        <v>789</v>
      </c>
      <c r="P267" s="82">
        <v>0</v>
      </c>
      <c r="Q267" s="74">
        <f t="shared" si="134"/>
        <v>53500</v>
      </c>
      <c r="R267" s="71">
        <v>53500</v>
      </c>
      <c r="S267" s="72">
        <f t="shared" si="109"/>
        <v>7900</v>
      </c>
      <c r="T267" s="68" t="s">
        <v>791</v>
      </c>
      <c r="U267" s="73">
        <f t="shared" si="110"/>
        <v>45600</v>
      </c>
      <c r="V267" s="73">
        <f>2000+4850+600+200+250</f>
        <v>7900</v>
      </c>
      <c r="W267" s="2">
        <f t="shared" si="121"/>
        <v>53500</v>
      </c>
      <c r="Y267" s="80">
        <f t="shared" si="122"/>
        <v>53500</v>
      </c>
      <c r="Z267" s="93"/>
      <c r="AA267" s="93"/>
      <c r="AB267" s="94"/>
      <c r="AC267" s="2">
        <v>3000</v>
      </c>
      <c r="AD267" s="2">
        <f>Z267+AC267</f>
        <v>3000</v>
      </c>
      <c r="AF267" s="28">
        <f t="shared" si="118"/>
        <v>0</v>
      </c>
      <c r="AG267" s="55" t="s">
        <v>125</v>
      </c>
      <c r="AI267" s="20" t="s">
        <v>45</v>
      </c>
      <c r="AJ267" s="2">
        <f t="shared" si="123"/>
        <v>-53500</v>
      </c>
      <c r="AN267" s="29" t="e">
        <f t="shared" si="124"/>
        <v>#DIV/0!</v>
      </c>
      <c r="AO267" s="29" t="e">
        <f>AN267-AB267</f>
        <v>#DIV/0!</v>
      </c>
      <c r="AP267" s="3" t="s">
        <v>140</v>
      </c>
      <c r="AQ267" s="1" t="s">
        <v>126</v>
      </c>
      <c r="AR267" s="31">
        <f t="shared" si="125"/>
        <v>0</v>
      </c>
      <c r="AS267" s="31">
        <f t="shared" si="126"/>
        <v>0</v>
      </c>
      <c r="AT267" s="31">
        <f>IF(BX267&lt;&gt;"", AF267-BX267, 0)</f>
        <v>0</v>
      </c>
      <c r="AU267" s="31">
        <f t="shared" si="127"/>
        <v>0</v>
      </c>
      <c r="AV267" s="31">
        <f t="shared" si="128"/>
        <v>0</v>
      </c>
      <c r="AW267" s="31">
        <f t="shared" si="129"/>
        <v>0</v>
      </c>
      <c r="AX267" s="31">
        <f t="shared" si="130"/>
        <v>0</v>
      </c>
      <c r="AY267" s="31">
        <f t="shared" si="131"/>
        <v>0</v>
      </c>
      <c r="AZ267" s="31">
        <f t="shared" si="132"/>
        <v>0</v>
      </c>
      <c r="BA267" s="31">
        <f t="shared" si="133"/>
        <v>0</v>
      </c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35"/>
      <c r="CW267" s="35"/>
      <c r="CX267" s="35"/>
      <c r="CY267" s="35"/>
      <c r="CZ267" s="35"/>
      <c r="DA267" s="35"/>
      <c r="DB267" s="35"/>
      <c r="DC267" s="35"/>
      <c r="DD267" s="40"/>
      <c r="DE267" s="40"/>
      <c r="DF267" s="40"/>
      <c r="DG267" s="40"/>
      <c r="DH267" s="40"/>
      <c r="DI267" s="40"/>
      <c r="DJ267" s="40"/>
      <c r="DK267" s="40"/>
      <c r="DL267" s="35"/>
      <c r="DM267" s="35"/>
      <c r="DN267" s="35"/>
      <c r="DO267" s="35"/>
      <c r="DP267" s="35"/>
      <c r="DQ267" s="35"/>
      <c r="DR267" s="35"/>
      <c r="DS267" s="35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40"/>
      <c r="ES267" s="40"/>
      <c r="ET267" s="40"/>
      <c r="EU267" s="40"/>
      <c r="EV267" s="40"/>
      <c r="EW267" s="40"/>
      <c r="EX267" s="40"/>
      <c r="EY267" s="40"/>
      <c r="EZ267" s="35"/>
      <c r="FA267" s="35"/>
      <c r="FB267" s="35"/>
      <c r="FC267" s="35"/>
      <c r="FD267" s="35"/>
      <c r="FE267" s="35"/>
      <c r="FF267" s="35"/>
      <c r="FG267" s="35"/>
    </row>
    <row r="268" spans="1:163">
      <c r="A268" s="62">
        <v>371</v>
      </c>
      <c r="E268" s="63" t="s">
        <v>231</v>
      </c>
      <c r="F268" s="56" t="s">
        <v>81</v>
      </c>
      <c r="G268" s="70" t="s">
        <v>740</v>
      </c>
      <c r="H268" s="66" t="str">
        <f t="shared" si="119"/>
        <v xml:space="preserve"> 719</v>
      </c>
      <c r="I268" s="67" t="s">
        <v>740</v>
      </c>
      <c r="J268" s="68">
        <f t="shared" si="120"/>
        <v>0</v>
      </c>
      <c r="K268" s="63" t="s">
        <v>271</v>
      </c>
      <c r="L268" s="1" t="s">
        <v>46</v>
      </c>
      <c r="O268" s="88" t="s">
        <v>790</v>
      </c>
      <c r="P268" s="89">
        <v>0</v>
      </c>
      <c r="Q268" s="90">
        <f t="shared" si="134"/>
        <v>53500</v>
      </c>
      <c r="R268" s="71">
        <v>53500</v>
      </c>
      <c r="S268" s="72">
        <f t="shared" si="109"/>
        <v>7900</v>
      </c>
      <c r="T268" s="68" t="s">
        <v>791</v>
      </c>
      <c r="U268" s="73">
        <f t="shared" si="110"/>
        <v>45600</v>
      </c>
      <c r="V268" s="73">
        <f>2000+4850+600+200+250</f>
        <v>7900</v>
      </c>
      <c r="W268" s="2">
        <f t="shared" si="121"/>
        <v>53500</v>
      </c>
      <c r="Y268" s="81">
        <f t="shared" si="122"/>
        <v>53500</v>
      </c>
      <c r="Z268" s="96">
        <v>0</v>
      </c>
      <c r="AA268" s="97">
        <f>U268-Z268</f>
        <v>45600</v>
      </c>
      <c r="AB268" s="98" t="e">
        <f>AA268/Z268</f>
        <v>#DIV/0!</v>
      </c>
      <c r="AE268" s="2">
        <v>108000</v>
      </c>
      <c r="AF268" s="28">
        <f t="shared" si="118"/>
        <v>0</v>
      </c>
      <c r="AG268" s="55" t="s">
        <v>125</v>
      </c>
      <c r="AI268" s="20" t="s">
        <v>45</v>
      </c>
      <c r="AJ268" s="2">
        <f t="shared" si="123"/>
        <v>-53500</v>
      </c>
      <c r="AN268" s="29" t="e">
        <f t="shared" si="124"/>
        <v>#DIV/0!</v>
      </c>
      <c r="AP268" s="3" t="s">
        <v>140</v>
      </c>
      <c r="AQ268" s="1" t="s">
        <v>126</v>
      </c>
      <c r="AR268" s="31">
        <f t="shared" si="125"/>
        <v>0</v>
      </c>
      <c r="AS268" s="31">
        <f t="shared" si="126"/>
        <v>0</v>
      </c>
      <c r="AT268" s="31">
        <f>IF(BX268&lt;&gt;"", AF268-BX268, 0)</f>
        <v>0</v>
      </c>
      <c r="AU268" s="31">
        <f t="shared" si="127"/>
        <v>0</v>
      </c>
      <c r="AV268" s="31">
        <f t="shared" si="128"/>
        <v>0</v>
      </c>
      <c r="AW268" s="31">
        <f t="shared" si="129"/>
        <v>0</v>
      </c>
      <c r="AX268" s="31">
        <f t="shared" si="130"/>
        <v>0</v>
      </c>
      <c r="AY268" s="31">
        <f t="shared" si="131"/>
        <v>0</v>
      </c>
      <c r="AZ268" s="31">
        <f t="shared" si="132"/>
        <v>0</v>
      </c>
      <c r="BA268" s="31">
        <f t="shared" si="133"/>
        <v>0</v>
      </c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35"/>
      <c r="CW268" s="35"/>
      <c r="CX268" s="35"/>
      <c r="CY268" s="35"/>
      <c r="CZ268" s="35"/>
      <c r="DA268" s="35"/>
      <c r="DB268" s="35"/>
      <c r="DC268" s="35"/>
      <c r="DD268" s="40"/>
      <c r="DE268" s="40"/>
      <c r="DF268" s="40"/>
      <c r="DG268" s="40"/>
      <c r="DH268" s="40"/>
      <c r="DI268" s="40"/>
      <c r="DJ268" s="40"/>
      <c r="DK268" s="40"/>
      <c r="DL268" s="35"/>
      <c r="DM268" s="35"/>
      <c r="DN268" s="35"/>
      <c r="DO268" s="35"/>
      <c r="DP268" s="35"/>
      <c r="DQ268" s="35"/>
      <c r="DR268" s="35"/>
      <c r="DS268" s="35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40"/>
      <c r="ES268" s="40"/>
      <c r="ET268" s="40"/>
      <c r="EU268" s="40"/>
      <c r="EV268" s="40"/>
      <c r="EW268" s="40"/>
      <c r="EX268" s="40"/>
      <c r="EY268" s="40"/>
      <c r="EZ268" s="35"/>
      <c r="FA268" s="35"/>
      <c r="FB268" s="35"/>
      <c r="FC268" s="35"/>
      <c r="FD268" s="35"/>
      <c r="FE268" s="35"/>
      <c r="FF268" s="35"/>
      <c r="FG268" s="35"/>
    </row>
    <row r="269" spans="1:163">
      <c r="A269" s="62">
        <v>74</v>
      </c>
      <c r="E269" s="63" t="s">
        <v>56</v>
      </c>
      <c r="F269" s="56" t="s">
        <v>56</v>
      </c>
      <c r="G269" s="70" t="s">
        <v>455</v>
      </c>
      <c r="H269" s="66" t="str">
        <f t="shared" si="119"/>
        <v xml:space="preserve"> 766</v>
      </c>
      <c r="I269" s="67" t="s">
        <v>455</v>
      </c>
      <c r="J269" s="68">
        <f t="shared" si="120"/>
        <v>0</v>
      </c>
      <c r="K269" s="63" t="s">
        <v>271</v>
      </c>
      <c r="L269" s="1" t="s">
        <v>46</v>
      </c>
      <c r="O269" s="88" t="s">
        <v>790</v>
      </c>
      <c r="P269" s="89">
        <v>0</v>
      </c>
      <c r="Q269" s="90">
        <f t="shared" si="134"/>
        <v>53500</v>
      </c>
      <c r="R269" s="77">
        <v>53500</v>
      </c>
      <c r="S269" s="72">
        <f t="shared" si="109"/>
        <v>7900</v>
      </c>
      <c r="T269" s="68"/>
      <c r="U269" s="73">
        <f t="shared" si="110"/>
        <v>45600</v>
      </c>
      <c r="V269" s="73">
        <v>7900</v>
      </c>
      <c r="W269" s="2">
        <f t="shared" si="121"/>
        <v>53500</v>
      </c>
      <c r="Y269" s="81">
        <f t="shared" si="122"/>
        <v>53500</v>
      </c>
      <c r="Z269" s="96">
        <v>0</v>
      </c>
      <c r="AA269" s="97">
        <f>U269-Z269</f>
        <v>45600</v>
      </c>
      <c r="AB269" s="98" t="e">
        <f>AA269/Z269</f>
        <v>#DIV/0!</v>
      </c>
      <c r="AE269" s="2">
        <v>104000</v>
      </c>
      <c r="AF269" s="28">
        <f t="shared" si="118"/>
        <v>0</v>
      </c>
      <c r="AG269" s="55" t="s">
        <v>125</v>
      </c>
      <c r="AI269" s="20" t="s">
        <v>204</v>
      </c>
      <c r="AJ269" s="2">
        <f t="shared" si="123"/>
        <v>-53500</v>
      </c>
      <c r="AN269" s="29" t="e">
        <f t="shared" si="124"/>
        <v>#DIV/0!</v>
      </c>
      <c r="AP269" s="3" t="s">
        <v>29</v>
      </c>
      <c r="AQ269" s="1" t="s">
        <v>145</v>
      </c>
      <c r="AR269" s="31">
        <f t="shared" si="125"/>
        <v>0</v>
      </c>
      <c r="AS269" s="31">
        <f t="shared" si="126"/>
        <v>0</v>
      </c>
      <c r="AT269" s="31">
        <f t="shared" ref="AT269:AT279" si="135">IF(BZ269&lt;&gt;"", AF269-BZ269, 0)</f>
        <v>0</v>
      </c>
      <c r="AU269" s="31">
        <f t="shared" si="127"/>
        <v>0</v>
      </c>
      <c r="AV269" s="31">
        <f t="shared" si="128"/>
        <v>0</v>
      </c>
      <c r="AW269" s="31">
        <f t="shared" si="129"/>
        <v>0</v>
      </c>
      <c r="AX269" s="31">
        <f t="shared" si="130"/>
        <v>0</v>
      </c>
      <c r="AY269" s="31">
        <f t="shared" si="131"/>
        <v>0</v>
      </c>
      <c r="AZ269" s="31">
        <f t="shared" si="132"/>
        <v>0</v>
      </c>
      <c r="BA269" s="31">
        <f t="shared" si="133"/>
        <v>0</v>
      </c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41"/>
      <c r="BM269" s="41"/>
      <c r="BN269" s="41"/>
      <c r="BO269" s="37"/>
      <c r="BP269" s="38"/>
      <c r="BQ269" s="37"/>
      <c r="BR269" s="40"/>
      <c r="BS269" s="39"/>
      <c r="BT269" s="39"/>
      <c r="BU269" s="39"/>
      <c r="BV269" s="39"/>
      <c r="BW269" s="39"/>
      <c r="BX269" s="36"/>
      <c r="BY269" s="33"/>
      <c r="BZ269" s="33"/>
      <c r="CA269" s="33"/>
      <c r="CB269" s="34"/>
      <c r="CC269" s="33"/>
      <c r="CD269" s="35"/>
      <c r="CE269" s="48"/>
      <c r="CF269" s="48"/>
      <c r="CG269" s="48"/>
      <c r="CH269" s="48"/>
      <c r="CI269" s="48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35"/>
      <c r="CW269" s="35"/>
      <c r="CX269" s="35"/>
      <c r="CY269" s="35"/>
      <c r="CZ269" s="35"/>
      <c r="DA269" s="35"/>
      <c r="DB269" s="35"/>
      <c r="DC269" s="35"/>
      <c r="DD269" s="40"/>
      <c r="DE269" s="40"/>
      <c r="DF269" s="40"/>
      <c r="DG269" s="40"/>
      <c r="DH269" s="40"/>
      <c r="DI269" s="40"/>
      <c r="DJ269" s="40"/>
      <c r="DK269" s="40"/>
      <c r="DL269" s="35"/>
      <c r="DM269" s="35"/>
      <c r="DN269" s="35"/>
      <c r="DO269" s="35"/>
      <c r="DP269" s="35"/>
      <c r="DQ269" s="35"/>
      <c r="DR269" s="35"/>
      <c r="DS269" s="35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40"/>
      <c r="ES269" s="40"/>
      <c r="ET269" s="40"/>
      <c r="EU269" s="40"/>
      <c r="EV269" s="40"/>
      <c r="EW269" s="40"/>
      <c r="EX269" s="40"/>
      <c r="EY269" s="40"/>
      <c r="EZ269" s="35"/>
      <c r="FA269" s="35"/>
      <c r="FB269" s="35"/>
      <c r="FC269" s="35"/>
      <c r="FD269" s="35"/>
      <c r="FE269" s="35"/>
      <c r="FF269" s="35"/>
      <c r="FG269" s="35"/>
    </row>
    <row r="270" spans="1:163">
      <c r="A270" s="62">
        <v>373</v>
      </c>
      <c r="E270" s="63" t="s">
        <v>231</v>
      </c>
      <c r="F270" s="56" t="s">
        <v>80</v>
      </c>
      <c r="G270" s="70" t="s">
        <v>742</v>
      </c>
      <c r="H270" s="66" t="str">
        <f t="shared" si="119"/>
        <v xml:space="preserve"> 992</v>
      </c>
      <c r="I270" s="67" t="s">
        <v>742</v>
      </c>
      <c r="J270" s="68">
        <f t="shared" si="120"/>
        <v>0</v>
      </c>
      <c r="K270" s="63" t="s">
        <v>271</v>
      </c>
      <c r="L270" s="1" t="s">
        <v>46</v>
      </c>
      <c r="O270" s="88" t="s">
        <v>790</v>
      </c>
      <c r="P270" s="89">
        <v>0</v>
      </c>
      <c r="Q270" s="90">
        <f t="shared" si="134"/>
        <v>54500</v>
      </c>
      <c r="R270" s="71">
        <v>54500</v>
      </c>
      <c r="S270" s="72">
        <f t="shared" si="109"/>
        <v>7900</v>
      </c>
      <c r="T270" s="68" t="s">
        <v>791</v>
      </c>
      <c r="U270" s="73">
        <f t="shared" si="110"/>
        <v>46600</v>
      </c>
      <c r="V270" s="73">
        <f>2000+4850+600+200+250</f>
        <v>7900</v>
      </c>
      <c r="W270" s="2">
        <f t="shared" si="121"/>
        <v>54500</v>
      </c>
      <c r="Y270" s="81">
        <f t="shared" si="122"/>
        <v>54500</v>
      </c>
      <c r="Z270" s="96">
        <v>0</v>
      </c>
      <c r="AA270" s="97">
        <f>U270-Z270</f>
        <v>46600</v>
      </c>
      <c r="AB270" s="98" t="e">
        <f>AA270/Z270</f>
        <v>#DIV/0!</v>
      </c>
      <c r="AC270" s="2">
        <v>3000</v>
      </c>
      <c r="AD270" s="2">
        <f>Z270+AC270</f>
        <v>3000</v>
      </c>
      <c r="AF270" s="28">
        <f t="shared" si="118"/>
        <v>3000</v>
      </c>
      <c r="AG270" s="55" t="s">
        <v>125</v>
      </c>
      <c r="AI270" s="20" t="s">
        <v>204</v>
      </c>
      <c r="AJ270" s="2">
        <f t="shared" si="123"/>
        <v>-51500</v>
      </c>
      <c r="AN270" s="29">
        <f t="shared" si="124"/>
        <v>-17.166666666666668</v>
      </c>
      <c r="AO270" s="29" t="e">
        <f>AN270-AB270</f>
        <v>#DIV/0!</v>
      </c>
      <c r="AP270" s="3" t="s">
        <v>140</v>
      </c>
      <c r="AQ270" s="1" t="s">
        <v>200</v>
      </c>
      <c r="AR270" s="31">
        <f t="shared" si="125"/>
        <v>0</v>
      </c>
      <c r="AS270" s="31">
        <f t="shared" si="126"/>
        <v>-72060</v>
      </c>
      <c r="AT270" s="31">
        <f t="shared" si="135"/>
        <v>0</v>
      </c>
      <c r="AU270" s="31">
        <f t="shared" si="127"/>
        <v>-71520</v>
      </c>
      <c r="AV270" s="31">
        <f t="shared" si="128"/>
        <v>-68350</v>
      </c>
      <c r="AW270" s="31">
        <f t="shared" si="129"/>
        <v>-62855</v>
      </c>
      <c r="AX270" s="31">
        <f t="shared" si="130"/>
        <v>-63795</v>
      </c>
      <c r="AY270" s="31">
        <f t="shared" si="131"/>
        <v>-62695</v>
      </c>
      <c r="AZ270" s="31">
        <f t="shared" si="132"/>
        <v>-82000</v>
      </c>
      <c r="BA270" s="31">
        <f t="shared" si="133"/>
        <v>0</v>
      </c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41">
        <v>68850</v>
      </c>
      <c r="CK270" s="41">
        <v>2500</v>
      </c>
      <c r="CL270" s="37">
        <f>CJ270+CK270</f>
        <v>71350</v>
      </c>
      <c r="CM270" s="37">
        <f>CL270-Y270</f>
        <v>16850</v>
      </c>
      <c r="CN270" s="38">
        <f>CM270/CJ270</f>
        <v>0.24473493100944083</v>
      </c>
      <c r="CO270" s="37">
        <f>AF270-CL270</f>
        <v>-68350</v>
      </c>
      <c r="CP270" s="40" t="s">
        <v>29</v>
      </c>
      <c r="CQ270" s="39"/>
      <c r="CR270" s="39"/>
      <c r="CS270" s="39"/>
      <c r="CT270" s="39"/>
      <c r="CU270" s="39"/>
      <c r="CV270" s="36">
        <v>75060</v>
      </c>
      <c r="CW270" s="36">
        <f>CV270-Y270</f>
        <v>20560</v>
      </c>
      <c r="CX270" s="46">
        <f>CW270/CV270</f>
        <v>0.27391420197175592</v>
      </c>
      <c r="CY270" s="36">
        <f>AF270-CV270</f>
        <v>-72060</v>
      </c>
      <c r="CZ270" s="35" t="s">
        <v>29</v>
      </c>
      <c r="DA270" s="36"/>
      <c r="DB270" s="36"/>
      <c r="DC270" s="36"/>
      <c r="DD270" s="37">
        <v>74520</v>
      </c>
      <c r="DE270" s="37">
        <f>DD270-Y270</f>
        <v>20020</v>
      </c>
      <c r="DF270" s="38">
        <f>DE270/DD270</f>
        <v>0.26865271068169622</v>
      </c>
      <c r="DG270" s="37">
        <f>AF270-DD270</f>
        <v>-71520</v>
      </c>
      <c r="DH270" s="42" t="s">
        <v>29</v>
      </c>
      <c r="DI270" s="39"/>
      <c r="DJ270" s="39"/>
      <c r="DK270" s="39"/>
      <c r="DL270" s="33">
        <v>65855</v>
      </c>
      <c r="DM270" s="33">
        <f>DL270-Y270</f>
        <v>11355</v>
      </c>
      <c r="DN270" s="34">
        <f>DM270/DL270</f>
        <v>0.17242426543163009</v>
      </c>
      <c r="DO270" s="33">
        <f>AF270-DL270</f>
        <v>-62855</v>
      </c>
      <c r="DP270" s="43" t="s">
        <v>29</v>
      </c>
      <c r="DQ270" s="43"/>
      <c r="DR270" s="43"/>
      <c r="DS270" s="43"/>
      <c r="DT270" s="41">
        <v>64295</v>
      </c>
      <c r="DU270" s="37">
        <v>2500</v>
      </c>
      <c r="DV270" s="41">
        <f>DT270+DU270</f>
        <v>66795</v>
      </c>
      <c r="DW270" s="37">
        <f>DV270-Y270</f>
        <v>12295</v>
      </c>
      <c r="DX270" s="38">
        <f>DW270/DV270</f>
        <v>0.18407066397185418</v>
      </c>
      <c r="DY270" s="37">
        <f>AF270-DV270</f>
        <v>-63795</v>
      </c>
      <c r="DZ270" s="40" t="s">
        <v>29</v>
      </c>
      <c r="EA270" s="40"/>
      <c r="EB270" s="40"/>
      <c r="EC270" s="40"/>
      <c r="ED270" s="40"/>
      <c r="EE270" s="40"/>
      <c r="EF270" s="33">
        <v>63195</v>
      </c>
      <c r="EG270" s="33">
        <v>2500</v>
      </c>
      <c r="EH270" s="33">
        <f>EF270+EG270</f>
        <v>65695</v>
      </c>
      <c r="EI270" s="33">
        <f>EH270-Y270</f>
        <v>11195</v>
      </c>
      <c r="EJ270" s="44">
        <f>EI270/EH270</f>
        <v>0.17040870690311288</v>
      </c>
      <c r="EK270" s="45">
        <f>AF270-EH270</f>
        <v>-62695</v>
      </c>
      <c r="EL270" s="43" t="s">
        <v>29</v>
      </c>
      <c r="EM270" s="43"/>
      <c r="EN270" s="43"/>
      <c r="EO270" s="43"/>
      <c r="EP270" s="43"/>
      <c r="EQ270" s="43"/>
      <c r="ER270" s="41">
        <v>85000</v>
      </c>
      <c r="ES270" s="37">
        <f>ER270-Y270</f>
        <v>30500</v>
      </c>
      <c r="ET270" s="38">
        <f>ES270/ER270</f>
        <v>0.35882352941176471</v>
      </c>
      <c r="EU270" s="37">
        <f>AF270-ER270</f>
        <v>-82000</v>
      </c>
      <c r="EV270" s="40" t="s">
        <v>29</v>
      </c>
      <c r="EW270" s="40"/>
      <c r="EX270" s="40"/>
      <c r="EY270" s="40"/>
      <c r="EZ270" s="35"/>
      <c r="FA270" s="35"/>
      <c r="FB270" s="35"/>
      <c r="FC270" s="35"/>
      <c r="FD270" s="35"/>
      <c r="FE270" s="35"/>
      <c r="FF270" s="35"/>
      <c r="FG270" s="35"/>
    </row>
    <row r="271" spans="1:163">
      <c r="A271" s="62">
        <v>22</v>
      </c>
      <c r="E271" s="63" t="s">
        <v>211</v>
      </c>
      <c r="F271" s="56" t="s">
        <v>114</v>
      </c>
      <c r="G271" s="65" t="s">
        <v>404</v>
      </c>
      <c r="H271" s="66" t="str">
        <f t="shared" si="119"/>
        <v xml:space="preserve"> 421</v>
      </c>
      <c r="I271" s="67" t="s">
        <v>404</v>
      </c>
      <c r="J271" s="68">
        <f t="shared" si="120"/>
        <v>0</v>
      </c>
      <c r="K271" s="63" t="s">
        <v>254</v>
      </c>
      <c r="L271" s="1" t="s">
        <v>46</v>
      </c>
      <c r="O271" s="64" t="s">
        <v>789</v>
      </c>
      <c r="P271" s="82">
        <v>0</v>
      </c>
      <c r="Q271" s="74">
        <f t="shared" si="134"/>
        <v>154000</v>
      </c>
      <c r="R271" s="77">
        <v>154000</v>
      </c>
      <c r="S271" s="72">
        <f t="shared" si="109"/>
        <v>8150</v>
      </c>
      <c r="T271" s="68" t="s">
        <v>791</v>
      </c>
      <c r="U271" s="73">
        <f t="shared" si="110"/>
        <v>145850</v>
      </c>
      <c r="V271" s="73">
        <f>2000+5100+600+200+250</f>
        <v>8150</v>
      </c>
      <c r="W271" s="2">
        <f t="shared" si="121"/>
        <v>154000</v>
      </c>
      <c r="Y271" s="80">
        <f t="shared" si="122"/>
        <v>154000</v>
      </c>
      <c r="Z271" s="93"/>
      <c r="AA271" s="93"/>
      <c r="AB271" s="94"/>
      <c r="AC271" s="2">
        <v>3000</v>
      </c>
      <c r="AD271" s="2">
        <f>Z271+AC271</f>
        <v>3000</v>
      </c>
      <c r="AF271" s="28">
        <f t="shared" si="118"/>
        <v>0</v>
      </c>
      <c r="AG271" s="55" t="s">
        <v>125</v>
      </c>
      <c r="AI271" s="20" t="s">
        <v>206</v>
      </c>
      <c r="AJ271" s="2">
        <f t="shared" si="123"/>
        <v>-154000</v>
      </c>
      <c r="AN271" s="29" t="e">
        <f t="shared" si="124"/>
        <v>#DIV/0!</v>
      </c>
      <c r="AO271" s="29" t="e">
        <f>AN271-AB271</f>
        <v>#DIV/0!</v>
      </c>
      <c r="AP271" s="3" t="s">
        <v>29</v>
      </c>
      <c r="AQ271" s="1" t="s">
        <v>154</v>
      </c>
      <c r="AR271" s="31">
        <f t="shared" si="125"/>
        <v>0</v>
      </c>
      <c r="AS271" s="31">
        <f t="shared" si="126"/>
        <v>0</v>
      </c>
      <c r="AT271" s="31">
        <f t="shared" si="135"/>
        <v>0</v>
      </c>
      <c r="AU271" s="31">
        <f t="shared" si="127"/>
        <v>0</v>
      </c>
      <c r="AV271" s="31">
        <f t="shared" si="128"/>
        <v>0</v>
      </c>
      <c r="AW271" s="31">
        <f t="shared" si="129"/>
        <v>0</v>
      </c>
      <c r="AX271" s="31">
        <f t="shared" si="130"/>
        <v>0</v>
      </c>
      <c r="AY271" s="31">
        <f t="shared" si="131"/>
        <v>0</v>
      </c>
      <c r="AZ271" s="31">
        <f t="shared" si="132"/>
        <v>0</v>
      </c>
      <c r="BA271" s="31">
        <f t="shared" si="133"/>
        <v>0</v>
      </c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41"/>
      <c r="BM271" s="41"/>
      <c r="BN271" s="41"/>
      <c r="BO271" s="37"/>
      <c r="BP271" s="38"/>
      <c r="BQ271" s="37"/>
      <c r="BR271" s="40"/>
      <c r="BS271" s="39"/>
      <c r="BT271" s="39"/>
      <c r="BU271" s="39"/>
      <c r="BV271" s="39"/>
      <c r="BW271" s="39"/>
      <c r="BX271" s="36"/>
      <c r="BY271" s="33"/>
      <c r="BZ271" s="33"/>
      <c r="CA271" s="33"/>
      <c r="CB271" s="34"/>
      <c r="CC271" s="33"/>
      <c r="CD271" s="35"/>
      <c r="CE271" s="48"/>
      <c r="CF271" s="48"/>
      <c r="CG271" s="48"/>
      <c r="CH271" s="48"/>
      <c r="CI271" s="48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35"/>
      <c r="CW271" s="35"/>
      <c r="CX271" s="35"/>
      <c r="CY271" s="35"/>
      <c r="CZ271" s="35"/>
      <c r="DA271" s="35"/>
      <c r="DB271" s="35"/>
      <c r="DC271" s="35"/>
      <c r="DD271" s="40"/>
      <c r="DE271" s="40"/>
      <c r="DF271" s="40"/>
      <c r="DG271" s="40"/>
      <c r="DH271" s="40"/>
      <c r="DI271" s="40"/>
      <c r="DJ271" s="40"/>
      <c r="DK271" s="40"/>
      <c r="DL271" s="35"/>
      <c r="DM271" s="35"/>
      <c r="DN271" s="35"/>
      <c r="DO271" s="35"/>
      <c r="DP271" s="35"/>
      <c r="DQ271" s="35"/>
      <c r="DR271" s="35"/>
      <c r="DS271" s="35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40"/>
      <c r="ES271" s="40"/>
      <c r="ET271" s="40"/>
      <c r="EU271" s="40"/>
      <c r="EV271" s="40"/>
      <c r="EW271" s="40"/>
      <c r="EX271" s="40"/>
      <c r="EY271" s="40"/>
      <c r="EZ271" s="35"/>
      <c r="FA271" s="35"/>
      <c r="FB271" s="35"/>
      <c r="FC271" s="35"/>
      <c r="FD271" s="35"/>
      <c r="FE271" s="35"/>
      <c r="FF271" s="35"/>
      <c r="FG271" s="35"/>
    </row>
    <row r="272" spans="1:163">
      <c r="A272" s="62">
        <v>24</v>
      </c>
      <c r="E272" s="64"/>
      <c r="F272" s="56" t="s">
        <v>114</v>
      </c>
      <c r="G272" s="65" t="s">
        <v>406</v>
      </c>
      <c r="H272" s="66" t="str">
        <f t="shared" si="119"/>
        <v xml:space="preserve"> 148</v>
      </c>
      <c r="I272" s="67" t="s">
        <v>406</v>
      </c>
      <c r="J272" s="68">
        <f t="shared" si="120"/>
        <v>0</v>
      </c>
      <c r="K272" s="63" t="s">
        <v>254</v>
      </c>
      <c r="L272" s="1" t="s">
        <v>46</v>
      </c>
      <c r="O272" s="64" t="s">
        <v>789</v>
      </c>
      <c r="P272" s="82">
        <v>0</v>
      </c>
      <c r="Q272" s="74">
        <f t="shared" si="134"/>
        <v>138000</v>
      </c>
      <c r="R272" s="71">
        <v>138000</v>
      </c>
      <c r="S272" s="72">
        <f t="shared" si="109"/>
        <v>7900</v>
      </c>
      <c r="T272" s="68" t="s">
        <v>791</v>
      </c>
      <c r="U272" s="73">
        <f t="shared" si="110"/>
        <v>130100</v>
      </c>
      <c r="V272" s="73">
        <f>2000+4850+600+200+250</f>
        <v>7900</v>
      </c>
      <c r="W272" s="2">
        <f t="shared" si="121"/>
        <v>138000</v>
      </c>
      <c r="Y272" s="80">
        <f t="shared" si="122"/>
        <v>138000</v>
      </c>
      <c r="Z272" s="93"/>
      <c r="AA272" s="93"/>
      <c r="AB272" s="94"/>
      <c r="AC272" s="2">
        <v>3000</v>
      </c>
      <c r="AD272" s="2">
        <f>Z272+AC272</f>
        <v>3000</v>
      </c>
      <c r="AF272" s="28">
        <f t="shared" si="118"/>
        <v>0</v>
      </c>
      <c r="AG272" s="55" t="s">
        <v>125</v>
      </c>
      <c r="AI272" s="20" t="s">
        <v>206</v>
      </c>
      <c r="AJ272" s="2">
        <f t="shared" si="123"/>
        <v>-138000</v>
      </c>
      <c r="AN272" s="29" t="e">
        <f t="shared" si="124"/>
        <v>#DIV/0!</v>
      </c>
      <c r="AO272" s="29" t="e">
        <f>AN272-AB272</f>
        <v>#DIV/0!</v>
      </c>
      <c r="AP272" s="3" t="s">
        <v>29</v>
      </c>
      <c r="AQ272" s="1" t="s">
        <v>154</v>
      </c>
      <c r="AR272" s="31">
        <f t="shared" si="125"/>
        <v>0</v>
      </c>
      <c r="AS272" s="31">
        <f t="shared" si="126"/>
        <v>0</v>
      </c>
      <c r="AT272" s="31">
        <f t="shared" si="135"/>
        <v>0</v>
      </c>
      <c r="AU272" s="31">
        <f t="shared" si="127"/>
        <v>0</v>
      </c>
      <c r="AV272" s="31">
        <f t="shared" si="128"/>
        <v>0</v>
      </c>
      <c r="AW272" s="31">
        <f t="shared" si="129"/>
        <v>0</v>
      </c>
      <c r="AX272" s="31">
        <f t="shared" si="130"/>
        <v>0</v>
      </c>
      <c r="AY272" s="31">
        <f t="shared" si="131"/>
        <v>0</v>
      </c>
      <c r="AZ272" s="31">
        <f t="shared" si="132"/>
        <v>0</v>
      </c>
      <c r="BA272" s="31">
        <f t="shared" si="133"/>
        <v>0</v>
      </c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41"/>
      <c r="BM272" s="41"/>
      <c r="BN272" s="41"/>
      <c r="BO272" s="37"/>
      <c r="BP272" s="38"/>
      <c r="BQ272" s="37"/>
      <c r="BR272" s="40"/>
      <c r="BS272" s="39"/>
      <c r="BT272" s="39"/>
      <c r="BU272" s="39"/>
      <c r="BV272" s="39"/>
      <c r="BW272" s="39"/>
      <c r="BX272" s="36"/>
      <c r="BY272" s="33"/>
      <c r="BZ272" s="33"/>
      <c r="CA272" s="33"/>
      <c r="CB272" s="34"/>
      <c r="CC272" s="33"/>
      <c r="CD272" s="35"/>
      <c r="CE272" s="48"/>
      <c r="CF272" s="48"/>
      <c r="CG272" s="48"/>
      <c r="CH272" s="48"/>
      <c r="CI272" s="48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35"/>
      <c r="CW272" s="35"/>
      <c r="CX272" s="35"/>
      <c r="CY272" s="35"/>
      <c r="CZ272" s="35"/>
      <c r="DA272" s="35"/>
      <c r="DB272" s="35"/>
      <c r="DC272" s="35"/>
      <c r="DD272" s="40"/>
      <c r="DE272" s="40"/>
      <c r="DF272" s="40"/>
      <c r="DG272" s="40"/>
      <c r="DH272" s="40"/>
      <c r="DI272" s="40"/>
      <c r="DJ272" s="40"/>
      <c r="DK272" s="40"/>
      <c r="DL272" s="35"/>
      <c r="DM272" s="35"/>
      <c r="DN272" s="35"/>
      <c r="DO272" s="35"/>
      <c r="DP272" s="35"/>
      <c r="DQ272" s="35"/>
      <c r="DR272" s="35"/>
      <c r="DS272" s="35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40"/>
      <c r="ES272" s="40"/>
      <c r="ET272" s="40"/>
      <c r="EU272" s="40"/>
      <c r="EV272" s="40"/>
      <c r="EW272" s="40"/>
      <c r="EX272" s="40"/>
      <c r="EY272" s="40"/>
      <c r="EZ272" s="35"/>
      <c r="FA272" s="35"/>
      <c r="FB272" s="35"/>
      <c r="FC272" s="35"/>
      <c r="FD272" s="35"/>
      <c r="FE272" s="35"/>
      <c r="FF272" s="35"/>
      <c r="FG272" s="35"/>
    </row>
    <row r="273" spans="1:163">
      <c r="A273" s="62">
        <v>260</v>
      </c>
      <c r="E273" s="63" t="s">
        <v>221</v>
      </c>
      <c r="F273" s="56" t="s">
        <v>95</v>
      </c>
      <c r="G273" s="70" t="s">
        <v>634</v>
      </c>
      <c r="H273" s="66" t="str">
        <f t="shared" si="119"/>
        <v xml:space="preserve"> 547</v>
      </c>
      <c r="I273" s="67" t="s">
        <v>634</v>
      </c>
      <c r="J273" s="68">
        <f t="shared" si="120"/>
        <v>0</v>
      </c>
      <c r="K273" s="63" t="s">
        <v>344</v>
      </c>
      <c r="L273" s="1" t="s">
        <v>46</v>
      </c>
      <c r="O273" s="88" t="s">
        <v>790</v>
      </c>
      <c r="P273" s="89">
        <v>90000</v>
      </c>
      <c r="Q273" s="90">
        <f t="shared" si="134"/>
        <v>0</v>
      </c>
      <c r="R273" s="71"/>
      <c r="S273" s="72">
        <f t="shared" si="109"/>
        <v>0</v>
      </c>
      <c r="T273" s="68"/>
      <c r="U273" s="73">
        <f t="shared" si="110"/>
        <v>0</v>
      </c>
      <c r="V273" s="75"/>
      <c r="W273" s="2">
        <f t="shared" si="121"/>
        <v>-90000</v>
      </c>
      <c r="Y273" s="81">
        <f t="shared" si="122"/>
        <v>0</v>
      </c>
      <c r="Z273" s="96">
        <v>0</v>
      </c>
      <c r="AA273" s="97">
        <f>U273-Z273</f>
        <v>0</v>
      </c>
      <c r="AB273" s="98" t="e">
        <f>AA273/Z273</f>
        <v>#DIV/0!</v>
      </c>
      <c r="AE273" s="2">
        <v>160000</v>
      </c>
      <c r="AF273" s="28">
        <f t="shared" si="118"/>
        <v>0</v>
      </c>
      <c r="AG273" s="55" t="s">
        <v>125</v>
      </c>
      <c r="AI273" s="20" t="s">
        <v>45</v>
      </c>
      <c r="AJ273" s="2">
        <f t="shared" si="123"/>
        <v>0</v>
      </c>
      <c r="AN273" s="29" t="e">
        <f t="shared" si="124"/>
        <v>#DIV/0!</v>
      </c>
      <c r="AP273" s="3" t="s">
        <v>29</v>
      </c>
      <c r="AQ273" s="1" t="s">
        <v>190</v>
      </c>
      <c r="AR273" s="31">
        <f t="shared" si="125"/>
        <v>0</v>
      </c>
      <c r="AS273" s="31">
        <f t="shared" si="126"/>
        <v>0</v>
      </c>
      <c r="AT273" s="31">
        <f t="shared" si="135"/>
        <v>0</v>
      </c>
      <c r="AU273" s="31">
        <f t="shared" si="127"/>
        <v>0</v>
      </c>
      <c r="AV273" s="31">
        <f t="shared" si="128"/>
        <v>0</v>
      </c>
      <c r="AW273" s="31">
        <f t="shared" si="129"/>
        <v>0</v>
      </c>
      <c r="AX273" s="31">
        <f t="shared" si="130"/>
        <v>0</v>
      </c>
      <c r="AY273" s="31">
        <f t="shared" si="131"/>
        <v>0</v>
      </c>
      <c r="AZ273" s="31">
        <f t="shared" si="132"/>
        <v>0</v>
      </c>
      <c r="BA273" s="31">
        <f t="shared" si="133"/>
        <v>0</v>
      </c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35"/>
      <c r="CW273" s="35"/>
      <c r="CX273" s="35"/>
      <c r="CY273" s="35"/>
      <c r="CZ273" s="35"/>
      <c r="DA273" s="35"/>
      <c r="DB273" s="35"/>
      <c r="DC273" s="35"/>
      <c r="DD273" s="40"/>
      <c r="DE273" s="40"/>
      <c r="DF273" s="40"/>
      <c r="DG273" s="40"/>
      <c r="DH273" s="40"/>
      <c r="DI273" s="40"/>
      <c r="DJ273" s="40"/>
      <c r="DK273" s="40"/>
      <c r="DL273" s="35"/>
      <c r="DM273" s="35"/>
      <c r="DN273" s="35"/>
      <c r="DO273" s="35"/>
      <c r="DP273" s="35"/>
      <c r="DQ273" s="35"/>
      <c r="DR273" s="35"/>
      <c r="DS273" s="35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40"/>
      <c r="ES273" s="40"/>
      <c r="ET273" s="40"/>
      <c r="EU273" s="40"/>
      <c r="EV273" s="40"/>
      <c r="EW273" s="40"/>
      <c r="EX273" s="40"/>
      <c r="EY273" s="40"/>
      <c r="EZ273" s="35"/>
      <c r="FA273" s="35"/>
      <c r="FB273" s="35"/>
      <c r="FC273" s="35"/>
      <c r="FD273" s="35"/>
      <c r="FE273" s="35"/>
      <c r="FF273" s="35"/>
      <c r="FG273" s="35"/>
    </row>
    <row r="274" spans="1:163">
      <c r="A274" s="62">
        <v>387</v>
      </c>
      <c r="E274" s="63" t="s">
        <v>235</v>
      </c>
      <c r="F274" s="56" t="s">
        <v>87</v>
      </c>
      <c r="G274" s="70" t="s">
        <v>755</v>
      </c>
      <c r="H274" s="66" t="str">
        <f t="shared" si="119"/>
        <v xml:space="preserve"> 723</v>
      </c>
      <c r="I274" s="67" t="s">
        <v>755</v>
      </c>
      <c r="J274" s="68">
        <f t="shared" si="120"/>
        <v>0</v>
      </c>
      <c r="K274" s="63" t="s">
        <v>379</v>
      </c>
      <c r="L274" s="1" t="s">
        <v>46</v>
      </c>
      <c r="O274" s="88" t="s">
        <v>790</v>
      </c>
      <c r="P274" s="89">
        <v>56000</v>
      </c>
      <c r="Q274" s="90">
        <f t="shared" si="134"/>
        <v>0</v>
      </c>
      <c r="R274" s="71"/>
      <c r="S274" s="72">
        <f t="shared" si="109"/>
        <v>0</v>
      </c>
      <c r="T274" s="68"/>
      <c r="U274" s="73">
        <f t="shared" si="110"/>
        <v>0</v>
      </c>
      <c r="V274" s="73"/>
      <c r="W274" s="2">
        <f t="shared" si="121"/>
        <v>-56000</v>
      </c>
      <c r="Y274" s="81">
        <f t="shared" si="122"/>
        <v>0</v>
      </c>
      <c r="Z274" s="96">
        <v>0</v>
      </c>
      <c r="AA274" s="97">
        <f>U274-Z274</f>
        <v>0</v>
      </c>
      <c r="AB274" s="98" t="e">
        <f>AA274/Z274</f>
        <v>#DIV/0!</v>
      </c>
      <c r="AC274" s="2">
        <v>3000</v>
      </c>
      <c r="AD274" s="2">
        <f>Z274+AC274</f>
        <v>3000</v>
      </c>
      <c r="AF274" s="28">
        <f t="shared" si="118"/>
        <v>3000</v>
      </c>
      <c r="AG274" s="55" t="s">
        <v>125</v>
      </c>
      <c r="AI274" s="20" t="s">
        <v>206</v>
      </c>
      <c r="AJ274" s="2">
        <f t="shared" si="123"/>
        <v>3000</v>
      </c>
      <c r="AN274" s="29">
        <f t="shared" si="124"/>
        <v>1</v>
      </c>
      <c r="AO274" s="29" t="e">
        <f>AN274-AB274</f>
        <v>#DIV/0!</v>
      </c>
      <c r="AP274" s="3" t="s">
        <v>140</v>
      </c>
      <c r="AQ274" s="1" t="s">
        <v>199</v>
      </c>
      <c r="AR274" s="31">
        <f t="shared" si="125"/>
        <v>0</v>
      </c>
      <c r="AS274" s="31">
        <f t="shared" si="126"/>
        <v>0</v>
      </c>
      <c r="AT274" s="31">
        <f t="shared" si="135"/>
        <v>0</v>
      </c>
      <c r="AU274" s="31">
        <f t="shared" si="127"/>
        <v>0</v>
      </c>
      <c r="AV274" s="31">
        <f t="shared" si="128"/>
        <v>0</v>
      </c>
      <c r="AW274" s="31">
        <f t="shared" si="129"/>
        <v>0</v>
      </c>
      <c r="AX274" s="31">
        <f t="shared" si="130"/>
        <v>0</v>
      </c>
      <c r="AY274" s="31">
        <f t="shared" si="131"/>
        <v>0</v>
      </c>
      <c r="AZ274" s="31">
        <f t="shared" si="132"/>
        <v>0</v>
      </c>
      <c r="BA274" s="31">
        <f t="shared" si="133"/>
        <v>0</v>
      </c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35"/>
      <c r="CW274" s="35"/>
      <c r="CX274" s="35"/>
      <c r="CY274" s="35"/>
      <c r="CZ274" s="35"/>
      <c r="DA274" s="35"/>
      <c r="DB274" s="35"/>
      <c r="DC274" s="35"/>
      <c r="DD274" s="40"/>
      <c r="DE274" s="40"/>
      <c r="DF274" s="40"/>
      <c r="DG274" s="40"/>
      <c r="DH274" s="40"/>
      <c r="DI274" s="40"/>
      <c r="DJ274" s="40"/>
      <c r="DK274" s="40"/>
      <c r="DL274" s="35"/>
      <c r="DM274" s="35"/>
      <c r="DN274" s="35"/>
      <c r="DO274" s="35"/>
      <c r="DP274" s="35"/>
      <c r="DQ274" s="35"/>
      <c r="DR274" s="35"/>
      <c r="DS274" s="35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40"/>
      <c r="ES274" s="40"/>
      <c r="ET274" s="40"/>
      <c r="EU274" s="40"/>
      <c r="EV274" s="40"/>
      <c r="EW274" s="40"/>
      <c r="EX274" s="40"/>
      <c r="EY274" s="40"/>
      <c r="EZ274" s="35"/>
      <c r="FA274" s="35"/>
      <c r="FB274" s="35"/>
      <c r="FC274" s="35"/>
      <c r="FD274" s="35"/>
      <c r="FE274" s="35"/>
      <c r="FF274" s="35"/>
      <c r="FG274" s="35"/>
    </row>
    <row r="275" spans="1:163">
      <c r="A275" s="60">
        <v>15</v>
      </c>
      <c r="E275" s="63" t="s">
        <v>58</v>
      </c>
      <c r="F275" s="56" t="s">
        <v>115</v>
      </c>
      <c r="G275" s="65" t="s">
        <v>397</v>
      </c>
      <c r="H275" s="66" t="str">
        <f t="shared" si="119"/>
        <v xml:space="preserve"> 262</v>
      </c>
      <c r="I275" s="67" t="s">
        <v>397</v>
      </c>
      <c r="J275" s="68">
        <f t="shared" si="120"/>
        <v>0</v>
      </c>
      <c r="K275" s="63" t="s">
        <v>248</v>
      </c>
      <c r="L275" s="1" t="s">
        <v>46</v>
      </c>
      <c r="O275" s="64" t="s">
        <v>789</v>
      </c>
      <c r="P275" s="82">
        <v>0</v>
      </c>
      <c r="Q275" s="74">
        <f t="shared" si="134"/>
        <v>71000</v>
      </c>
      <c r="R275" s="71">
        <v>71000</v>
      </c>
      <c r="S275" s="72">
        <f t="shared" si="109"/>
        <v>7900</v>
      </c>
      <c r="T275" s="68" t="s">
        <v>791</v>
      </c>
      <c r="U275" s="73">
        <f t="shared" si="110"/>
        <v>63100</v>
      </c>
      <c r="V275" s="73">
        <f t="shared" ref="V275:V280" si="136">2000+4850+600+200+250</f>
        <v>7900</v>
      </c>
      <c r="W275" s="2">
        <f t="shared" si="121"/>
        <v>71000</v>
      </c>
      <c r="Y275" s="80">
        <f t="shared" si="122"/>
        <v>71000</v>
      </c>
      <c r="Z275" s="93"/>
      <c r="AA275" s="93"/>
      <c r="AB275" s="94"/>
      <c r="AE275" s="2">
        <v>98000</v>
      </c>
      <c r="AF275" s="28">
        <f t="shared" si="118"/>
        <v>98000</v>
      </c>
      <c r="AG275" s="55" t="s">
        <v>125</v>
      </c>
      <c r="AI275" s="20" t="s">
        <v>45</v>
      </c>
      <c r="AJ275" s="2">
        <f t="shared" si="123"/>
        <v>27000</v>
      </c>
      <c r="AN275" s="29">
        <f t="shared" si="124"/>
        <v>0.27551020408163263</v>
      </c>
      <c r="AP275" s="3" t="s">
        <v>29</v>
      </c>
      <c r="AQ275" s="1" t="s">
        <v>153</v>
      </c>
      <c r="AR275" s="31">
        <f t="shared" si="125"/>
        <v>0</v>
      </c>
      <c r="AS275" s="31">
        <f t="shared" si="126"/>
        <v>0</v>
      </c>
      <c r="AT275" s="31">
        <f t="shared" si="135"/>
        <v>0</v>
      </c>
      <c r="AU275" s="31">
        <f t="shared" si="127"/>
        <v>0</v>
      </c>
      <c r="AV275" s="31">
        <f t="shared" si="128"/>
        <v>0</v>
      </c>
      <c r="AW275" s="31">
        <f t="shared" si="129"/>
        <v>0</v>
      </c>
      <c r="AX275" s="31">
        <f t="shared" si="130"/>
        <v>0</v>
      </c>
      <c r="AY275" s="31">
        <f t="shared" si="131"/>
        <v>0</v>
      </c>
      <c r="AZ275" s="31">
        <f t="shared" si="132"/>
        <v>0</v>
      </c>
      <c r="BA275" s="31">
        <f t="shared" si="133"/>
        <v>0</v>
      </c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41"/>
      <c r="BM275" s="41"/>
      <c r="BN275" s="41"/>
      <c r="BO275" s="37"/>
      <c r="BP275" s="38"/>
      <c r="BQ275" s="37"/>
      <c r="BR275" s="40"/>
      <c r="BS275" s="39"/>
      <c r="BT275" s="39"/>
      <c r="BU275" s="39"/>
      <c r="BV275" s="39"/>
      <c r="BW275" s="39"/>
      <c r="BX275" s="36"/>
      <c r="BY275" s="33"/>
      <c r="BZ275" s="33"/>
      <c r="CA275" s="33"/>
      <c r="CB275" s="34"/>
      <c r="CC275" s="33"/>
      <c r="CD275" s="35"/>
      <c r="CE275" s="48"/>
      <c r="CF275" s="48"/>
      <c r="CG275" s="48"/>
      <c r="CH275" s="48"/>
      <c r="CI275" s="48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35"/>
      <c r="CW275" s="35"/>
      <c r="CX275" s="35"/>
      <c r="CY275" s="35"/>
      <c r="CZ275" s="35"/>
      <c r="DA275" s="35"/>
      <c r="DB275" s="35"/>
      <c r="DC275" s="35"/>
      <c r="DD275" s="40"/>
      <c r="DE275" s="40"/>
      <c r="DF275" s="40"/>
      <c r="DG275" s="40"/>
      <c r="DH275" s="40"/>
      <c r="DI275" s="40"/>
      <c r="DJ275" s="40"/>
      <c r="DK275" s="40"/>
      <c r="DL275" s="35"/>
      <c r="DM275" s="35"/>
      <c r="DN275" s="35"/>
      <c r="DO275" s="35"/>
      <c r="DP275" s="35"/>
      <c r="DQ275" s="35"/>
      <c r="DR275" s="35"/>
      <c r="DS275" s="35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40"/>
      <c r="ES275" s="40"/>
      <c r="ET275" s="40"/>
      <c r="EU275" s="40"/>
      <c r="EV275" s="40"/>
      <c r="EW275" s="40"/>
      <c r="EX275" s="40"/>
      <c r="EY275" s="40"/>
      <c r="EZ275" s="35"/>
      <c r="FA275" s="35"/>
      <c r="FB275" s="35"/>
      <c r="FC275" s="35"/>
      <c r="FD275" s="35"/>
      <c r="FE275" s="35"/>
      <c r="FF275" s="35"/>
      <c r="FG275" s="35"/>
    </row>
    <row r="276" spans="1:163">
      <c r="A276" s="60">
        <v>175</v>
      </c>
      <c r="E276" s="63" t="s">
        <v>215</v>
      </c>
      <c r="F276" s="56" t="s">
        <v>63</v>
      </c>
      <c r="G276" s="65" t="s">
        <v>555</v>
      </c>
      <c r="H276" s="66" t="str">
        <f t="shared" si="119"/>
        <v xml:space="preserve"> 455</v>
      </c>
      <c r="I276" s="67" t="s">
        <v>555</v>
      </c>
      <c r="J276" s="68">
        <f t="shared" si="120"/>
        <v>0</v>
      </c>
      <c r="K276" s="63" t="s">
        <v>248</v>
      </c>
      <c r="L276" s="1" t="s">
        <v>46</v>
      </c>
      <c r="O276" s="64" t="s">
        <v>789</v>
      </c>
      <c r="P276" s="82">
        <v>0</v>
      </c>
      <c r="Q276" s="74">
        <f t="shared" si="134"/>
        <v>71000</v>
      </c>
      <c r="R276" s="71">
        <v>71000</v>
      </c>
      <c r="S276" s="72">
        <f t="shared" si="109"/>
        <v>7900</v>
      </c>
      <c r="T276" s="68" t="s">
        <v>791</v>
      </c>
      <c r="U276" s="73">
        <f t="shared" si="110"/>
        <v>63100</v>
      </c>
      <c r="V276" s="73">
        <f t="shared" si="136"/>
        <v>7900</v>
      </c>
      <c r="W276" s="2">
        <f t="shared" si="121"/>
        <v>71000</v>
      </c>
      <c r="Y276" s="80">
        <f t="shared" si="122"/>
        <v>71000</v>
      </c>
      <c r="Z276" s="93"/>
      <c r="AA276" s="93"/>
      <c r="AB276" s="94"/>
      <c r="AE276" s="2">
        <v>124000</v>
      </c>
      <c r="AF276" s="28">
        <f t="shared" si="118"/>
        <v>124000</v>
      </c>
      <c r="AG276" s="55" t="s">
        <v>125</v>
      </c>
      <c r="AI276" s="20" t="s">
        <v>206</v>
      </c>
      <c r="AJ276" s="2">
        <f t="shared" si="123"/>
        <v>53000</v>
      </c>
      <c r="AN276" s="29">
        <f t="shared" si="124"/>
        <v>0.42741935483870969</v>
      </c>
      <c r="AP276" s="3" t="s">
        <v>29</v>
      </c>
      <c r="AQ276" s="1" t="s">
        <v>165</v>
      </c>
      <c r="AR276" s="31">
        <f t="shared" si="125"/>
        <v>0</v>
      </c>
      <c r="AS276" s="31">
        <f t="shared" si="126"/>
        <v>0</v>
      </c>
      <c r="AT276" s="31">
        <f t="shared" si="135"/>
        <v>0</v>
      </c>
      <c r="AU276" s="31">
        <f t="shared" si="127"/>
        <v>0</v>
      </c>
      <c r="AV276" s="31">
        <f t="shared" si="128"/>
        <v>0</v>
      </c>
      <c r="AW276" s="31">
        <f t="shared" si="129"/>
        <v>0</v>
      </c>
      <c r="AX276" s="31">
        <f t="shared" si="130"/>
        <v>0</v>
      </c>
      <c r="AY276" s="31">
        <f t="shared" si="131"/>
        <v>0</v>
      </c>
      <c r="AZ276" s="31">
        <f t="shared" si="132"/>
        <v>0</v>
      </c>
      <c r="BA276" s="31">
        <f t="shared" si="133"/>
        <v>0</v>
      </c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41"/>
      <c r="BM276" s="41"/>
      <c r="BN276" s="41"/>
      <c r="BO276" s="37"/>
      <c r="BP276" s="38"/>
      <c r="BQ276" s="37"/>
      <c r="BR276" s="40"/>
      <c r="BS276" s="39"/>
      <c r="BT276" s="39"/>
      <c r="BU276" s="39"/>
      <c r="BV276" s="39"/>
      <c r="BW276" s="39"/>
      <c r="BX276" s="36"/>
      <c r="BY276" s="33"/>
      <c r="BZ276" s="33"/>
      <c r="CA276" s="33"/>
      <c r="CB276" s="34"/>
      <c r="CC276" s="33"/>
      <c r="CD276" s="35"/>
      <c r="CE276" s="48"/>
      <c r="CF276" s="48"/>
      <c r="CG276" s="48"/>
      <c r="CH276" s="48"/>
      <c r="CI276" s="48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35"/>
      <c r="CW276" s="35"/>
      <c r="CX276" s="35"/>
      <c r="CY276" s="35"/>
      <c r="CZ276" s="35"/>
      <c r="DA276" s="35"/>
      <c r="DB276" s="35"/>
      <c r="DC276" s="35"/>
      <c r="DD276" s="40"/>
      <c r="DE276" s="40"/>
      <c r="DF276" s="40"/>
      <c r="DG276" s="40"/>
      <c r="DH276" s="40"/>
      <c r="DI276" s="40"/>
      <c r="DJ276" s="40"/>
      <c r="DK276" s="40"/>
      <c r="DL276" s="35"/>
      <c r="DM276" s="35"/>
      <c r="DN276" s="35"/>
      <c r="DO276" s="35"/>
      <c r="DP276" s="35"/>
      <c r="DQ276" s="35"/>
      <c r="DR276" s="35"/>
      <c r="DS276" s="35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40"/>
      <c r="ES276" s="40"/>
      <c r="ET276" s="40"/>
      <c r="EU276" s="40"/>
      <c r="EV276" s="40"/>
      <c r="EW276" s="40"/>
      <c r="EX276" s="40"/>
      <c r="EY276" s="40"/>
      <c r="EZ276" s="35"/>
      <c r="FA276" s="35"/>
      <c r="FB276" s="35"/>
      <c r="FC276" s="35"/>
      <c r="FD276" s="35"/>
      <c r="FE276" s="35"/>
      <c r="FF276" s="35"/>
      <c r="FG276" s="35"/>
    </row>
    <row r="277" spans="1:163">
      <c r="A277" s="60">
        <v>177</v>
      </c>
      <c r="E277" s="63" t="s">
        <v>215</v>
      </c>
      <c r="F277" s="56" t="s">
        <v>63</v>
      </c>
      <c r="G277" s="65" t="s">
        <v>557</v>
      </c>
      <c r="H277" s="66" t="str">
        <f t="shared" si="119"/>
        <v xml:space="preserve"> 152</v>
      </c>
      <c r="I277" s="67" t="s">
        <v>557</v>
      </c>
      <c r="J277" s="68">
        <f t="shared" si="120"/>
        <v>0</v>
      </c>
      <c r="K277" s="63" t="s">
        <v>248</v>
      </c>
      <c r="L277" s="1" t="s">
        <v>46</v>
      </c>
      <c r="O277" s="64" t="s">
        <v>789</v>
      </c>
      <c r="P277" s="82">
        <v>0</v>
      </c>
      <c r="Q277" s="74">
        <f t="shared" si="134"/>
        <v>74000</v>
      </c>
      <c r="R277" s="71">
        <v>74000</v>
      </c>
      <c r="S277" s="72">
        <f t="shared" si="109"/>
        <v>7900</v>
      </c>
      <c r="T277" s="68" t="s">
        <v>791</v>
      </c>
      <c r="U277" s="73">
        <f t="shared" si="110"/>
        <v>66100</v>
      </c>
      <c r="V277" s="73">
        <f t="shared" si="136"/>
        <v>7900</v>
      </c>
      <c r="W277" s="2">
        <f t="shared" si="121"/>
        <v>74000</v>
      </c>
      <c r="Y277" s="80">
        <f t="shared" si="122"/>
        <v>74000</v>
      </c>
      <c r="Z277" s="93"/>
      <c r="AA277" s="93"/>
      <c r="AB277" s="94"/>
      <c r="AE277" s="2">
        <v>103000</v>
      </c>
      <c r="AF277" s="28">
        <f t="shared" si="118"/>
        <v>103000</v>
      </c>
      <c r="AG277" s="55" t="s">
        <v>125</v>
      </c>
      <c r="AI277" s="20" t="s">
        <v>206</v>
      </c>
      <c r="AJ277" s="2">
        <f t="shared" si="123"/>
        <v>29000</v>
      </c>
      <c r="AN277" s="29">
        <f t="shared" si="124"/>
        <v>0.28155339805825241</v>
      </c>
      <c r="AP277" s="3" t="s">
        <v>29</v>
      </c>
      <c r="AQ277" s="1" t="s">
        <v>165</v>
      </c>
      <c r="AR277" s="31">
        <f t="shared" si="125"/>
        <v>0</v>
      </c>
      <c r="AS277" s="31">
        <f t="shared" si="126"/>
        <v>0</v>
      </c>
      <c r="AT277" s="31">
        <f t="shared" si="135"/>
        <v>0</v>
      </c>
      <c r="AU277" s="31">
        <f t="shared" si="127"/>
        <v>0</v>
      </c>
      <c r="AV277" s="31">
        <f t="shared" si="128"/>
        <v>0</v>
      </c>
      <c r="AW277" s="31">
        <f t="shared" si="129"/>
        <v>0</v>
      </c>
      <c r="AX277" s="31">
        <f t="shared" si="130"/>
        <v>0</v>
      </c>
      <c r="AY277" s="31">
        <f t="shared" si="131"/>
        <v>0</v>
      </c>
      <c r="AZ277" s="31">
        <f t="shared" si="132"/>
        <v>0</v>
      </c>
      <c r="BA277" s="31">
        <f t="shared" si="133"/>
        <v>0</v>
      </c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41"/>
      <c r="BM277" s="41"/>
      <c r="BN277" s="41"/>
      <c r="BO277" s="37"/>
      <c r="BP277" s="38"/>
      <c r="BQ277" s="37"/>
      <c r="BR277" s="40"/>
      <c r="BS277" s="39"/>
      <c r="BT277" s="39"/>
      <c r="BU277" s="39"/>
      <c r="BV277" s="39"/>
      <c r="BW277" s="39"/>
      <c r="BX277" s="36"/>
      <c r="BY277" s="33"/>
      <c r="BZ277" s="33"/>
      <c r="CA277" s="33"/>
      <c r="CB277" s="34"/>
      <c r="CC277" s="33"/>
      <c r="CD277" s="35"/>
      <c r="CE277" s="48"/>
      <c r="CF277" s="48"/>
      <c r="CG277" s="48"/>
      <c r="CH277" s="48"/>
      <c r="CI277" s="48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35"/>
      <c r="CW277" s="35"/>
      <c r="CX277" s="35"/>
      <c r="CY277" s="35"/>
      <c r="CZ277" s="35"/>
      <c r="DA277" s="35"/>
      <c r="DB277" s="35"/>
      <c r="DC277" s="35"/>
      <c r="DD277" s="40"/>
      <c r="DE277" s="40"/>
      <c r="DF277" s="40"/>
      <c r="DG277" s="40"/>
      <c r="DH277" s="40"/>
      <c r="DI277" s="40"/>
      <c r="DJ277" s="40"/>
      <c r="DK277" s="40"/>
      <c r="DL277" s="35"/>
      <c r="DM277" s="35"/>
      <c r="DN277" s="35"/>
      <c r="DO277" s="35"/>
      <c r="DP277" s="35"/>
      <c r="DQ277" s="35"/>
      <c r="DR277" s="35"/>
      <c r="DS277" s="35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40"/>
      <c r="ES277" s="40"/>
      <c r="ET277" s="40"/>
      <c r="EU277" s="40"/>
      <c r="EV277" s="40"/>
      <c r="EW277" s="40"/>
      <c r="EX277" s="40"/>
      <c r="EY277" s="40"/>
      <c r="EZ277" s="35"/>
      <c r="FA277" s="35"/>
      <c r="FB277" s="35"/>
      <c r="FC277" s="35"/>
      <c r="FD277" s="35"/>
      <c r="FE277" s="35"/>
      <c r="FF277" s="35"/>
      <c r="FG277" s="35"/>
    </row>
    <row r="278" spans="1:163">
      <c r="A278" s="60">
        <v>179</v>
      </c>
      <c r="E278" s="63" t="s">
        <v>58</v>
      </c>
      <c r="F278" s="56" t="s">
        <v>63</v>
      </c>
      <c r="G278" s="65" t="s">
        <v>559</v>
      </c>
      <c r="H278" s="66" t="str">
        <f t="shared" si="119"/>
        <v xml:space="preserve"> 489</v>
      </c>
      <c r="I278" s="67" t="s">
        <v>559</v>
      </c>
      <c r="J278" s="68">
        <f t="shared" si="120"/>
        <v>0</v>
      </c>
      <c r="K278" s="63" t="s">
        <v>248</v>
      </c>
      <c r="L278" s="1" t="s">
        <v>46</v>
      </c>
      <c r="O278" s="64" t="s">
        <v>789</v>
      </c>
      <c r="P278" s="82">
        <v>0</v>
      </c>
      <c r="Q278" s="74">
        <f t="shared" si="134"/>
        <v>71000</v>
      </c>
      <c r="R278" s="71">
        <v>71000</v>
      </c>
      <c r="S278" s="72">
        <f t="shared" si="109"/>
        <v>7900</v>
      </c>
      <c r="T278" s="68" t="s">
        <v>791</v>
      </c>
      <c r="U278" s="73">
        <f t="shared" si="110"/>
        <v>63100</v>
      </c>
      <c r="V278" s="73">
        <f t="shared" si="136"/>
        <v>7900</v>
      </c>
      <c r="W278" s="2">
        <f t="shared" si="121"/>
        <v>71000</v>
      </c>
      <c r="Y278" s="80">
        <f t="shared" si="122"/>
        <v>71000</v>
      </c>
      <c r="Z278" s="93"/>
      <c r="AA278" s="93"/>
      <c r="AB278" s="94"/>
      <c r="AE278" s="2">
        <v>111000</v>
      </c>
      <c r="AF278" s="28">
        <f t="shared" si="118"/>
        <v>111000</v>
      </c>
      <c r="AG278" s="55" t="s">
        <v>125</v>
      </c>
      <c r="AI278" s="20" t="s">
        <v>206</v>
      </c>
      <c r="AJ278" s="2">
        <f t="shared" si="123"/>
        <v>40000</v>
      </c>
      <c r="AN278" s="29">
        <f t="shared" si="124"/>
        <v>0.36036036036036034</v>
      </c>
      <c r="AP278" s="3" t="s">
        <v>29</v>
      </c>
      <c r="AQ278" s="1" t="s">
        <v>165</v>
      </c>
      <c r="AR278" s="31">
        <f t="shared" si="125"/>
        <v>0</v>
      </c>
      <c r="AS278" s="31">
        <f t="shared" si="126"/>
        <v>0</v>
      </c>
      <c r="AT278" s="31">
        <f t="shared" si="135"/>
        <v>0</v>
      </c>
      <c r="AU278" s="31">
        <f t="shared" si="127"/>
        <v>0</v>
      </c>
      <c r="AV278" s="31">
        <f t="shared" si="128"/>
        <v>0</v>
      </c>
      <c r="AW278" s="31">
        <f t="shared" si="129"/>
        <v>0</v>
      </c>
      <c r="AX278" s="31">
        <f t="shared" si="130"/>
        <v>0</v>
      </c>
      <c r="AY278" s="31">
        <f t="shared" si="131"/>
        <v>0</v>
      </c>
      <c r="AZ278" s="31">
        <f t="shared" si="132"/>
        <v>0</v>
      </c>
      <c r="BA278" s="31">
        <f t="shared" si="133"/>
        <v>0</v>
      </c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41"/>
      <c r="BM278" s="41"/>
      <c r="BN278" s="41"/>
      <c r="BO278" s="37"/>
      <c r="BP278" s="38"/>
      <c r="BQ278" s="37"/>
      <c r="BR278" s="40"/>
      <c r="BS278" s="39"/>
      <c r="BT278" s="39"/>
      <c r="BU278" s="39"/>
      <c r="BV278" s="39"/>
      <c r="BW278" s="39"/>
      <c r="BX278" s="36"/>
      <c r="BY278" s="33"/>
      <c r="BZ278" s="33"/>
      <c r="CA278" s="33"/>
      <c r="CB278" s="34"/>
      <c r="CC278" s="33"/>
      <c r="CD278" s="35"/>
      <c r="CE278" s="48"/>
      <c r="CF278" s="48"/>
      <c r="CG278" s="48"/>
      <c r="CH278" s="48"/>
      <c r="CI278" s="48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35"/>
      <c r="CW278" s="35"/>
      <c r="CX278" s="35"/>
      <c r="CY278" s="35"/>
      <c r="CZ278" s="35"/>
      <c r="DA278" s="35"/>
      <c r="DB278" s="35"/>
      <c r="DC278" s="35"/>
      <c r="DD278" s="40"/>
      <c r="DE278" s="40"/>
      <c r="DF278" s="40"/>
      <c r="DG278" s="40"/>
      <c r="DH278" s="40"/>
      <c r="DI278" s="40"/>
      <c r="DJ278" s="40"/>
      <c r="DK278" s="40"/>
      <c r="DL278" s="35"/>
      <c r="DM278" s="35"/>
      <c r="DN278" s="35"/>
      <c r="DO278" s="35"/>
      <c r="DP278" s="35"/>
      <c r="DQ278" s="35"/>
      <c r="DR278" s="35"/>
      <c r="DS278" s="35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40"/>
      <c r="ES278" s="40"/>
      <c r="ET278" s="40"/>
      <c r="EU278" s="40"/>
      <c r="EV278" s="40"/>
      <c r="EW278" s="40"/>
      <c r="EX278" s="40"/>
      <c r="EY278" s="40"/>
      <c r="EZ278" s="35"/>
      <c r="FA278" s="35"/>
      <c r="FB278" s="35"/>
      <c r="FC278" s="35"/>
      <c r="FD278" s="35"/>
      <c r="FE278" s="35"/>
      <c r="FF278" s="35"/>
      <c r="FG278" s="35"/>
    </row>
    <row r="279" spans="1:163">
      <c r="A279" s="62">
        <v>184</v>
      </c>
      <c r="E279" s="63" t="s">
        <v>215</v>
      </c>
      <c r="F279" s="56" t="s">
        <v>64</v>
      </c>
      <c r="G279" s="65" t="s">
        <v>564</v>
      </c>
      <c r="H279" s="66" t="str">
        <f t="shared" si="119"/>
        <v xml:space="preserve"> 745</v>
      </c>
      <c r="I279" s="67" t="s">
        <v>564</v>
      </c>
      <c r="J279" s="68">
        <f t="shared" si="120"/>
        <v>0</v>
      </c>
      <c r="K279" s="63" t="s">
        <v>248</v>
      </c>
      <c r="L279" s="1" t="s">
        <v>46</v>
      </c>
      <c r="O279" s="64" t="s">
        <v>789</v>
      </c>
      <c r="P279" s="82">
        <v>0</v>
      </c>
      <c r="Q279" s="74">
        <f t="shared" si="134"/>
        <v>71000</v>
      </c>
      <c r="R279" s="71">
        <v>71000</v>
      </c>
      <c r="S279" s="72">
        <f t="shared" ref="S279:S342" si="137">R279-U279</f>
        <v>7900</v>
      </c>
      <c r="T279" s="68" t="s">
        <v>791</v>
      </c>
      <c r="U279" s="73">
        <f t="shared" ref="U279:U342" si="138">R279-V279</f>
        <v>63100</v>
      </c>
      <c r="V279" s="73">
        <f t="shared" si="136"/>
        <v>7900</v>
      </c>
      <c r="W279" s="2">
        <f t="shared" si="121"/>
        <v>71000</v>
      </c>
      <c r="Y279" s="80">
        <f t="shared" si="122"/>
        <v>71000</v>
      </c>
      <c r="Z279" s="93"/>
      <c r="AA279" s="93"/>
      <c r="AB279" s="94"/>
      <c r="AE279" s="2">
        <v>112000</v>
      </c>
      <c r="AF279" s="28">
        <f t="shared" si="118"/>
        <v>112000</v>
      </c>
      <c r="AG279" s="55" t="s">
        <v>125</v>
      </c>
      <c r="AI279" s="20" t="s">
        <v>206</v>
      </c>
      <c r="AJ279" s="2">
        <f t="shared" si="123"/>
        <v>41000</v>
      </c>
      <c r="AN279" s="29">
        <f t="shared" si="124"/>
        <v>0.36607142857142855</v>
      </c>
      <c r="AP279" s="3" t="s">
        <v>140</v>
      </c>
      <c r="AQ279" s="1" t="s">
        <v>164</v>
      </c>
      <c r="AR279" s="31">
        <f t="shared" si="125"/>
        <v>-3219</v>
      </c>
      <c r="AS279" s="31">
        <f t="shared" si="126"/>
        <v>0</v>
      </c>
      <c r="AT279" s="31">
        <f t="shared" si="135"/>
        <v>-4962</v>
      </c>
      <c r="AU279" s="31">
        <f t="shared" si="127"/>
        <v>0</v>
      </c>
      <c r="AV279" s="31">
        <f t="shared" si="128"/>
        <v>0</v>
      </c>
      <c r="AW279" s="31">
        <f t="shared" si="129"/>
        <v>0</v>
      </c>
      <c r="AX279" s="31">
        <f t="shared" si="130"/>
        <v>3238</v>
      </c>
      <c r="AY279" s="31">
        <f t="shared" si="131"/>
        <v>0</v>
      </c>
      <c r="AZ279" s="31">
        <f t="shared" si="132"/>
        <v>0</v>
      </c>
      <c r="BA279" s="31">
        <f t="shared" si="133"/>
        <v>0</v>
      </c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41">
        <v>112219</v>
      </c>
      <c r="BM279" s="41">
        <v>3000</v>
      </c>
      <c r="BN279" s="41">
        <f>BL279+BM279</f>
        <v>115219</v>
      </c>
      <c r="BO279" s="37">
        <f>BN279-Y279</f>
        <v>44219</v>
      </c>
      <c r="BP279" s="38">
        <f>BO279/BL279</f>
        <v>0.39404200714673987</v>
      </c>
      <c r="BQ279" s="37">
        <f>AF279-BN279</f>
        <v>-3219</v>
      </c>
      <c r="BR279" s="40" t="s">
        <v>29</v>
      </c>
      <c r="BS279" s="39"/>
      <c r="BT279" s="39"/>
      <c r="BU279" s="39"/>
      <c r="BV279" s="39"/>
      <c r="BW279" s="39"/>
      <c r="BX279" s="36">
        <v>113962</v>
      </c>
      <c r="BY279" s="33">
        <v>3000</v>
      </c>
      <c r="BZ279" s="33">
        <f>BX279+BY279</f>
        <v>116962</v>
      </c>
      <c r="CA279" s="33">
        <f>BZ279-Y279</f>
        <v>45962</v>
      </c>
      <c r="CB279" s="34">
        <f>CA279/BX279</f>
        <v>0.40330987522156508</v>
      </c>
      <c r="CC279" s="33">
        <f>AF279-BZ279</f>
        <v>-4962</v>
      </c>
      <c r="CD279" s="35" t="s">
        <v>29</v>
      </c>
      <c r="CE279" s="48"/>
      <c r="CF279" s="48"/>
      <c r="CG279" s="48"/>
      <c r="CH279" s="48"/>
      <c r="CI279" s="48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35"/>
      <c r="CW279" s="35"/>
      <c r="CX279" s="35"/>
      <c r="CY279" s="35"/>
      <c r="CZ279" s="35"/>
      <c r="DA279" s="35"/>
      <c r="DB279" s="35"/>
      <c r="DC279" s="35"/>
      <c r="DD279" s="40"/>
      <c r="DE279" s="40"/>
      <c r="DF279" s="40"/>
      <c r="DG279" s="40"/>
      <c r="DH279" s="40"/>
      <c r="DI279" s="40"/>
      <c r="DJ279" s="40"/>
      <c r="DK279" s="40"/>
      <c r="DL279" s="35"/>
      <c r="DM279" s="35"/>
      <c r="DN279" s="35"/>
      <c r="DO279" s="35"/>
      <c r="DP279" s="35"/>
      <c r="DQ279" s="35"/>
      <c r="DR279" s="35"/>
      <c r="DS279" s="35"/>
      <c r="DT279" s="41">
        <v>105262</v>
      </c>
      <c r="DU279" s="37">
        <v>3500</v>
      </c>
      <c r="DV279" s="41">
        <f>DT279+DU279</f>
        <v>108762</v>
      </c>
      <c r="DW279" s="37">
        <f>DV279-Y279</f>
        <v>37762</v>
      </c>
      <c r="DX279" s="38">
        <f>DW279/DV279</f>
        <v>0.3471984700538791</v>
      </c>
      <c r="DY279" s="37">
        <f>AF279-DV279</f>
        <v>3238</v>
      </c>
      <c r="DZ279" s="40" t="s">
        <v>29</v>
      </c>
      <c r="EA279" s="40"/>
      <c r="EB279" s="40"/>
      <c r="EC279" s="40"/>
      <c r="ED279" s="40"/>
      <c r="EE279" s="40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40"/>
      <c r="ES279" s="40"/>
      <c r="ET279" s="40"/>
      <c r="EU279" s="40"/>
      <c r="EV279" s="40"/>
      <c r="EW279" s="40"/>
      <c r="EX279" s="40"/>
      <c r="EY279" s="40"/>
      <c r="EZ279" s="35"/>
      <c r="FA279" s="35"/>
      <c r="FB279" s="35"/>
      <c r="FC279" s="35"/>
      <c r="FD279" s="35"/>
      <c r="FE279" s="35"/>
      <c r="FF279" s="35"/>
      <c r="FG279" s="35"/>
    </row>
    <row r="280" spans="1:163">
      <c r="A280" s="62">
        <v>370</v>
      </c>
      <c r="E280" s="63" t="s">
        <v>232</v>
      </c>
      <c r="F280" s="56" t="s">
        <v>81</v>
      </c>
      <c r="G280" s="65" t="s">
        <v>739</v>
      </c>
      <c r="H280" s="66" t="str">
        <f t="shared" si="119"/>
        <v xml:space="preserve"> 503</v>
      </c>
      <c r="I280" s="67" t="s">
        <v>739</v>
      </c>
      <c r="J280" s="68">
        <f t="shared" si="120"/>
        <v>0</v>
      </c>
      <c r="K280" s="63" t="s">
        <v>248</v>
      </c>
      <c r="L280" s="1" t="s">
        <v>46</v>
      </c>
      <c r="O280" s="64" t="s">
        <v>789</v>
      </c>
      <c r="P280" s="82">
        <v>0</v>
      </c>
      <c r="Q280" s="74">
        <f t="shared" si="134"/>
        <v>57000</v>
      </c>
      <c r="R280" s="71">
        <v>57000</v>
      </c>
      <c r="S280" s="72">
        <f t="shared" si="137"/>
        <v>7900</v>
      </c>
      <c r="T280" s="68" t="s">
        <v>791</v>
      </c>
      <c r="U280" s="73">
        <f t="shared" si="138"/>
        <v>49100</v>
      </c>
      <c r="V280" s="73">
        <f t="shared" si="136"/>
        <v>7900</v>
      </c>
      <c r="W280" s="2">
        <f t="shared" si="121"/>
        <v>57000</v>
      </c>
      <c r="Y280" s="80">
        <f t="shared" si="122"/>
        <v>57000</v>
      </c>
      <c r="Z280" s="93"/>
      <c r="AA280" s="93"/>
      <c r="AB280" s="94"/>
      <c r="AE280" s="2">
        <v>75000</v>
      </c>
      <c r="AF280" s="28">
        <f t="shared" si="118"/>
        <v>75000</v>
      </c>
      <c r="AG280" s="55" t="s">
        <v>125</v>
      </c>
      <c r="AI280" s="20" t="s">
        <v>45</v>
      </c>
      <c r="AJ280" s="2">
        <f t="shared" si="123"/>
        <v>18000</v>
      </c>
      <c r="AN280" s="29">
        <f t="shared" si="124"/>
        <v>0.24</v>
      </c>
      <c r="AP280" s="3" t="s">
        <v>140</v>
      </c>
      <c r="AQ280" s="1" t="s">
        <v>126</v>
      </c>
      <c r="AR280" s="31">
        <f t="shared" si="125"/>
        <v>0</v>
      </c>
      <c r="AS280" s="31">
        <f t="shared" si="126"/>
        <v>0</v>
      </c>
      <c r="AT280" s="31">
        <f>IF(BX280&lt;&gt;"", AF280-BX280, 0)</f>
        <v>0</v>
      </c>
      <c r="AU280" s="31">
        <f t="shared" si="127"/>
        <v>0</v>
      </c>
      <c r="AV280" s="31">
        <f t="shared" si="128"/>
        <v>0</v>
      </c>
      <c r="AW280" s="31">
        <f t="shared" si="129"/>
        <v>0</v>
      </c>
      <c r="AX280" s="31">
        <f t="shared" si="130"/>
        <v>0</v>
      </c>
      <c r="AY280" s="31">
        <f t="shared" si="131"/>
        <v>0</v>
      </c>
      <c r="AZ280" s="31">
        <f t="shared" si="132"/>
        <v>0</v>
      </c>
      <c r="BA280" s="31">
        <f t="shared" si="133"/>
        <v>0</v>
      </c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35"/>
      <c r="CW280" s="35"/>
      <c r="CX280" s="35"/>
      <c r="CY280" s="35"/>
      <c r="CZ280" s="35"/>
      <c r="DA280" s="35"/>
      <c r="DB280" s="35"/>
      <c r="DC280" s="35"/>
      <c r="DD280" s="40"/>
      <c r="DE280" s="40"/>
      <c r="DF280" s="40"/>
      <c r="DG280" s="40"/>
      <c r="DH280" s="40"/>
      <c r="DI280" s="40"/>
      <c r="DJ280" s="40"/>
      <c r="DK280" s="40"/>
      <c r="DL280" s="35"/>
      <c r="DM280" s="35"/>
      <c r="DN280" s="35"/>
      <c r="DO280" s="35"/>
      <c r="DP280" s="35"/>
      <c r="DQ280" s="35"/>
      <c r="DR280" s="35"/>
      <c r="DS280" s="35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40"/>
      <c r="ES280" s="40"/>
      <c r="ET280" s="40"/>
      <c r="EU280" s="40"/>
      <c r="EV280" s="40"/>
      <c r="EW280" s="40"/>
      <c r="EX280" s="40"/>
      <c r="EY280" s="40"/>
      <c r="EZ280" s="35"/>
      <c r="FA280" s="35"/>
      <c r="FB280" s="35"/>
      <c r="FC280" s="35"/>
      <c r="FD280" s="35"/>
      <c r="FE280" s="35"/>
      <c r="FF280" s="35"/>
      <c r="FG280" s="35"/>
    </row>
    <row r="281" spans="1:163">
      <c r="A281" s="62">
        <v>44</v>
      </c>
      <c r="E281" s="63" t="s">
        <v>113</v>
      </c>
      <c r="F281" s="56" t="s">
        <v>113</v>
      </c>
      <c r="G281" s="65" t="s">
        <v>424</v>
      </c>
      <c r="H281" s="66" t="str">
        <f t="shared" si="119"/>
        <v xml:space="preserve"> 775</v>
      </c>
      <c r="I281" s="67" t="s">
        <v>424</v>
      </c>
      <c r="J281" s="68">
        <f t="shared" si="120"/>
        <v>0</v>
      </c>
      <c r="K281" s="63" t="s">
        <v>249</v>
      </c>
      <c r="L281" s="1" t="s">
        <v>46</v>
      </c>
      <c r="O281" s="64" t="s">
        <v>789</v>
      </c>
      <c r="P281" s="82">
        <v>0</v>
      </c>
      <c r="Q281" s="74">
        <f t="shared" si="134"/>
        <v>65000</v>
      </c>
      <c r="R281" s="71">
        <v>65000</v>
      </c>
      <c r="S281" s="72">
        <f t="shared" si="137"/>
        <v>8150</v>
      </c>
      <c r="T281" s="68" t="s">
        <v>791</v>
      </c>
      <c r="U281" s="73">
        <f t="shared" si="138"/>
        <v>56850</v>
      </c>
      <c r="V281" s="73">
        <f>2000+5100+600+200+250</f>
        <v>8150</v>
      </c>
      <c r="W281" s="2">
        <f t="shared" si="121"/>
        <v>65000</v>
      </c>
      <c r="Y281" s="80">
        <f t="shared" si="122"/>
        <v>65000</v>
      </c>
      <c r="Z281" s="93"/>
      <c r="AA281" s="93"/>
      <c r="AB281" s="94"/>
      <c r="AE281" s="2">
        <v>110000</v>
      </c>
      <c r="AF281" s="28">
        <f t="shared" si="118"/>
        <v>110000</v>
      </c>
      <c r="AG281" s="55" t="s">
        <v>125</v>
      </c>
      <c r="AI281" s="20" t="s">
        <v>45</v>
      </c>
      <c r="AJ281" s="2">
        <f t="shared" si="123"/>
        <v>45000</v>
      </c>
      <c r="AN281" s="29">
        <f t="shared" si="124"/>
        <v>0.40909090909090912</v>
      </c>
      <c r="AP281" s="3" t="s">
        <v>29</v>
      </c>
      <c r="AQ281" s="1" t="s">
        <v>148</v>
      </c>
      <c r="AR281" s="31">
        <f t="shared" si="125"/>
        <v>0</v>
      </c>
      <c r="AS281" s="31">
        <f t="shared" si="126"/>
        <v>0</v>
      </c>
      <c r="AT281" s="31">
        <f t="shared" ref="AT281:AT290" si="139">IF(BZ281&lt;&gt;"", AF281-BZ281, 0)</f>
        <v>0</v>
      </c>
      <c r="AU281" s="31">
        <f t="shared" si="127"/>
        <v>0</v>
      </c>
      <c r="AV281" s="31">
        <f t="shared" si="128"/>
        <v>0</v>
      </c>
      <c r="AW281" s="31">
        <f t="shared" si="129"/>
        <v>0</v>
      </c>
      <c r="AX281" s="31">
        <f t="shared" si="130"/>
        <v>0</v>
      </c>
      <c r="AY281" s="31">
        <f t="shared" si="131"/>
        <v>0</v>
      </c>
      <c r="AZ281" s="31">
        <f t="shared" si="132"/>
        <v>0</v>
      </c>
      <c r="BA281" s="31">
        <f t="shared" si="133"/>
        <v>0</v>
      </c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41"/>
      <c r="BM281" s="41"/>
      <c r="BN281" s="41"/>
      <c r="BO281" s="37"/>
      <c r="BP281" s="38"/>
      <c r="BQ281" s="37"/>
      <c r="BR281" s="40"/>
      <c r="BS281" s="39"/>
      <c r="BT281" s="39"/>
      <c r="BU281" s="39"/>
      <c r="BV281" s="39"/>
      <c r="BW281" s="39"/>
      <c r="BX281" s="36"/>
      <c r="BY281" s="33"/>
      <c r="BZ281" s="33"/>
      <c r="CA281" s="33"/>
      <c r="CB281" s="34"/>
      <c r="CC281" s="33"/>
      <c r="CD281" s="35"/>
      <c r="CE281" s="48"/>
      <c r="CF281" s="48"/>
      <c r="CG281" s="48"/>
      <c r="CH281" s="48"/>
      <c r="CI281" s="48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35"/>
      <c r="CW281" s="35"/>
      <c r="CX281" s="35"/>
      <c r="CY281" s="35"/>
      <c r="CZ281" s="35"/>
      <c r="DA281" s="35"/>
      <c r="DB281" s="35"/>
      <c r="DC281" s="35"/>
      <c r="DD281" s="40"/>
      <c r="DE281" s="40"/>
      <c r="DF281" s="40"/>
      <c r="DG281" s="40"/>
      <c r="DH281" s="40"/>
      <c r="DI281" s="40"/>
      <c r="DJ281" s="40"/>
      <c r="DK281" s="40"/>
      <c r="DL281" s="35"/>
      <c r="DM281" s="35"/>
      <c r="DN281" s="35"/>
      <c r="DO281" s="35"/>
      <c r="DP281" s="35"/>
      <c r="DQ281" s="35"/>
      <c r="DR281" s="35"/>
      <c r="DS281" s="35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40"/>
      <c r="ES281" s="40"/>
      <c r="ET281" s="40"/>
      <c r="EU281" s="40"/>
      <c r="EV281" s="40"/>
      <c r="EW281" s="40"/>
      <c r="EX281" s="40"/>
      <c r="EY281" s="40"/>
      <c r="EZ281" s="35"/>
      <c r="FA281" s="35"/>
      <c r="FB281" s="35"/>
      <c r="FC281" s="35"/>
      <c r="FD281" s="35"/>
      <c r="FE281" s="35"/>
      <c r="FF281" s="35"/>
      <c r="FG281" s="35"/>
    </row>
    <row r="282" spans="1:163">
      <c r="A282" s="60">
        <v>49</v>
      </c>
      <c r="E282" s="63" t="s">
        <v>113</v>
      </c>
      <c r="F282" s="56" t="s">
        <v>113</v>
      </c>
      <c r="G282" s="65" t="s">
        <v>429</v>
      </c>
      <c r="H282" s="66" t="str">
        <f t="shared" si="119"/>
        <v xml:space="preserve"> 462</v>
      </c>
      <c r="I282" s="67" t="s">
        <v>429</v>
      </c>
      <c r="J282" s="68">
        <f t="shared" si="120"/>
        <v>0</v>
      </c>
      <c r="K282" s="63" t="s">
        <v>249</v>
      </c>
      <c r="L282" s="1" t="s">
        <v>46</v>
      </c>
      <c r="O282" s="64" t="s">
        <v>789</v>
      </c>
      <c r="P282" s="82">
        <v>0</v>
      </c>
      <c r="Q282" s="74">
        <f t="shared" si="134"/>
        <v>65000</v>
      </c>
      <c r="R282" s="71">
        <v>65000</v>
      </c>
      <c r="S282" s="72">
        <f t="shared" si="137"/>
        <v>8150</v>
      </c>
      <c r="T282" s="68" t="s">
        <v>791</v>
      </c>
      <c r="U282" s="73">
        <f t="shared" si="138"/>
        <v>56850</v>
      </c>
      <c r="V282" s="73">
        <f>2000+5100+600+200+250</f>
        <v>8150</v>
      </c>
      <c r="W282" s="2">
        <f t="shared" si="121"/>
        <v>65000</v>
      </c>
      <c r="Y282" s="80">
        <f t="shared" si="122"/>
        <v>65000</v>
      </c>
      <c r="Z282" s="93"/>
      <c r="AA282" s="93"/>
      <c r="AB282" s="94"/>
      <c r="AE282" s="2">
        <v>98000</v>
      </c>
      <c r="AF282" s="28">
        <f t="shared" si="118"/>
        <v>98000</v>
      </c>
      <c r="AG282" s="55" t="s">
        <v>125</v>
      </c>
      <c r="AI282" s="20" t="s">
        <v>45</v>
      </c>
      <c r="AJ282" s="2">
        <f t="shared" si="123"/>
        <v>33000</v>
      </c>
      <c r="AN282" s="29">
        <f t="shared" si="124"/>
        <v>0.33673469387755101</v>
      </c>
      <c r="AP282" s="3" t="s">
        <v>29</v>
      </c>
      <c r="AQ282" s="1" t="s">
        <v>148</v>
      </c>
      <c r="AR282" s="31">
        <f t="shared" si="125"/>
        <v>0</v>
      </c>
      <c r="AS282" s="31">
        <f t="shared" si="126"/>
        <v>0</v>
      </c>
      <c r="AT282" s="31">
        <f t="shared" si="139"/>
        <v>0</v>
      </c>
      <c r="AU282" s="31">
        <f t="shared" si="127"/>
        <v>0</v>
      </c>
      <c r="AV282" s="31">
        <f t="shared" si="128"/>
        <v>0</v>
      </c>
      <c r="AW282" s="31">
        <f t="shared" si="129"/>
        <v>0</v>
      </c>
      <c r="AX282" s="31">
        <f t="shared" si="130"/>
        <v>0</v>
      </c>
      <c r="AY282" s="31">
        <f t="shared" si="131"/>
        <v>0</v>
      </c>
      <c r="AZ282" s="31">
        <f t="shared" si="132"/>
        <v>0</v>
      </c>
      <c r="BA282" s="31">
        <f t="shared" si="133"/>
        <v>0</v>
      </c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41"/>
      <c r="BM282" s="41"/>
      <c r="BN282" s="41"/>
      <c r="BO282" s="37"/>
      <c r="BP282" s="38"/>
      <c r="BQ282" s="37"/>
      <c r="BR282" s="40"/>
      <c r="BS282" s="39"/>
      <c r="BT282" s="39"/>
      <c r="BU282" s="39"/>
      <c r="BV282" s="39"/>
      <c r="BW282" s="39"/>
      <c r="BX282" s="36"/>
      <c r="BY282" s="33"/>
      <c r="BZ282" s="33"/>
      <c r="CA282" s="33"/>
      <c r="CB282" s="34"/>
      <c r="CC282" s="33"/>
      <c r="CD282" s="35"/>
      <c r="CE282" s="48"/>
      <c r="CF282" s="48"/>
      <c r="CG282" s="48"/>
      <c r="CH282" s="48"/>
      <c r="CI282" s="48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35"/>
      <c r="CW282" s="35"/>
      <c r="CX282" s="35"/>
      <c r="CY282" s="35"/>
      <c r="CZ282" s="35"/>
      <c r="DA282" s="35"/>
      <c r="DB282" s="35"/>
      <c r="DC282" s="35"/>
      <c r="DD282" s="40"/>
      <c r="DE282" s="40"/>
      <c r="DF282" s="40"/>
      <c r="DG282" s="40"/>
      <c r="DH282" s="40"/>
      <c r="DI282" s="40"/>
      <c r="DJ282" s="40"/>
      <c r="DK282" s="40"/>
      <c r="DL282" s="35"/>
      <c r="DM282" s="35"/>
      <c r="DN282" s="35"/>
      <c r="DO282" s="35"/>
      <c r="DP282" s="35"/>
      <c r="DQ282" s="35"/>
      <c r="DR282" s="35"/>
      <c r="DS282" s="35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40"/>
      <c r="ES282" s="40"/>
      <c r="ET282" s="40"/>
      <c r="EU282" s="40"/>
      <c r="EV282" s="40"/>
      <c r="EW282" s="40"/>
      <c r="EX282" s="40"/>
      <c r="EY282" s="40"/>
      <c r="EZ282" s="35"/>
      <c r="FA282" s="35"/>
      <c r="FB282" s="35"/>
      <c r="FC282" s="35"/>
      <c r="FD282" s="35"/>
      <c r="FE282" s="35"/>
      <c r="FF282" s="35"/>
      <c r="FG282" s="35"/>
    </row>
    <row r="283" spans="1:163">
      <c r="A283" s="60">
        <v>53</v>
      </c>
      <c r="E283" s="63" t="s">
        <v>113</v>
      </c>
      <c r="F283" s="56" t="s">
        <v>55</v>
      </c>
      <c r="G283" s="65" t="s">
        <v>433</v>
      </c>
      <c r="H283" s="66" t="str">
        <f t="shared" si="119"/>
        <v xml:space="preserve"> 710</v>
      </c>
      <c r="I283" s="67" t="s">
        <v>433</v>
      </c>
      <c r="J283" s="68">
        <f t="shared" si="120"/>
        <v>0</v>
      </c>
      <c r="K283" s="63" t="s">
        <v>249</v>
      </c>
      <c r="L283" s="1" t="s">
        <v>46</v>
      </c>
      <c r="O283" s="64" t="s">
        <v>789</v>
      </c>
      <c r="P283" s="82">
        <v>0</v>
      </c>
      <c r="Q283" s="74">
        <f t="shared" si="134"/>
        <v>65000</v>
      </c>
      <c r="R283" s="71">
        <v>65000</v>
      </c>
      <c r="S283" s="72">
        <f t="shared" si="137"/>
        <v>8150</v>
      </c>
      <c r="T283" s="68" t="s">
        <v>791</v>
      </c>
      <c r="U283" s="73">
        <f t="shared" si="138"/>
        <v>56850</v>
      </c>
      <c r="V283" s="73">
        <f>2000+5100+600+200+250</f>
        <v>8150</v>
      </c>
      <c r="W283" s="2">
        <f t="shared" si="121"/>
        <v>65000</v>
      </c>
      <c r="Y283" s="80">
        <f t="shared" si="122"/>
        <v>65000</v>
      </c>
      <c r="Z283" s="93"/>
      <c r="AA283" s="93"/>
      <c r="AB283" s="94"/>
      <c r="AE283" s="2">
        <v>100000</v>
      </c>
      <c r="AF283" s="28">
        <f t="shared" si="118"/>
        <v>100000</v>
      </c>
      <c r="AG283" s="55" t="s">
        <v>125</v>
      </c>
      <c r="AI283" s="20" t="s">
        <v>45</v>
      </c>
      <c r="AJ283" s="2">
        <f t="shared" si="123"/>
        <v>35000</v>
      </c>
      <c r="AN283" s="29">
        <f t="shared" si="124"/>
        <v>0.35</v>
      </c>
      <c r="AP283" s="3" t="s">
        <v>29</v>
      </c>
      <c r="AQ283" s="1" t="s">
        <v>148</v>
      </c>
      <c r="AR283" s="31">
        <f t="shared" si="125"/>
        <v>0</v>
      </c>
      <c r="AS283" s="31">
        <f t="shared" si="126"/>
        <v>0</v>
      </c>
      <c r="AT283" s="31">
        <f t="shared" si="139"/>
        <v>0</v>
      </c>
      <c r="AU283" s="31">
        <f t="shared" si="127"/>
        <v>0</v>
      </c>
      <c r="AV283" s="31">
        <f t="shared" si="128"/>
        <v>0</v>
      </c>
      <c r="AW283" s="31">
        <f t="shared" si="129"/>
        <v>0</v>
      </c>
      <c r="AX283" s="31">
        <f t="shared" si="130"/>
        <v>0</v>
      </c>
      <c r="AY283" s="31">
        <f t="shared" si="131"/>
        <v>0</v>
      </c>
      <c r="AZ283" s="31">
        <f t="shared" si="132"/>
        <v>0</v>
      </c>
      <c r="BA283" s="31">
        <f t="shared" si="133"/>
        <v>0</v>
      </c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41"/>
      <c r="BM283" s="41"/>
      <c r="BN283" s="41"/>
      <c r="BO283" s="37"/>
      <c r="BP283" s="38"/>
      <c r="BQ283" s="37"/>
      <c r="BR283" s="40"/>
      <c r="BS283" s="39"/>
      <c r="BT283" s="39"/>
      <c r="BU283" s="39"/>
      <c r="BV283" s="39"/>
      <c r="BW283" s="39"/>
      <c r="BX283" s="36"/>
      <c r="BY283" s="33"/>
      <c r="BZ283" s="33"/>
      <c r="CA283" s="33"/>
      <c r="CB283" s="34"/>
      <c r="CC283" s="33"/>
      <c r="CD283" s="35"/>
      <c r="CE283" s="48"/>
      <c r="CF283" s="48"/>
      <c r="CG283" s="48"/>
      <c r="CH283" s="48"/>
      <c r="CI283" s="48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35"/>
      <c r="CW283" s="35"/>
      <c r="CX283" s="35"/>
      <c r="CY283" s="35"/>
      <c r="CZ283" s="35"/>
      <c r="DA283" s="35"/>
      <c r="DB283" s="35"/>
      <c r="DC283" s="35"/>
      <c r="DD283" s="40"/>
      <c r="DE283" s="40"/>
      <c r="DF283" s="40"/>
      <c r="DG283" s="40"/>
      <c r="DH283" s="40"/>
      <c r="DI283" s="40"/>
      <c r="DJ283" s="40"/>
      <c r="DK283" s="40"/>
      <c r="DL283" s="35"/>
      <c r="DM283" s="35"/>
      <c r="DN283" s="35"/>
      <c r="DO283" s="35"/>
      <c r="DP283" s="35"/>
      <c r="DQ283" s="35"/>
      <c r="DR283" s="35"/>
      <c r="DS283" s="35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40"/>
      <c r="ES283" s="40"/>
      <c r="ET283" s="40"/>
      <c r="EU283" s="40"/>
      <c r="EV283" s="40"/>
      <c r="EW283" s="40"/>
      <c r="EX283" s="40"/>
      <c r="EY283" s="40"/>
      <c r="EZ283" s="35"/>
      <c r="FA283" s="35"/>
      <c r="FB283" s="35"/>
      <c r="FC283" s="35"/>
      <c r="FD283" s="35"/>
      <c r="FE283" s="35"/>
      <c r="FF283" s="35"/>
      <c r="FG283" s="35"/>
    </row>
    <row r="284" spans="1:163">
      <c r="A284" s="62">
        <v>52</v>
      </c>
      <c r="E284" s="63" t="s">
        <v>113</v>
      </c>
      <c r="F284" s="56" t="s">
        <v>55</v>
      </c>
      <c r="G284" s="65" t="s">
        <v>432</v>
      </c>
      <c r="H284" s="66" t="str">
        <f t="shared" si="119"/>
        <v xml:space="preserve"> 343</v>
      </c>
      <c r="I284" s="67" t="s">
        <v>432</v>
      </c>
      <c r="J284" s="68">
        <f t="shared" si="120"/>
        <v>0</v>
      </c>
      <c r="K284" s="63" t="s">
        <v>249</v>
      </c>
      <c r="L284" s="1" t="s">
        <v>46</v>
      </c>
      <c r="O284" s="88" t="s">
        <v>790</v>
      </c>
      <c r="P284" s="89">
        <v>0</v>
      </c>
      <c r="Q284" s="90">
        <f t="shared" si="134"/>
        <v>62500</v>
      </c>
      <c r="R284" s="71">
        <v>62500</v>
      </c>
      <c r="S284" s="72">
        <f t="shared" si="137"/>
        <v>8150</v>
      </c>
      <c r="T284" s="68" t="s">
        <v>791</v>
      </c>
      <c r="U284" s="73">
        <f t="shared" si="138"/>
        <v>54350</v>
      </c>
      <c r="V284" s="73">
        <f>2000+5100+600+200+250</f>
        <v>8150</v>
      </c>
      <c r="W284" s="2">
        <f t="shared" si="121"/>
        <v>62500</v>
      </c>
      <c r="Y284" s="81">
        <f t="shared" si="122"/>
        <v>62500</v>
      </c>
      <c r="Z284" s="96">
        <v>0</v>
      </c>
      <c r="AA284" s="97">
        <f>U284-Z284</f>
        <v>54350</v>
      </c>
      <c r="AB284" s="98" t="e">
        <f>AA284/Z284</f>
        <v>#DIV/0!</v>
      </c>
      <c r="AE284" s="2">
        <v>86000</v>
      </c>
      <c r="AF284" s="28">
        <f t="shared" si="118"/>
        <v>0</v>
      </c>
      <c r="AG284" s="55" t="s">
        <v>125</v>
      </c>
      <c r="AI284" s="20" t="s">
        <v>45</v>
      </c>
      <c r="AJ284" s="2">
        <f t="shared" si="123"/>
        <v>-62500</v>
      </c>
      <c r="AN284" s="29" t="e">
        <f t="shared" si="124"/>
        <v>#DIV/0!</v>
      </c>
      <c r="AP284" s="3" t="s">
        <v>29</v>
      </c>
      <c r="AQ284" s="1" t="s">
        <v>148</v>
      </c>
      <c r="AR284" s="31">
        <f t="shared" si="125"/>
        <v>0</v>
      </c>
      <c r="AS284" s="31">
        <f t="shared" si="126"/>
        <v>0</v>
      </c>
      <c r="AT284" s="31">
        <f t="shared" si="139"/>
        <v>0</v>
      </c>
      <c r="AU284" s="31">
        <f t="shared" si="127"/>
        <v>0</v>
      </c>
      <c r="AV284" s="31">
        <f t="shared" si="128"/>
        <v>0</v>
      </c>
      <c r="AW284" s="31">
        <f t="shared" si="129"/>
        <v>0</v>
      </c>
      <c r="AX284" s="31">
        <f t="shared" si="130"/>
        <v>0</v>
      </c>
      <c r="AY284" s="31">
        <f t="shared" si="131"/>
        <v>0</v>
      </c>
      <c r="AZ284" s="31">
        <f t="shared" si="132"/>
        <v>0</v>
      </c>
      <c r="BA284" s="31">
        <f t="shared" si="133"/>
        <v>0</v>
      </c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41"/>
      <c r="BM284" s="41"/>
      <c r="BN284" s="41"/>
      <c r="BO284" s="37"/>
      <c r="BP284" s="38"/>
      <c r="BQ284" s="37"/>
      <c r="BR284" s="40"/>
      <c r="BS284" s="39"/>
      <c r="BT284" s="39"/>
      <c r="BU284" s="39"/>
      <c r="BV284" s="39"/>
      <c r="BW284" s="39"/>
      <c r="BX284" s="36"/>
      <c r="BY284" s="33"/>
      <c r="BZ284" s="33"/>
      <c r="CA284" s="33"/>
      <c r="CB284" s="34"/>
      <c r="CC284" s="33"/>
      <c r="CD284" s="35"/>
      <c r="CE284" s="48"/>
      <c r="CF284" s="48"/>
      <c r="CG284" s="48"/>
      <c r="CH284" s="48"/>
      <c r="CI284" s="48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35"/>
      <c r="CW284" s="35"/>
      <c r="CX284" s="35"/>
      <c r="CY284" s="35"/>
      <c r="CZ284" s="35"/>
      <c r="DA284" s="35"/>
      <c r="DB284" s="35"/>
      <c r="DC284" s="35"/>
      <c r="DD284" s="40"/>
      <c r="DE284" s="40"/>
      <c r="DF284" s="40"/>
      <c r="DG284" s="40"/>
      <c r="DH284" s="40"/>
      <c r="DI284" s="40"/>
      <c r="DJ284" s="40"/>
      <c r="DK284" s="40"/>
      <c r="DL284" s="35"/>
      <c r="DM284" s="35"/>
      <c r="DN284" s="35"/>
      <c r="DO284" s="35"/>
      <c r="DP284" s="35"/>
      <c r="DQ284" s="35"/>
      <c r="DR284" s="35"/>
      <c r="DS284" s="35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40"/>
      <c r="ES284" s="40"/>
      <c r="ET284" s="40"/>
      <c r="EU284" s="40"/>
      <c r="EV284" s="40"/>
      <c r="EW284" s="40"/>
      <c r="EX284" s="40"/>
      <c r="EY284" s="40"/>
      <c r="EZ284" s="35"/>
      <c r="FA284" s="35"/>
      <c r="FB284" s="35"/>
      <c r="FC284" s="35"/>
      <c r="FD284" s="35"/>
      <c r="FE284" s="35"/>
      <c r="FF284" s="35"/>
      <c r="FG284" s="35"/>
    </row>
    <row r="285" spans="1:163">
      <c r="A285" s="60">
        <v>16</v>
      </c>
      <c r="E285" s="63" t="s">
        <v>211</v>
      </c>
      <c r="F285" s="56" t="s">
        <v>114</v>
      </c>
      <c r="G285" s="65" t="s">
        <v>398</v>
      </c>
      <c r="H285" s="66" t="str">
        <f t="shared" si="119"/>
        <v xml:space="preserve"> 877</v>
      </c>
      <c r="I285" s="67" t="s">
        <v>398</v>
      </c>
      <c r="J285" s="68">
        <f t="shared" si="120"/>
        <v>0</v>
      </c>
      <c r="K285" s="63" t="s">
        <v>249</v>
      </c>
      <c r="L285" s="1" t="s">
        <v>46</v>
      </c>
      <c r="O285" s="88" t="s">
        <v>790</v>
      </c>
      <c r="P285" s="89">
        <v>0</v>
      </c>
      <c r="Q285" s="90">
        <f t="shared" si="134"/>
        <v>67000</v>
      </c>
      <c r="R285" s="71">
        <v>67000</v>
      </c>
      <c r="S285" s="72">
        <f t="shared" si="137"/>
        <v>8150</v>
      </c>
      <c r="T285" s="68" t="s">
        <v>791</v>
      </c>
      <c r="U285" s="73">
        <f t="shared" si="138"/>
        <v>58850</v>
      </c>
      <c r="V285" s="73">
        <f>2000+5100+600+200+250</f>
        <v>8150</v>
      </c>
      <c r="W285" s="2">
        <f t="shared" si="121"/>
        <v>67000</v>
      </c>
      <c r="Y285" s="81">
        <f t="shared" si="122"/>
        <v>67000</v>
      </c>
      <c r="Z285" s="96">
        <v>0</v>
      </c>
      <c r="AA285" s="97">
        <f>U285-Z285</f>
        <v>58850</v>
      </c>
      <c r="AB285" s="98" t="e">
        <f>AA285/Z285</f>
        <v>#DIV/0!</v>
      </c>
      <c r="AC285" s="2">
        <v>4000</v>
      </c>
      <c r="AD285" s="2">
        <f>Z285+AC285</f>
        <v>4000</v>
      </c>
      <c r="AF285" s="28">
        <f t="shared" si="118"/>
        <v>4000</v>
      </c>
      <c r="AG285" s="55" t="s">
        <v>125</v>
      </c>
      <c r="AI285" s="20" t="s">
        <v>206</v>
      </c>
      <c r="AJ285" s="2">
        <f t="shared" si="123"/>
        <v>-63000</v>
      </c>
      <c r="AN285" s="29">
        <f t="shared" si="124"/>
        <v>-15.75</v>
      </c>
      <c r="AO285" s="29" t="e">
        <f>AN285-AB285</f>
        <v>#DIV/0!</v>
      </c>
      <c r="AP285" s="3" t="s">
        <v>29</v>
      </c>
      <c r="AQ285" s="1" t="s">
        <v>154</v>
      </c>
      <c r="AR285" s="31">
        <f t="shared" si="125"/>
        <v>0</v>
      </c>
      <c r="AS285" s="31">
        <f t="shared" si="126"/>
        <v>0</v>
      </c>
      <c r="AT285" s="31">
        <f t="shared" si="139"/>
        <v>0</v>
      </c>
      <c r="AU285" s="31">
        <f t="shared" si="127"/>
        <v>0</v>
      </c>
      <c r="AV285" s="31">
        <f t="shared" si="128"/>
        <v>0</v>
      </c>
      <c r="AW285" s="31">
        <f t="shared" si="129"/>
        <v>0</v>
      </c>
      <c r="AX285" s="31">
        <f t="shared" si="130"/>
        <v>0</v>
      </c>
      <c r="AY285" s="31">
        <f t="shared" si="131"/>
        <v>0</v>
      </c>
      <c r="AZ285" s="31">
        <f t="shared" si="132"/>
        <v>0</v>
      </c>
      <c r="BA285" s="31">
        <f t="shared" si="133"/>
        <v>0</v>
      </c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41"/>
      <c r="BM285" s="41"/>
      <c r="BN285" s="41"/>
      <c r="BO285" s="37"/>
      <c r="BP285" s="38"/>
      <c r="BQ285" s="37"/>
      <c r="BR285" s="40"/>
      <c r="BS285" s="39"/>
      <c r="BT285" s="39"/>
      <c r="BU285" s="39"/>
      <c r="BV285" s="39"/>
      <c r="BW285" s="39"/>
      <c r="BX285" s="36"/>
      <c r="BY285" s="33"/>
      <c r="BZ285" s="33"/>
      <c r="CA285" s="33"/>
      <c r="CB285" s="34"/>
      <c r="CC285" s="33"/>
      <c r="CD285" s="35"/>
      <c r="CE285" s="48"/>
      <c r="CF285" s="48"/>
      <c r="CG285" s="48"/>
      <c r="CH285" s="48"/>
      <c r="CI285" s="48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35"/>
      <c r="CW285" s="35"/>
      <c r="CX285" s="35"/>
      <c r="CY285" s="35"/>
      <c r="CZ285" s="35"/>
      <c r="DA285" s="35"/>
      <c r="DB285" s="35"/>
      <c r="DC285" s="35"/>
      <c r="DD285" s="40"/>
      <c r="DE285" s="40"/>
      <c r="DF285" s="40"/>
      <c r="DG285" s="40"/>
      <c r="DH285" s="40"/>
      <c r="DI285" s="40"/>
      <c r="DJ285" s="40"/>
      <c r="DK285" s="40"/>
      <c r="DL285" s="35"/>
      <c r="DM285" s="35"/>
      <c r="DN285" s="35"/>
      <c r="DO285" s="35"/>
      <c r="DP285" s="35"/>
      <c r="DQ285" s="35"/>
      <c r="DR285" s="35"/>
      <c r="DS285" s="35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40"/>
      <c r="ES285" s="40"/>
      <c r="ET285" s="40"/>
      <c r="EU285" s="40"/>
      <c r="EV285" s="40"/>
      <c r="EW285" s="40"/>
      <c r="EX285" s="40"/>
      <c r="EY285" s="40"/>
      <c r="EZ285" s="35"/>
      <c r="FA285" s="35"/>
      <c r="FB285" s="35"/>
      <c r="FC285" s="35"/>
      <c r="FD285" s="35"/>
      <c r="FE285" s="35"/>
      <c r="FF285" s="35"/>
      <c r="FG285" s="35"/>
    </row>
    <row r="286" spans="1:163">
      <c r="A286" s="62">
        <v>235</v>
      </c>
      <c r="E286" s="63" t="s">
        <v>219</v>
      </c>
      <c r="F286" s="56" t="s">
        <v>92</v>
      </c>
      <c r="G286" s="65" t="s">
        <v>611</v>
      </c>
      <c r="H286" s="66" t="str">
        <f t="shared" si="119"/>
        <v xml:space="preserve"> 316</v>
      </c>
      <c r="I286" s="67" t="s">
        <v>611</v>
      </c>
      <c r="J286" s="68">
        <f t="shared" si="120"/>
        <v>0</v>
      </c>
      <c r="K286" s="63" t="s">
        <v>334</v>
      </c>
      <c r="L286" s="1" t="s">
        <v>46</v>
      </c>
      <c r="O286" s="64" t="s">
        <v>789</v>
      </c>
      <c r="P286" s="82">
        <v>0</v>
      </c>
      <c r="Q286" s="74">
        <f t="shared" si="134"/>
        <v>88000</v>
      </c>
      <c r="R286" s="71">
        <v>88000</v>
      </c>
      <c r="S286" s="72">
        <f t="shared" si="137"/>
        <v>9350</v>
      </c>
      <c r="T286" s="68" t="s">
        <v>791</v>
      </c>
      <c r="U286" s="73">
        <f t="shared" si="138"/>
        <v>78650</v>
      </c>
      <c r="V286" s="75">
        <f>2000+5500+600+200+250+800</f>
        <v>9350</v>
      </c>
      <c r="W286" s="2">
        <f t="shared" si="121"/>
        <v>88000</v>
      </c>
      <c r="Y286" s="80">
        <f t="shared" si="122"/>
        <v>88000</v>
      </c>
      <c r="Z286" s="93"/>
      <c r="AA286" s="93"/>
      <c r="AB286" s="94"/>
      <c r="AC286" s="2">
        <v>3000</v>
      </c>
      <c r="AD286" s="2">
        <f>Z286+AC286</f>
        <v>3000</v>
      </c>
      <c r="AF286" s="28">
        <f t="shared" si="118"/>
        <v>0</v>
      </c>
      <c r="AG286" s="55" t="s">
        <v>125</v>
      </c>
      <c r="AI286" s="20" t="s">
        <v>45</v>
      </c>
      <c r="AJ286" s="2">
        <f t="shared" si="123"/>
        <v>-88000</v>
      </c>
      <c r="AN286" s="29" t="e">
        <f t="shared" si="124"/>
        <v>#DIV/0!</v>
      </c>
      <c r="AO286" s="29" t="e">
        <f>AN286-AB286</f>
        <v>#DIV/0!</v>
      </c>
      <c r="AP286" s="3" t="s">
        <v>29</v>
      </c>
      <c r="AQ286" s="1" t="s">
        <v>190</v>
      </c>
      <c r="AR286" s="31">
        <f t="shared" si="125"/>
        <v>0</v>
      </c>
      <c r="AS286" s="31">
        <f t="shared" si="126"/>
        <v>0</v>
      </c>
      <c r="AT286" s="31">
        <f t="shared" si="139"/>
        <v>0</v>
      </c>
      <c r="AU286" s="31">
        <f t="shared" si="127"/>
        <v>0</v>
      </c>
      <c r="AV286" s="31">
        <f t="shared" si="128"/>
        <v>0</v>
      </c>
      <c r="AW286" s="31">
        <f t="shared" si="129"/>
        <v>0</v>
      </c>
      <c r="AX286" s="31">
        <f t="shared" si="130"/>
        <v>0</v>
      </c>
      <c r="AY286" s="31">
        <f t="shared" si="131"/>
        <v>0</v>
      </c>
      <c r="AZ286" s="31">
        <f t="shared" si="132"/>
        <v>0</v>
      </c>
      <c r="BA286" s="31">
        <f t="shared" si="133"/>
        <v>0</v>
      </c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35"/>
      <c r="CW286" s="35"/>
      <c r="CX286" s="35"/>
      <c r="CY286" s="35"/>
      <c r="CZ286" s="35"/>
      <c r="DA286" s="35"/>
      <c r="DB286" s="35"/>
      <c r="DC286" s="35"/>
      <c r="DD286" s="40"/>
      <c r="DE286" s="40"/>
      <c r="DF286" s="40"/>
      <c r="DG286" s="40"/>
      <c r="DH286" s="40"/>
      <c r="DI286" s="40"/>
      <c r="DJ286" s="40"/>
      <c r="DK286" s="40"/>
      <c r="DL286" s="35"/>
      <c r="DM286" s="35"/>
      <c r="DN286" s="35"/>
      <c r="DO286" s="35"/>
      <c r="DP286" s="35"/>
      <c r="DQ286" s="35"/>
      <c r="DR286" s="35"/>
      <c r="DS286" s="35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40"/>
      <c r="ES286" s="40"/>
      <c r="ET286" s="40"/>
      <c r="EU286" s="40"/>
      <c r="EV286" s="40"/>
      <c r="EW286" s="40"/>
      <c r="EX286" s="40"/>
      <c r="EY286" s="40"/>
      <c r="EZ286" s="35"/>
      <c r="FA286" s="35"/>
      <c r="FB286" s="35"/>
      <c r="FC286" s="35"/>
      <c r="FD286" s="35"/>
      <c r="FE286" s="35"/>
      <c r="FF286" s="35"/>
      <c r="FG286" s="35"/>
    </row>
    <row r="287" spans="1:163">
      <c r="A287" s="62">
        <v>285</v>
      </c>
      <c r="E287" s="63" t="s">
        <v>218</v>
      </c>
      <c r="F287" s="56" t="s">
        <v>95</v>
      </c>
      <c r="G287" s="65" t="s">
        <v>659</v>
      </c>
      <c r="H287" s="66" t="str">
        <f t="shared" si="119"/>
        <v xml:space="preserve"> 465</v>
      </c>
      <c r="I287" s="67" t="s">
        <v>659</v>
      </c>
      <c r="J287" s="68">
        <f t="shared" si="120"/>
        <v>0</v>
      </c>
      <c r="K287" s="63" t="s">
        <v>334</v>
      </c>
      <c r="L287" s="1" t="s">
        <v>46</v>
      </c>
      <c r="O287" s="64" t="s">
        <v>789</v>
      </c>
      <c r="P287" s="82">
        <v>0</v>
      </c>
      <c r="Q287" s="74">
        <f t="shared" si="134"/>
        <v>85000</v>
      </c>
      <c r="R287" s="71">
        <v>85000</v>
      </c>
      <c r="S287" s="72">
        <f t="shared" si="137"/>
        <v>9050</v>
      </c>
      <c r="T287" s="68" t="s">
        <v>791</v>
      </c>
      <c r="U287" s="73">
        <f t="shared" si="138"/>
        <v>75950</v>
      </c>
      <c r="V287" s="75">
        <f>2000+5500+600+200+250+500</f>
        <v>9050</v>
      </c>
      <c r="W287" s="2">
        <f t="shared" si="121"/>
        <v>85000</v>
      </c>
      <c r="Y287" s="80">
        <f t="shared" si="122"/>
        <v>85000</v>
      </c>
      <c r="Z287" s="93"/>
      <c r="AA287" s="93"/>
      <c r="AB287" s="94"/>
      <c r="AE287" s="2">
        <v>134000</v>
      </c>
      <c r="AF287" s="28">
        <f t="shared" si="118"/>
        <v>134000</v>
      </c>
      <c r="AG287" s="55" t="s">
        <v>125</v>
      </c>
      <c r="AI287" s="20" t="s">
        <v>45</v>
      </c>
      <c r="AJ287" s="2">
        <f t="shared" si="123"/>
        <v>49000</v>
      </c>
      <c r="AN287" s="29">
        <f t="shared" si="124"/>
        <v>0.36567164179104478</v>
      </c>
      <c r="AP287" s="3" t="s">
        <v>29</v>
      </c>
      <c r="AQ287" s="1" t="s">
        <v>190</v>
      </c>
      <c r="AR287" s="31">
        <f t="shared" si="125"/>
        <v>0</v>
      </c>
      <c r="AS287" s="31">
        <f t="shared" si="126"/>
        <v>0</v>
      </c>
      <c r="AT287" s="31">
        <f t="shared" si="139"/>
        <v>0</v>
      </c>
      <c r="AU287" s="31">
        <f t="shared" si="127"/>
        <v>0</v>
      </c>
      <c r="AV287" s="31">
        <f t="shared" si="128"/>
        <v>0</v>
      </c>
      <c r="AW287" s="31">
        <f t="shared" si="129"/>
        <v>0</v>
      </c>
      <c r="AX287" s="31">
        <f t="shared" si="130"/>
        <v>0</v>
      </c>
      <c r="AY287" s="31">
        <f t="shared" si="131"/>
        <v>0</v>
      </c>
      <c r="AZ287" s="31">
        <f t="shared" si="132"/>
        <v>0</v>
      </c>
      <c r="BA287" s="31">
        <f t="shared" si="133"/>
        <v>0</v>
      </c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35"/>
      <c r="CW287" s="35"/>
      <c r="CX287" s="35"/>
      <c r="CY287" s="35"/>
      <c r="CZ287" s="35"/>
      <c r="DA287" s="35"/>
      <c r="DB287" s="35"/>
      <c r="DC287" s="35"/>
      <c r="DD287" s="40"/>
      <c r="DE287" s="40"/>
      <c r="DF287" s="40"/>
      <c r="DG287" s="40"/>
      <c r="DH287" s="40"/>
      <c r="DI287" s="40"/>
      <c r="DJ287" s="40"/>
      <c r="DK287" s="40"/>
      <c r="DL287" s="35"/>
      <c r="DM287" s="35"/>
      <c r="DN287" s="35"/>
      <c r="DO287" s="35"/>
      <c r="DP287" s="35"/>
      <c r="DQ287" s="35"/>
      <c r="DR287" s="35"/>
      <c r="DS287" s="35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40"/>
      <c r="ES287" s="40"/>
      <c r="ET287" s="40"/>
      <c r="EU287" s="40"/>
      <c r="EV287" s="40"/>
      <c r="EW287" s="40"/>
      <c r="EX287" s="40"/>
      <c r="EY287" s="40"/>
      <c r="EZ287" s="35"/>
      <c r="FA287" s="35"/>
      <c r="FB287" s="35"/>
      <c r="FC287" s="35"/>
      <c r="FD287" s="35"/>
      <c r="FE287" s="35"/>
      <c r="FF287" s="35"/>
      <c r="FG287" s="35"/>
    </row>
    <row r="288" spans="1:163">
      <c r="A288" s="62">
        <v>350</v>
      </c>
      <c r="E288" s="63" t="s">
        <v>219</v>
      </c>
      <c r="F288" s="56" t="s">
        <v>85</v>
      </c>
      <c r="G288" s="70" t="s">
        <v>720</v>
      </c>
      <c r="H288" s="66" t="str">
        <f t="shared" si="119"/>
        <v xml:space="preserve"> 986</v>
      </c>
      <c r="I288" s="67" t="s">
        <v>720</v>
      </c>
      <c r="J288" s="68">
        <f t="shared" si="120"/>
        <v>0</v>
      </c>
      <c r="K288" s="63" t="s">
        <v>367</v>
      </c>
      <c r="L288" s="1" t="s">
        <v>46</v>
      </c>
      <c r="O288" s="64" t="s">
        <v>789</v>
      </c>
      <c r="P288" s="82">
        <v>0</v>
      </c>
      <c r="Q288" s="74">
        <f t="shared" si="134"/>
        <v>71500</v>
      </c>
      <c r="R288" s="71">
        <v>71500</v>
      </c>
      <c r="S288" s="72">
        <f t="shared" si="137"/>
        <v>9250</v>
      </c>
      <c r="T288" s="68" t="s">
        <v>791</v>
      </c>
      <c r="U288" s="73">
        <f t="shared" si="138"/>
        <v>62250</v>
      </c>
      <c r="V288" s="75">
        <f>2000+5200+600+200+250+1000</f>
        <v>9250</v>
      </c>
      <c r="W288" s="2">
        <f t="shared" si="121"/>
        <v>71500</v>
      </c>
      <c r="Y288" s="80">
        <f t="shared" si="122"/>
        <v>71500</v>
      </c>
      <c r="Z288" s="93"/>
      <c r="AA288" s="93"/>
      <c r="AB288" s="94"/>
      <c r="AC288" s="2">
        <v>4000</v>
      </c>
      <c r="AD288" s="2">
        <f>Z288+AC288</f>
        <v>4000</v>
      </c>
      <c r="AF288" s="28">
        <f t="shared" si="118"/>
        <v>0</v>
      </c>
      <c r="AG288" s="55" t="s">
        <v>125</v>
      </c>
      <c r="AI288" s="20" t="s">
        <v>45</v>
      </c>
      <c r="AJ288" s="2">
        <f t="shared" si="123"/>
        <v>-71500</v>
      </c>
      <c r="AN288" s="29" t="e">
        <f t="shared" si="124"/>
        <v>#DIV/0!</v>
      </c>
      <c r="AO288" s="29" t="e">
        <f>AN288-AB288</f>
        <v>#DIV/0!</v>
      </c>
      <c r="AP288" s="3" t="s">
        <v>29</v>
      </c>
      <c r="AQ288" s="1" t="s">
        <v>203</v>
      </c>
      <c r="AR288" s="31">
        <f t="shared" si="125"/>
        <v>0</v>
      </c>
      <c r="AS288" s="31">
        <f t="shared" si="126"/>
        <v>0</v>
      </c>
      <c r="AT288" s="31">
        <f t="shared" si="139"/>
        <v>0</v>
      </c>
      <c r="AU288" s="31">
        <f t="shared" si="127"/>
        <v>0</v>
      </c>
      <c r="AV288" s="31">
        <f t="shared" si="128"/>
        <v>0</v>
      </c>
      <c r="AW288" s="31">
        <f t="shared" si="129"/>
        <v>0</v>
      </c>
      <c r="AX288" s="31">
        <f t="shared" si="130"/>
        <v>0</v>
      </c>
      <c r="AY288" s="31">
        <f t="shared" si="131"/>
        <v>0</v>
      </c>
      <c r="AZ288" s="31">
        <f t="shared" si="132"/>
        <v>0</v>
      </c>
      <c r="BA288" s="31">
        <f t="shared" si="133"/>
        <v>0</v>
      </c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35"/>
      <c r="CW288" s="35"/>
      <c r="CX288" s="35"/>
      <c r="CY288" s="35"/>
      <c r="CZ288" s="35"/>
      <c r="DA288" s="35"/>
      <c r="DB288" s="35"/>
      <c r="DC288" s="35"/>
      <c r="DD288" s="40"/>
      <c r="DE288" s="40"/>
      <c r="DF288" s="40"/>
      <c r="DG288" s="40"/>
      <c r="DH288" s="40"/>
      <c r="DI288" s="40"/>
      <c r="DJ288" s="40"/>
      <c r="DK288" s="40"/>
      <c r="DL288" s="35"/>
      <c r="DM288" s="35"/>
      <c r="DN288" s="35"/>
      <c r="DO288" s="35"/>
      <c r="DP288" s="35"/>
      <c r="DQ288" s="35"/>
      <c r="DR288" s="35"/>
      <c r="DS288" s="35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40"/>
      <c r="ES288" s="40"/>
      <c r="ET288" s="40"/>
      <c r="EU288" s="40"/>
      <c r="EV288" s="40"/>
      <c r="EW288" s="40"/>
      <c r="EX288" s="40"/>
      <c r="EY288" s="40"/>
    </row>
    <row r="289" spans="1:163">
      <c r="A289" s="62">
        <v>384</v>
      </c>
      <c r="E289" s="63" t="s">
        <v>226</v>
      </c>
      <c r="F289" s="56" t="s">
        <v>80</v>
      </c>
      <c r="G289" s="70" t="s">
        <v>752</v>
      </c>
      <c r="H289" s="66" t="str">
        <f t="shared" si="119"/>
        <v xml:space="preserve"> 791</v>
      </c>
      <c r="I289" s="67" t="s">
        <v>752</v>
      </c>
      <c r="J289" s="68">
        <f t="shared" si="120"/>
        <v>0</v>
      </c>
      <c r="K289" s="63" t="s">
        <v>367</v>
      </c>
      <c r="L289" s="1" t="s">
        <v>46</v>
      </c>
      <c r="O289" s="64" t="s">
        <v>789</v>
      </c>
      <c r="P289" s="82">
        <v>0</v>
      </c>
      <c r="Q289" s="74">
        <f t="shared" si="134"/>
        <v>69500</v>
      </c>
      <c r="R289" s="71">
        <v>69500</v>
      </c>
      <c r="S289" s="72">
        <f t="shared" si="137"/>
        <v>9150</v>
      </c>
      <c r="T289" s="68" t="s">
        <v>791</v>
      </c>
      <c r="U289" s="73">
        <f t="shared" si="138"/>
        <v>60350</v>
      </c>
      <c r="V289" s="75">
        <f>2000+5100+600+200+250+1000</f>
        <v>9150</v>
      </c>
      <c r="W289" s="2">
        <f t="shared" si="121"/>
        <v>69500</v>
      </c>
      <c r="Y289" s="80">
        <f t="shared" si="122"/>
        <v>69500</v>
      </c>
      <c r="Z289" s="93"/>
      <c r="AA289" s="93"/>
      <c r="AB289" s="94"/>
      <c r="AE289" s="2">
        <v>80000</v>
      </c>
      <c r="AF289" s="28">
        <f t="shared" si="118"/>
        <v>80000</v>
      </c>
      <c r="AG289" s="55" t="s">
        <v>125</v>
      </c>
      <c r="AI289" s="20" t="s">
        <v>204</v>
      </c>
      <c r="AJ289" s="2">
        <f t="shared" si="123"/>
        <v>10500</v>
      </c>
      <c r="AK289" s="2">
        <f>AVERAGE(AF289,AF288,AF287,AF286,AF285,AF284,AF283,AF282,AF281,AF280,AF279,AF278)</f>
        <v>68666.666666666672</v>
      </c>
      <c r="AL289" s="2">
        <f>MIN(AF289,AF288,AF287,AF286,AF285,AF284,AF283,AF282,AF281,AF280,AF279,AF278)</f>
        <v>0</v>
      </c>
      <c r="AM289" s="2">
        <f>MAX(AF289,AF288,AF287,AF286,AF285,AF284,AF283,AF282,AF281,AF280,AF279,AF278)</f>
        <v>134000</v>
      </c>
      <c r="AN289" s="29">
        <f t="shared" si="124"/>
        <v>0.13125000000000001</v>
      </c>
      <c r="AP289" s="3" t="s">
        <v>140</v>
      </c>
      <c r="AQ289" s="1" t="s">
        <v>202</v>
      </c>
      <c r="AR289" s="31">
        <f t="shared" si="125"/>
        <v>0</v>
      </c>
      <c r="AS289" s="31">
        <f t="shared" si="126"/>
        <v>0</v>
      </c>
      <c r="AT289" s="31">
        <f t="shared" si="139"/>
        <v>0</v>
      </c>
      <c r="AU289" s="31">
        <f t="shared" si="127"/>
        <v>0</v>
      </c>
      <c r="AV289" s="31">
        <f t="shared" si="128"/>
        <v>8369</v>
      </c>
      <c r="AW289" s="31">
        <f t="shared" si="129"/>
        <v>0</v>
      </c>
      <c r="AX289" s="31">
        <f t="shared" si="130"/>
        <v>0</v>
      </c>
      <c r="AY289" s="31">
        <f t="shared" si="131"/>
        <v>0</v>
      </c>
      <c r="AZ289" s="31">
        <f t="shared" si="132"/>
        <v>0</v>
      </c>
      <c r="BA289" s="31">
        <f t="shared" si="133"/>
        <v>0</v>
      </c>
      <c r="BB289" s="32">
        <f>IF(BU289&lt;&gt;"", AK289-BU289, 0)</f>
        <v>0</v>
      </c>
      <c r="BC289" s="32">
        <f>IF(DA289&lt;&gt;"", AK289-DA289, 0)</f>
        <v>-7248.3333333333285</v>
      </c>
      <c r="BD289" s="32">
        <f>IF(CG289&lt;&gt;"", AK289-CG289, )</f>
        <v>0</v>
      </c>
      <c r="BE289" s="32">
        <f>IF(DI289&lt;&gt;"", AK289-DI289, 0)</f>
        <v>-1717.3333333333285</v>
      </c>
      <c r="BF289" s="32">
        <f>IF(CQ289&lt;&gt;"",AK289-CQ289, 0)</f>
        <v>-4601.3333333333285</v>
      </c>
      <c r="BG289" s="32">
        <f>IF(DQ289&lt;&gt;"", AK289-DQ289, 0)</f>
        <v>1881.6666666666715</v>
      </c>
      <c r="BH289" s="32">
        <f>IF(EC289&lt;&gt;"", AK289-EA289, 0)</f>
        <v>-77.333333333328483</v>
      </c>
      <c r="BI289" s="32">
        <f>IF(EM289&lt;&gt;"", AK289-EM289, 0)</f>
        <v>-1262.3333333333285</v>
      </c>
      <c r="BJ289" s="32">
        <f>IF(EW289&lt;&gt;"", AK289-EW289, 0)</f>
        <v>-16333.333333333328</v>
      </c>
      <c r="BK289" s="32">
        <f>IF(FE289&lt;&gt;"", AK289-FE289, 0)</f>
        <v>0</v>
      </c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41">
        <v>69131</v>
      </c>
      <c r="CK289" s="41">
        <v>2500</v>
      </c>
      <c r="CL289" s="37">
        <f>CJ289+CK289</f>
        <v>71631</v>
      </c>
      <c r="CM289" s="37">
        <f>CL289-Y289</f>
        <v>2131</v>
      </c>
      <c r="CN289" s="38">
        <f>CM289/CJ289</f>
        <v>3.0825534130853018E-2</v>
      </c>
      <c r="CO289" s="37">
        <f>AF289-CL289</f>
        <v>8369</v>
      </c>
      <c r="CP289" s="40" t="s">
        <v>29</v>
      </c>
      <c r="CQ289" s="41">
        <f>CS289+CR289</f>
        <v>73268</v>
      </c>
      <c r="CR289" s="41">
        <v>2500</v>
      </c>
      <c r="CS289" s="41">
        <v>70768</v>
      </c>
      <c r="CT289" s="41">
        <v>80550</v>
      </c>
      <c r="CU289" s="41">
        <v>65700</v>
      </c>
      <c r="CV289" s="35"/>
      <c r="CW289" s="35"/>
      <c r="CX289" s="35"/>
      <c r="CY289" s="35"/>
      <c r="CZ289" s="35"/>
      <c r="DA289" s="36">
        <v>75915</v>
      </c>
      <c r="DB289" s="36">
        <v>80190</v>
      </c>
      <c r="DC289" s="36">
        <v>74520</v>
      </c>
      <c r="DD289" s="39"/>
      <c r="DE289" s="39"/>
      <c r="DF289" s="39"/>
      <c r="DG289" s="39"/>
      <c r="DH289" s="39"/>
      <c r="DI289" s="41">
        <v>70384</v>
      </c>
      <c r="DJ289" s="41">
        <v>74520</v>
      </c>
      <c r="DK289" s="41">
        <v>59346</v>
      </c>
      <c r="DL289" s="43"/>
      <c r="DM289" s="43"/>
      <c r="DN289" s="43"/>
      <c r="DO289" s="43"/>
      <c r="DP289" s="43"/>
      <c r="DQ289" s="33">
        <v>66785</v>
      </c>
      <c r="DR289" s="33">
        <v>72450</v>
      </c>
      <c r="DS289" s="33">
        <v>55650</v>
      </c>
      <c r="DT289" s="42"/>
      <c r="DU289" s="37"/>
      <c r="DV289" s="40"/>
      <c r="DW289" s="40"/>
      <c r="DX289" s="40"/>
      <c r="DY289" s="40"/>
      <c r="DZ289" s="40"/>
      <c r="EA289" s="50">
        <f>EC289+EB289</f>
        <v>68744</v>
      </c>
      <c r="EB289" s="40">
        <v>2500</v>
      </c>
      <c r="EC289" s="41">
        <v>66244</v>
      </c>
      <c r="ED289" s="41">
        <v>69825</v>
      </c>
      <c r="EE289" s="41">
        <v>58747</v>
      </c>
      <c r="EF289" s="43"/>
      <c r="EG289" s="43"/>
      <c r="EH289" s="43"/>
      <c r="EI289" s="43"/>
      <c r="EJ289" s="43"/>
      <c r="EK289" s="43"/>
      <c r="EL289" s="43"/>
      <c r="EM289" s="49">
        <f>EO289+EN289</f>
        <v>69929</v>
      </c>
      <c r="EN289" s="36">
        <v>2500</v>
      </c>
      <c r="EO289" s="33">
        <v>67429</v>
      </c>
      <c r="EP289" s="33">
        <v>86625</v>
      </c>
      <c r="EQ289" s="33">
        <v>55860</v>
      </c>
      <c r="ER289" s="40"/>
      <c r="ES289" s="40"/>
      <c r="ET289" s="40"/>
      <c r="EU289" s="40"/>
      <c r="EV289" s="40"/>
      <c r="EW289" s="41">
        <v>85000</v>
      </c>
      <c r="EX289" s="41">
        <v>85000</v>
      </c>
      <c r="EY289" s="41">
        <v>85000</v>
      </c>
      <c r="EZ289" s="35"/>
      <c r="FA289" s="35"/>
      <c r="FB289" s="35"/>
      <c r="FC289" s="35"/>
      <c r="FD289" s="35"/>
      <c r="FE289" s="35"/>
      <c r="FF289" s="35"/>
      <c r="FG289" s="35"/>
    </row>
    <row r="290" spans="1:163">
      <c r="A290" s="62">
        <v>357</v>
      </c>
      <c r="E290" s="63" t="s">
        <v>226</v>
      </c>
      <c r="F290" s="56" t="s">
        <v>85</v>
      </c>
      <c r="G290" s="70" t="s">
        <v>726</v>
      </c>
      <c r="H290" s="66" t="str">
        <f t="shared" si="119"/>
        <v xml:space="preserve"> 129</v>
      </c>
      <c r="I290" s="67" t="s">
        <v>726</v>
      </c>
      <c r="J290" s="68">
        <f t="shared" si="120"/>
        <v>0</v>
      </c>
      <c r="K290" s="63" t="s">
        <v>367</v>
      </c>
      <c r="L290" s="1" t="s">
        <v>46</v>
      </c>
      <c r="O290" s="88" t="s">
        <v>790</v>
      </c>
      <c r="P290" s="89">
        <v>0</v>
      </c>
      <c r="Q290" s="90">
        <f t="shared" si="134"/>
        <v>69500</v>
      </c>
      <c r="R290" s="71">
        <v>69500</v>
      </c>
      <c r="S290" s="72">
        <f t="shared" si="137"/>
        <v>8750</v>
      </c>
      <c r="T290" s="68" t="s">
        <v>791</v>
      </c>
      <c r="U290" s="73">
        <f t="shared" si="138"/>
        <v>60750</v>
      </c>
      <c r="V290" s="73">
        <f>2000+5200+600+200+250+500</f>
        <v>8750</v>
      </c>
      <c r="W290" s="2">
        <f t="shared" si="121"/>
        <v>69500</v>
      </c>
      <c r="Y290" s="81">
        <f t="shared" si="122"/>
        <v>69500</v>
      </c>
      <c r="Z290" s="96">
        <v>0</v>
      </c>
      <c r="AA290" s="97">
        <f>U290-Z290</f>
        <v>60750</v>
      </c>
      <c r="AB290" s="98" t="e">
        <f>AA290/Z290</f>
        <v>#DIV/0!</v>
      </c>
      <c r="AE290" s="2">
        <v>99000</v>
      </c>
      <c r="AF290" s="28">
        <f t="shared" si="118"/>
        <v>0</v>
      </c>
      <c r="AG290" s="55" t="s">
        <v>125</v>
      </c>
      <c r="AI290" s="20" t="s">
        <v>45</v>
      </c>
      <c r="AJ290" s="2">
        <f t="shared" si="123"/>
        <v>-69500</v>
      </c>
      <c r="AN290" s="29" t="e">
        <f t="shared" si="124"/>
        <v>#DIV/0!</v>
      </c>
      <c r="AP290" s="3" t="s">
        <v>29</v>
      </c>
      <c r="AQ290" s="1" t="s">
        <v>203</v>
      </c>
      <c r="AR290" s="31">
        <f t="shared" si="125"/>
        <v>0</v>
      </c>
      <c r="AS290" s="31">
        <f t="shared" si="126"/>
        <v>0</v>
      </c>
      <c r="AT290" s="31">
        <f t="shared" si="139"/>
        <v>0</v>
      </c>
      <c r="AU290" s="31">
        <f t="shared" si="127"/>
        <v>0</v>
      </c>
      <c r="AV290" s="31">
        <f t="shared" si="128"/>
        <v>0</v>
      </c>
      <c r="AW290" s="31">
        <f t="shared" si="129"/>
        <v>0</v>
      </c>
      <c r="AX290" s="31">
        <f t="shared" si="130"/>
        <v>0</v>
      </c>
      <c r="AY290" s="31">
        <f t="shared" si="131"/>
        <v>0</v>
      </c>
      <c r="AZ290" s="31">
        <f t="shared" si="132"/>
        <v>0</v>
      </c>
      <c r="BA290" s="31">
        <f t="shared" si="133"/>
        <v>0</v>
      </c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35"/>
      <c r="CW290" s="35"/>
      <c r="CX290" s="35"/>
      <c r="CY290" s="35"/>
      <c r="CZ290" s="35"/>
      <c r="DA290" s="35"/>
      <c r="DB290" s="35"/>
      <c r="DC290" s="35"/>
      <c r="DD290" s="40"/>
      <c r="DE290" s="40"/>
      <c r="DF290" s="40"/>
      <c r="DG290" s="40"/>
      <c r="DH290" s="40"/>
      <c r="DI290" s="40"/>
      <c r="DJ290" s="40"/>
      <c r="DK290" s="40"/>
      <c r="DL290" s="35"/>
      <c r="DM290" s="35"/>
      <c r="DN290" s="35"/>
      <c r="DO290" s="35"/>
      <c r="DP290" s="35"/>
      <c r="DQ290" s="35"/>
      <c r="DR290" s="35"/>
      <c r="DS290" s="35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40"/>
      <c r="ES290" s="40"/>
      <c r="ET290" s="40"/>
      <c r="EU290" s="40"/>
      <c r="EV290" s="40"/>
      <c r="EW290" s="40"/>
      <c r="EX290" s="40"/>
      <c r="EY290" s="40"/>
    </row>
    <row r="291" spans="1:163">
      <c r="A291" s="62">
        <v>193</v>
      </c>
      <c r="E291" s="63" t="s">
        <v>216</v>
      </c>
      <c r="F291" s="56" t="s">
        <v>65</v>
      </c>
      <c r="G291" s="70" t="s">
        <v>573</v>
      </c>
      <c r="H291" s="66" t="str">
        <f t="shared" si="119"/>
        <v xml:space="preserve"> 840</v>
      </c>
      <c r="I291" s="67" t="s">
        <v>573</v>
      </c>
      <c r="J291" s="68">
        <f t="shared" si="120"/>
        <v>0</v>
      </c>
      <c r="K291" s="63" t="s">
        <v>315</v>
      </c>
      <c r="L291" s="1" t="s">
        <v>46</v>
      </c>
      <c r="O291" s="64" t="s">
        <v>789</v>
      </c>
      <c r="P291" s="82">
        <v>0</v>
      </c>
      <c r="Q291" s="74">
        <f t="shared" si="134"/>
        <v>105000</v>
      </c>
      <c r="R291" s="71">
        <v>105000</v>
      </c>
      <c r="S291" s="72">
        <f t="shared" si="137"/>
        <v>8150</v>
      </c>
      <c r="T291" s="68" t="s">
        <v>791</v>
      </c>
      <c r="U291" s="73">
        <f t="shared" si="138"/>
        <v>96850</v>
      </c>
      <c r="V291" s="73">
        <f>2000+5100+600+200+250</f>
        <v>8150</v>
      </c>
      <c r="W291" s="2">
        <f t="shared" si="121"/>
        <v>105000</v>
      </c>
      <c r="Y291" s="80">
        <f t="shared" si="122"/>
        <v>105000</v>
      </c>
      <c r="Z291" s="93"/>
      <c r="AA291" s="93"/>
      <c r="AB291" s="94"/>
      <c r="AE291" s="2">
        <v>149000</v>
      </c>
      <c r="AF291" s="28">
        <f t="shared" si="118"/>
        <v>149000</v>
      </c>
      <c r="AJ291" s="2">
        <f t="shared" si="123"/>
        <v>44000</v>
      </c>
      <c r="AN291" s="29">
        <f t="shared" si="124"/>
        <v>0.29530201342281881</v>
      </c>
      <c r="AP291" s="3" t="s">
        <v>158</v>
      </c>
      <c r="AR291" s="31">
        <f t="shared" si="125"/>
        <v>0</v>
      </c>
      <c r="AS291" s="31">
        <f t="shared" si="126"/>
        <v>0</v>
      </c>
      <c r="AT291" s="31">
        <f>IF(BX291&lt;&gt;"", AF291-BX291, 0)</f>
        <v>0</v>
      </c>
      <c r="AU291" s="31">
        <f t="shared" si="127"/>
        <v>0</v>
      </c>
      <c r="AV291" s="31">
        <f t="shared" si="128"/>
        <v>0</v>
      </c>
      <c r="AW291" s="31">
        <f t="shared" si="129"/>
        <v>0</v>
      </c>
      <c r="AX291" s="31">
        <f t="shared" si="130"/>
        <v>0</v>
      </c>
      <c r="AY291" s="31">
        <f t="shared" si="131"/>
        <v>0</v>
      </c>
      <c r="AZ291" s="31">
        <f t="shared" si="132"/>
        <v>0</v>
      </c>
      <c r="BA291" s="31">
        <f t="shared" si="133"/>
        <v>0</v>
      </c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41"/>
      <c r="BM291" s="41"/>
      <c r="BN291" s="41"/>
      <c r="BO291" s="37"/>
      <c r="BP291" s="38"/>
      <c r="BQ291" s="37"/>
      <c r="BR291" s="40"/>
      <c r="BS291" s="39"/>
      <c r="BT291" s="39"/>
      <c r="BU291" s="39"/>
      <c r="BV291" s="39"/>
      <c r="BW291" s="39"/>
      <c r="BX291" s="36"/>
      <c r="BY291" s="33"/>
      <c r="BZ291" s="33"/>
      <c r="CA291" s="33"/>
      <c r="CB291" s="34"/>
      <c r="CC291" s="33"/>
      <c r="CD291" s="35"/>
      <c r="CE291" s="48"/>
      <c r="CF291" s="48"/>
      <c r="CG291" s="48"/>
      <c r="CH291" s="48"/>
      <c r="CI291" s="48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35"/>
      <c r="CW291" s="35"/>
      <c r="CX291" s="35"/>
      <c r="CY291" s="35"/>
      <c r="CZ291" s="35"/>
      <c r="DA291" s="35"/>
      <c r="DB291" s="35"/>
      <c r="DC291" s="35"/>
      <c r="DD291" s="40"/>
      <c r="DE291" s="40"/>
      <c r="DF291" s="40"/>
      <c r="DG291" s="40"/>
      <c r="DH291" s="40"/>
      <c r="DI291" s="40"/>
      <c r="DJ291" s="40"/>
      <c r="DK291" s="40"/>
      <c r="DL291" s="35"/>
      <c r="DM291" s="35"/>
      <c r="DN291" s="35"/>
      <c r="DO291" s="35"/>
      <c r="DP291" s="35"/>
      <c r="DQ291" s="35"/>
      <c r="DR291" s="35"/>
      <c r="DS291" s="35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40"/>
      <c r="ES291" s="40"/>
      <c r="ET291" s="40"/>
      <c r="EU291" s="40"/>
      <c r="EV291" s="40"/>
      <c r="EW291" s="40"/>
      <c r="EX291" s="40"/>
      <c r="EY291" s="40"/>
      <c r="EZ291" s="35"/>
      <c r="FA291" s="35"/>
      <c r="FB291" s="35"/>
      <c r="FC291" s="35"/>
      <c r="FD291" s="35"/>
      <c r="FE291" s="35"/>
      <c r="FF291" s="35"/>
      <c r="FG291" s="35"/>
    </row>
    <row r="292" spans="1:163">
      <c r="A292" s="62">
        <v>195</v>
      </c>
      <c r="E292" s="63" t="s">
        <v>216</v>
      </c>
      <c r="F292" s="56" t="s">
        <v>65</v>
      </c>
      <c r="G292" s="70" t="s">
        <v>575</v>
      </c>
      <c r="H292" s="66" t="str">
        <f t="shared" si="119"/>
        <v xml:space="preserve"> 281</v>
      </c>
      <c r="I292" s="67" t="s">
        <v>575</v>
      </c>
      <c r="J292" s="68">
        <f t="shared" si="120"/>
        <v>0</v>
      </c>
      <c r="K292" s="63" t="s">
        <v>315</v>
      </c>
      <c r="L292" s="1" t="s">
        <v>46</v>
      </c>
      <c r="O292" s="64" t="s">
        <v>789</v>
      </c>
      <c r="P292" s="82">
        <v>0</v>
      </c>
      <c r="Q292" s="74">
        <f t="shared" si="134"/>
        <v>105000</v>
      </c>
      <c r="R292" s="71">
        <v>105000</v>
      </c>
      <c r="S292" s="72">
        <f t="shared" si="137"/>
        <v>8150</v>
      </c>
      <c r="T292" s="68" t="s">
        <v>791</v>
      </c>
      <c r="U292" s="73">
        <f t="shared" si="138"/>
        <v>96850</v>
      </c>
      <c r="V292" s="73">
        <f>2000+5100+600+200+250</f>
        <v>8150</v>
      </c>
      <c r="W292" s="2">
        <f t="shared" si="121"/>
        <v>105000</v>
      </c>
      <c r="Y292" s="80">
        <f t="shared" si="122"/>
        <v>105000</v>
      </c>
      <c r="Z292" s="93"/>
      <c r="AA292" s="93"/>
      <c r="AB292" s="94"/>
      <c r="AE292" s="2">
        <v>137000</v>
      </c>
      <c r="AF292" s="28">
        <f t="shared" si="118"/>
        <v>137000</v>
      </c>
      <c r="AJ292" s="2">
        <f t="shared" si="123"/>
        <v>32000</v>
      </c>
      <c r="AN292" s="29">
        <f t="shared" si="124"/>
        <v>0.23357664233576642</v>
      </c>
      <c r="AP292" s="3" t="s">
        <v>158</v>
      </c>
      <c r="AR292" s="31">
        <f t="shared" si="125"/>
        <v>0</v>
      </c>
      <c r="AS292" s="31">
        <f t="shared" si="126"/>
        <v>0</v>
      </c>
      <c r="AT292" s="31">
        <f>IF(BX292&lt;&gt;"", AF292-BX292, 0)</f>
        <v>0</v>
      </c>
      <c r="AU292" s="31">
        <f t="shared" si="127"/>
        <v>0</v>
      </c>
      <c r="AV292" s="31">
        <f t="shared" si="128"/>
        <v>0</v>
      </c>
      <c r="AW292" s="31">
        <f t="shared" si="129"/>
        <v>0</v>
      </c>
      <c r="AX292" s="31">
        <f t="shared" si="130"/>
        <v>0</v>
      </c>
      <c r="AY292" s="31">
        <f t="shared" si="131"/>
        <v>0</v>
      </c>
      <c r="AZ292" s="31">
        <f t="shared" si="132"/>
        <v>0</v>
      </c>
      <c r="BA292" s="31">
        <f t="shared" si="133"/>
        <v>0</v>
      </c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41"/>
      <c r="BM292" s="41"/>
      <c r="BN292" s="41"/>
      <c r="BO292" s="37"/>
      <c r="BP292" s="38"/>
      <c r="BQ292" s="37"/>
      <c r="BR292" s="40"/>
      <c r="BS292" s="39"/>
      <c r="BT292" s="39"/>
      <c r="BU292" s="39"/>
      <c r="BV292" s="39"/>
      <c r="BW292" s="39"/>
      <c r="BX292" s="36"/>
      <c r="BY292" s="33"/>
      <c r="BZ292" s="33"/>
      <c r="CA292" s="33"/>
      <c r="CB292" s="34"/>
      <c r="CC292" s="33"/>
      <c r="CD292" s="35"/>
      <c r="CE292" s="48"/>
      <c r="CF292" s="48"/>
      <c r="CG292" s="48"/>
      <c r="CH292" s="48"/>
      <c r="CI292" s="48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35"/>
      <c r="CW292" s="35"/>
      <c r="CX292" s="35"/>
      <c r="CY292" s="35"/>
      <c r="CZ292" s="35"/>
      <c r="DA292" s="35"/>
      <c r="DB292" s="35"/>
      <c r="DC292" s="35"/>
      <c r="DD292" s="40"/>
      <c r="DE292" s="40"/>
      <c r="DF292" s="40"/>
      <c r="DG292" s="40"/>
      <c r="DH292" s="40"/>
      <c r="DI292" s="40"/>
      <c r="DJ292" s="40"/>
      <c r="DK292" s="40"/>
      <c r="DL292" s="35"/>
      <c r="DM292" s="35"/>
      <c r="DN292" s="35"/>
      <c r="DO292" s="35"/>
      <c r="DP292" s="35"/>
      <c r="DQ292" s="35"/>
      <c r="DR292" s="35"/>
      <c r="DS292" s="35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40"/>
      <c r="ES292" s="40"/>
      <c r="ET292" s="40"/>
      <c r="EU292" s="40"/>
      <c r="EV292" s="40"/>
      <c r="EW292" s="40"/>
      <c r="EX292" s="40"/>
      <c r="EY292" s="40"/>
      <c r="EZ292" s="35"/>
      <c r="FA292" s="35"/>
      <c r="FB292" s="35"/>
      <c r="FC292" s="35"/>
      <c r="FD292" s="35"/>
      <c r="FE292" s="35"/>
      <c r="FF292" s="35"/>
      <c r="FG292" s="35"/>
    </row>
    <row r="293" spans="1:163">
      <c r="A293" s="60">
        <v>194</v>
      </c>
      <c r="E293" s="63" t="s">
        <v>61</v>
      </c>
      <c r="F293" s="56" t="s">
        <v>65</v>
      </c>
      <c r="G293" s="70" t="s">
        <v>574</v>
      </c>
      <c r="H293" s="66" t="str">
        <f t="shared" si="119"/>
        <v xml:space="preserve"> 153</v>
      </c>
      <c r="I293" s="67" t="s">
        <v>574</v>
      </c>
      <c r="J293" s="68">
        <f t="shared" si="120"/>
        <v>0</v>
      </c>
      <c r="K293" s="63" t="s">
        <v>315</v>
      </c>
      <c r="L293" s="1" t="s">
        <v>46</v>
      </c>
      <c r="O293" s="88" t="s">
        <v>790</v>
      </c>
      <c r="P293" s="89">
        <v>0</v>
      </c>
      <c r="Q293" s="90">
        <f t="shared" si="134"/>
        <v>105000</v>
      </c>
      <c r="R293" s="71">
        <v>105000</v>
      </c>
      <c r="S293" s="72">
        <f t="shared" si="137"/>
        <v>8150</v>
      </c>
      <c r="T293" s="68" t="s">
        <v>791</v>
      </c>
      <c r="U293" s="73">
        <f t="shared" si="138"/>
        <v>96850</v>
      </c>
      <c r="V293" s="73">
        <f>2000+5100+600+200+250</f>
        <v>8150</v>
      </c>
      <c r="W293" s="2">
        <f t="shared" si="121"/>
        <v>105000</v>
      </c>
      <c r="Y293" s="81">
        <f t="shared" si="122"/>
        <v>105000</v>
      </c>
      <c r="Z293" s="96">
        <v>0</v>
      </c>
      <c r="AA293" s="97">
        <f>U293-Z293</f>
        <v>96850</v>
      </c>
      <c r="AB293" s="98" t="e">
        <f>AA293/Z293</f>
        <v>#DIV/0!</v>
      </c>
      <c r="AC293" s="2">
        <v>4000</v>
      </c>
      <c r="AD293" s="2">
        <f>Z293+AC293</f>
        <v>4000</v>
      </c>
      <c r="AF293" s="28">
        <f t="shared" si="118"/>
        <v>4000</v>
      </c>
      <c r="AJ293" s="2">
        <f t="shared" si="123"/>
        <v>-101000</v>
      </c>
      <c r="AN293" s="29">
        <f t="shared" si="124"/>
        <v>-25.25</v>
      </c>
      <c r="AO293" s="29" t="e">
        <f>AN293-AB293</f>
        <v>#DIV/0!</v>
      </c>
      <c r="AP293" s="3" t="s">
        <v>140</v>
      </c>
      <c r="AQ293" s="1" t="s">
        <v>157</v>
      </c>
      <c r="AR293" s="31">
        <f t="shared" si="125"/>
        <v>-112850</v>
      </c>
      <c r="AS293" s="31">
        <f t="shared" si="126"/>
        <v>0</v>
      </c>
      <c r="AT293" s="31">
        <f>IF(BX293&lt;&gt;"", AF293-BX293, 0)</f>
        <v>0</v>
      </c>
      <c r="AU293" s="31">
        <f t="shared" si="127"/>
        <v>0</v>
      </c>
      <c r="AV293" s="31">
        <f t="shared" si="128"/>
        <v>0</v>
      </c>
      <c r="AW293" s="31">
        <f t="shared" si="129"/>
        <v>0</v>
      </c>
      <c r="AX293" s="31">
        <f t="shared" si="130"/>
        <v>0</v>
      </c>
      <c r="AY293" s="31">
        <f t="shared" si="131"/>
        <v>0</v>
      </c>
      <c r="AZ293" s="31">
        <f t="shared" si="132"/>
        <v>0</v>
      </c>
      <c r="BA293" s="31">
        <f t="shared" si="133"/>
        <v>0</v>
      </c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41">
        <v>113850</v>
      </c>
      <c r="BM293" s="41">
        <v>3000</v>
      </c>
      <c r="BN293" s="41">
        <f>BL293+BM293</f>
        <v>116850</v>
      </c>
      <c r="BO293" s="37">
        <f>BN293-Y293</f>
        <v>11850</v>
      </c>
      <c r="BP293" s="38">
        <f>BO293/BL293</f>
        <v>0.10408432147562582</v>
      </c>
      <c r="BQ293" s="37">
        <f>AF293-BN293</f>
        <v>-112850</v>
      </c>
      <c r="BR293" s="40" t="s">
        <v>29</v>
      </c>
      <c r="BS293" s="39"/>
      <c r="BT293" s="39"/>
      <c r="BU293" s="39"/>
      <c r="BV293" s="39"/>
      <c r="BW293" s="39"/>
      <c r="BX293" s="36"/>
      <c r="BY293" s="33"/>
      <c r="BZ293" s="33"/>
      <c r="CA293" s="33"/>
      <c r="CB293" s="34"/>
      <c r="CC293" s="33"/>
      <c r="CD293" s="35"/>
      <c r="CE293" s="48"/>
      <c r="CF293" s="48"/>
      <c r="CG293" s="48"/>
      <c r="CH293" s="48"/>
      <c r="CI293" s="48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35"/>
      <c r="CW293" s="35"/>
      <c r="CX293" s="35"/>
      <c r="CY293" s="35"/>
      <c r="CZ293" s="35"/>
      <c r="DA293" s="35"/>
      <c r="DB293" s="35"/>
      <c r="DC293" s="35"/>
      <c r="DD293" s="40"/>
      <c r="DE293" s="40"/>
      <c r="DF293" s="40"/>
      <c r="DG293" s="40"/>
      <c r="DH293" s="40"/>
      <c r="DI293" s="40"/>
      <c r="DJ293" s="40"/>
      <c r="DK293" s="40"/>
      <c r="DL293" s="35"/>
      <c r="DM293" s="35"/>
      <c r="DN293" s="35"/>
      <c r="DO293" s="35"/>
      <c r="DP293" s="35"/>
      <c r="DQ293" s="35"/>
      <c r="DR293" s="35"/>
      <c r="DS293" s="35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40"/>
      <c r="ES293" s="40"/>
      <c r="ET293" s="40"/>
      <c r="EU293" s="40"/>
      <c r="EV293" s="40"/>
      <c r="EW293" s="40"/>
      <c r="EX293" s="40"/>
      <c r="EY293" s="40"/>
      <c r="EZ293" s="35"/>
      <c r="FA293" s="35"/>
      <c r="FB293" s="35"/>
      <c r="FC293" s="35"/>
      <c r="FD293" s="35"/>
      <c r="FE293" s="35"/>
      <c r="FF293" s="35"/>
      <c r="FG293" s="35"/>
    </row>
    <row r="294" spans="1:163">
      <c r="A294" s="62">
        <v>32</v>
      </c>
      <c r="E294" s="63" t="s">
        <v>114</v>
      </c>
      <c r="F294" s="56" t="s">
        <v>113</v>
      </c>
      <c r="G294" s="70" t="s">
        <v>208</v>
      </c>
      <c r="H294" s="66" t="str">
        <f t="shared" si="119"/>
        <v xml:space="preserve"> 591</v>
      </c>
      <c r="I294" s="67" t="s">
        <v>208</v>
      </c>
      <c r="J294" s="68">
        <f t="shared" si="120"/>
        <v>0</v>
      </c>
      <c r="K294" s="63" t="s">
        <v>260</v>
      </c>
      <c r="L294" s="1" t="s">
        <v>46</v>
      </c>
      <c r="O294" s="88" t="s">
        <v>790</v>
      </c>
      <c r="P294" s="89">
        <v>74000</v>
      </c>
      <c r="Q294" s="90">
        <f t="shared" si="134"/>
        <v>0</v>
      </c>
      <c r="R294" s="71"/>
      <c r="S294" s="72">
        <f t="shared" si="137"/>
        <v>0</v>
      </c>
      <c r="T294" s="68"/>
      <c r="U294" s="73">
        <f t="shared" si="138"/>
        <v>0</v>
      </c>
      <c r="V294" s="75"/>
      <c r="W294" s="2">
        <f t="shared" si="121"/>
        <v>-74000</v>
      </c>
      <c r="Y294" s="81">
        <f t="shared" si="122"/>
        <v>0</v>
      </c>
      <c r="Z294" s="96">
        <v>0</v>
      </c>
      <c r="AA294" s="97">
        <f>U294-Z294</f>
        <v>0</v>
      </c>
      <c r="AB294" s="98" t="e">
        <f>AA294/Z294</f>
        <v>#DIV/0!</v>
      </c>
      <c r="AE294" s="2">
        <v>92000</v>
      </c>
      <c r="AF294" s="28">
        <f t="shared" si="118"/>
        <v>0</v>
      </c>
      <c r="AG294" s="55" t="s">
        <v>125</v>
      </c>
      <c r="AI294" s="20" t="s">
        <v>45</v>
      </c>
      <c r="AJ294" s="2">
        <f t="shared" si="123"/>
        <v>0</v>
      </c>
      <c r="AN294" s="29" t="e">
        <f t="shared" si="124"/>
        <v>#DIV/0!</v>
      </c>
      <c r="AP294" s="3" t="s">
        <v>29</v>
      </c>
      <c r="AQ294" s="1" t="s">
        <v>148</v>
      </c>
      <c r="AR294" s="31">
        <f t="shared" si="125"/>
        <v>0</v>
      </c>
      <c r="AS294" s="31">
        <f t="shared" si="126"/>
        <v>0</v>
      </c>
      <c r="AT294" s="31">
        <f>IF(BZ294&lt;&gt;"", AF294-BZ294, 0)</f>
        <v>0</v>
      </c>
      <c r="AU294" s="31">
        <f t="shared" si="127"/>
        <v>0</v>
      </c>
      <c r="AV294" s="31">
        <f t="shared" si="128"/>
        <v>0</v>
      </c>
      <c r="AW294" s="31">
        <f t="shared" si="129"/>
        <v>0</v>
      </c>
      <c r="AX294" s="31">
        <f t="shared" si="130"/>
        <v>0</v>
      </c>
      <c r="AY294" s="31">
        <f t="shared" si="131"/>
        <v>0</v>
      </c>
      <c r="AZ294" s="31">
        <f t="shared" si="132"/>
        <v>0</v>
      </c>
      <c r="BA294" s="31">
        <f t="shared" si="133"/>
        <v>0</v>
      </c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41"/>
      <c r="BM294" s="41"/>
      <c r="BN294" s="41"/>
      <c r="BO294" s="37"/>
      <c r="BP294" s="38"/>
      <c r="BQ294" s="37"/>
      <c r="BR294" s="40"/>
      <c r="BS294" s="39"/>
      <c r="BT294" s="39"/>
      <c r="BU294" s="39"/>
      <c r="BV294" s="39"/>
      <c r="BW294" s="39"/>
      <c r="BX294" s="36"/>
      <c r="BY294" s="33"/>
      <c r="BZ294" s="33"/>
      <c r="CA294" s="33"/>
      <c r="CB294" s="34"/>
      <c r="CC294" s="33"/>
      <c r="CD294" s="35"/>
      <c r="CE294" s="48"/>
      <c r="CF294" s="48"/>
      <c r="CG294" s="48"/>
      <c r="CH294" s="48"/>
      <c r="CI294" s="48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35"/>
      <c r="CW294" s="35"/>
      <c r="CX294" s="35"/>
      <c r="CY294" s="35"/>
      <c r="CZ294" s="35"/>
      <c r="DA294" s="35"/>
      <c r="DB294" s="35"/>
      <c r="DC294" s="35"/>
      <c r="DD294" s="40"/>
      <c r="DE294" s="40"/>
      <c r="DF294" s="40"/>
      <c r="DG294" s="40"/>
      <c r="DH294" s="40"/>
      <c r="DI294" s="40"/>
      <c r="DJ294" s="40"/>
      <c r="DK294" s="40"/>
      <c r="DL294" s="35"/>
      <c r="DM294" s="35"/>
      <c r="DN294" s="35"/>
      <c r="DO294" s="35"/>
      <c r="DP294" s="35"/>
      <c r="DQ294" s="35"/>
      <c r="DR294" s="35"/>
      <c r="DS294" s="35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40"/>
      <c r="ES294" s="40"/>
      <c r="ET294" s="40"/>
      <c r="EU294" s="40"/>
      <c r="EV294" s="40"/>
      <c r="EW294" s="40"/>
      <c r="EX294" s="40"/>
      <c r="EY294" s="40"/>
      <c r="EZ294" s="35"/>
      <c r="FA294" s="35"/>
      <c r="FB294" s="35"/>
      <c r="FC294" s="35"/>
      <c r="FD294" s="35"/>
      <c r="FE294" s="35"/>
      <c r="FF294" s="35"/>
      <c r="FG294" s="35"/>
    </row>
    <row r="295" spans="1:163">
      <c r="A295" s="60">
        <v>170</v>
      </c>
      <c r="E295" s="63" t="s">
        <v>63</v>
      </c>
      <c r="F295" s="56" t="s">
        <v>63</v>
      </c>
      <c r="G295" s="70" t="s">
        <v>549</v>
      </c>
      <c r="H295" s="66" t="str">
        <f t="shared" si="119"/>
        <v xml:space="preserve"> 473</v>
      </c>
      <c r="I295" s="67" t="s">
        <v>549</v>
      </c>
      <c r="J295" s="68">
        <f t="shared" si="120"/>
        <v>0</v>
      </c>
      <c r="K295" s="63" t="s">
        <v>307</v>
      </c>
      <c r="L295" s="1" t="s">
        <v>46</v>
      </c>
      <c r="O295" s="88" t="s">
        <v>790</v>
      </c>
      <c r="P295" s="89">
        <v>74500</v>
      </c>
      <c r="Q295" s="90">
        <v>0</v>
      </c>
      <c r="R295" s="71"/>
      <c r="S295" s="72">
        <f t="shared" si="137"/>
        <v>0</v>
      </c>
      <c r="T295" s="68"/>
      <c r="U295" s="73">
        <f t="shared" si="138"/>
        <v>0</v>
      </c>
      <c r="V295" s="73"/>
      <c r="W295" s="2">
        <f t="shared" si="121"/>
        <v>-74500</v>
      </c>
      <c r="Y295" s="81">
        <f t="shared" si="122"/>
        <v>0</v>
      </c>
      <c r="Z295" s="96">
        <v>0</v>
      </c>
      <c r="AA295" s="97">
        <f>U295-Z295</f>
        <v>0</v>
      </c>
      <c r="AB295" s="98" t="e">
        <f>AA295/Z295</f>
        <v>#DIV/0!</v>
      </c>
      <c r="AC295" s="2">
        <v>3000</v>
      </c>
      <c r="AD295" s="2">
        <f>Z295+AC295</f>
        <v>3000</v>
      </c>
      <c r="AF295" s="28">
        <f t="shared" si="118"/>
        <v>3000</v>
      </c>
      <c r="AG295" s="55" t="s">
        <v>125</v>
      </c>
      <c r="AI295" s="20" t="s">
        <v>206</v>
      </c>
      <c r="AJ295" s="2">
        <f t="shared" si="123"/>
        <v>3000</v>
      </c>
      <c r="AN295" s="29">
        <f t="shared" si="124"/>
        <v>1</v>
      </c>
      <c r="AO295" s="29" t="e">
        <f>AN295-AB295</f>
        <v>#DIV/0!</v>
      </c>
      <c r="AP295" s="3" t="s">
        <v>29</v>
      </c>
      <c r="AQ295" s="1" t="s">
        <v>165</v>
      </c>
      <c r="AR295" s="31">
        <f t="shared" si="125"/>
        <v>0</v>
      </c>
      <c r="AS295" s="31">
        <f t="shared" si="126"/>
        <v>0</v>
      </c>
      <c r="AT295" s="31">
        <f>IF(BZ295&lt;&gt;"", AF295-BZ295, 0)</f>
        <v>0</v>
      </c>
      <c r="AU295" s="31">
        <f t="shared" si="127"/>
        <v>0</v>
      </c>
      <c r="AV295" s="31">
        <f t="shared" si="128"/>
        <v>0</v>
      </c>
      <c r="AW295" s="31">
        <f t="shared" si="129"/>
        <v>0</v>
      </c>
      <c r="AX295" s="31">
        <f t="shared" si="130"/>
        <v>0</v>
      </c>
      <c r="AY295" s="31">
        <f t="shared" si="131"/>
        <v>0</v>
      </c>
      <c r="AZ295" s="31">
        <f t="shared" si="132"/>
        <v>0</v>
      </c>
      <c r="BA295" s="31">
        <f t="shared" si="133"/>
        <v>0</v>
      </c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35"/>
      <c r="CW295" s="35"/>
      <c r="CX295" s="35"/>
      <c r="CY295" s="35"/>
      <c r="CZ295" s="35"/>
      <c r="DA295" s="35"/>
      <c r="DB295" s="35"/>
      <c r="DC295" s="35"/>
      <c r="DD295" s="40"/>
      <c r="DE295" s="40"/>
      <c r="DF295" s="40"/>
      <c r="DG295" s="40"/>
      <c r="DH295" s="40"/>
      <c r="DI295" s="40"/>
      <c r="DJ295" s="40"/>
      <c r="DK295" s="40"/>
      <c r="DL295" s="35"/>
      <c r="DM295" s="35"/>
      <c r="DN295" s="35"/>
      <c r="DO295" s="35"/>
      <c r="DP295" s="35"/>
      <c r="DQ295" s="35"/>
      <c r="DR295" s="35"/>
      <c r="DS295" s="35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40"/>
      <c r="ES295" s="40"/>
      <c r="ET295" s="40"/>
      <c r="EU295" s="40"/>
      <c r="EV295" s="40"/>
      <c r="EW295" s="40"/>
      <c r="EX295" s="40"/>
      <c r="EY295" s="40"/>
      <c r="EZ295" s="35"/>
      <c r="FA295" s="35"/>
      <c r="FB295" s="35"/>
      <c r="FC295" s="35"/>
      <c r="FD295" s="35"/>
      <c r="FE295" s="35"/>
      <c r="FF295" s="35"/>
      <c r="FG295" s="35"/>
    </row>
    <row r="296" spans="1:163">
      <c r="A296" s="60">
        <v>160</v>
      </c>
      <c r="E296" s="63" t="s">
        <v>63</v>
      </c>
      <c r="F296" s="56" t="s">
        <v>62</v>
      </c>
      <c r="G296" s="70" t="s">
        <v>539</v>
      </c>
      <c r="H296" s="66" t="str">
        <f t="shared" si="119"/>
        <v xml:space="preserve"> 487</v>
      </c>
      <c r="I296" s="67" t="s">
        <v>539</v>
      </c>
      <c r="J296" s="68">
        <f t="shared" si="120"/>
        <v>0</v>
      </c>
      <c r="K296" s="63" t="s">
        <v>302</v>
      </c>
      <c r="L296" s="1" t="s">
        <v>46</v>
      </c>
      <c r="O296" s="64" t="s">
        <v>789</v>
      </c>
      <c r="P296" s="82">
        <v>0</v>
      </c>
      <c r="Q296" s="74">
        <f t="shared" ref="Q296:Q327" si="140">U296+V296</f>
        <v>76500</v>
      </c>
      <c r="R296" s="71">
        <v>76500</v>
      </c>
      <c r="S296" s="72">
        <f t="shared" si="137"/>
        <v>8650</v>
      </c>
      <c r="T296" s="68" t="s">
        <v>791</v>
      </c>
      <c r="U296" s="73">
        <f t="shared" si="138"/>
        <v>67850</v>
      </c>
      <c r="V296" s="73">
        <f>2000+5100+600+200+250+500</f>
        <v>8650</v>
      </c>
      <c r="W296" s="2">
        <f t="shared" si="121"/>
        <v>76500</v>
      </c>
      <c r="Y296" s="80">
        <f t="shared" si="122"/>
        <v>76500</v>
      </c>
      <c r="Z296" s="93"/>
      <c r="AA296" s="93"/>
      <c r="AB296" s="94"/>
      <c r="AE296" s="2">
        <v>99000</v>
      </c>
      <c r="AF296" s="28">
        <f t="shared" si="118"/>
        <v>99000</v>
      </c>
      <c r="AG296" s="55" t="s">
        <v>125</v>
      </c>
      <c r="AI296" s="20" t="s">
        <v>45</v>
      </c>
      <c r="AJ296" s="2">
        <f t="shared" si="123"/>
        <v>22500</v>
      </c>
      <c r="AN296" s="29">
        <f t="shared" si="124"/>
        <v>0.22727272727272727</v>
      </c>
      <c r="AP296" s="3" t="s">
        <v>29</v>
      </c>
      <c r="AQ296" s="1" t="s">
        <v>155</v>
      </c>
      <c r="AR296" s="31">
        <f t="shared" si="125"/>
        <v>0</v>
      </c>
      <c r="AS296" s="31">
        <f t="shared" si="126"/>
        <v>0</v>
      </c>
      <c r="AT296" s="31">
        <f>IF(BZ296&lt;&gt;"", AF296-BZ296, 0)</f>
        <v>0</v>
      </c>
      <c r="AU296" s="31">
        <f t="shared" si="127"/>
        <v>0</v>
      </c>
      <c r="AV296" s="31">
        <f t="shared" si="128"/>
        <v>0</v>
      </c>
      <c r="AW296" s="31">
        <f t="shared" si="129"/>
        <v>0</v>
      </c>
      <c r="AX296" s="31">
        <f t="shared" si="130"/>
        <v>0</v>
      </c>
      <c r="AY296" s="31">
        <f t="shared" si="131"/>
        <v>0</v>
      </c>
      <c r="AZ296" s="31">
        <f t="shared" si="132"/>
        <v>0</v>
      </c>
      <c r="BA296" s="31">
        <f t="shared" si="133"/>
        <v>0</v>
      </c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35"/>
      <c r="CW296" s="35"/>
      <c r="CX296" s="35"/>
      <c r="CY296" s="35"/>
      <c r="CZ296" s="35"/>
      <c r="DA296" s="35"/>
      <c r="DB296" s="35"/>
      <c r="DC296" s="35"/>
      <c r="DD296" s="40"/>
      <c r="DE296" s="40"/>
      <c r="DF296" s="40"/>
      <c r="DG296" s="40"/>
      <c r="DH296" s="40"/>
      <c r="DI296" s="40"/>
      <c r="DJ296" s="40"/>
      <c r="DK296" s="40"/>
      <c r="DL296" s="35"/>
      <c r="DM296" s="35"/>
      <c r="DN296" s="35"/>
      <c r="DO296" s="35"/>
      <c r="DP296" s="35"/>
      <c r="DQ296" s="35"/>
      <c r="DR296" s="35"/>
      <c r="DS296" s="35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40"/>
      <c r="ES296" s="40"/>
      <c r="ET296" s="40"/>
      <c r="EU296" s="40"/>
      <c r="EV296" s="40"/>
      <c r="EW296" s="40"/>
      <c r="EX296" s="40"/>
      <c r="EY296" s="40"/>
      <c r="EZ296" s="35"/>
      <c r="FA296" s="35"/>
      <c r="FB296" s="35"/>
      <c r="FC296" s="35"/>
      <c r="FD296" s="35"/>
      <c r="FE296" s="35"/>
      <c r="FF296" s="35"/>
      <c r="FG296" s="35"/>
    </row>
    <row r="297" spans="1:163">
      <c r="A297" s="60">
        <v>212</v>
      </c>
      <c r="E297" s="63" t="s">
        <v>218</v>
      </c>
      <c r="F297" s="56" t="s">
        <v>66</v>
      </c>
      <c r="G297" s="70" t="s">
        <v>592</v>
      </c>
      <c r="H297" s="66" t="str">
        <f t="shared" si="119"/>
        <v xml:space="preserve"> 573</v>
      </c>
      <c r="I297" s="67" t="s">
        <v>592</v>
      </c>
      <c r="J297" s="68">
        <f t="shared" si="120"/>
        <v>0</v>
      </c>
      <c r="K297" s="63" t="s">
        <v>323</v>
      </c>
      <c r="L297" s="1" t="s">
        <v>46</v>
      </c>
      <c r="O297" s="64" t="s">
        <v>789</v>
      </c>
      <c r="P297" s="82">
        <v>0</v>
      </c>
      <c r="Q297" s="74">
        <f t="shared" si="140"/>
        <v>142000</v>
      </c>
      <c r="R297" s="71">
        <v>142000</v>
      </c>
      <c r="S297" s="72">
        <f t="shared" si="137"/>
        <v>8550</v>
      </c>
      <c r="T297" s="68"/>
      <c r="U297" s="73">
        <f t="shared" si="138"/>
        <v>133450</v>
      </c>
      <c r="V297" s="73">
        <f>2000+5500+600+200+250</f>
        <v>8550</v>
      </c>
      <c r="W297" s="2">
        <f t="shared" si="121"/>
        <v>142000</v>
      </c>
      <c r="Y297" s="80">
        <f t="shared" si="122"/>
        <v>142000</v>
      </c>
      <c r="Z297" s="93"/>
      <c r="AA297" s="93"/>
      <c r="AB297" s="94"/>
      <c r="AE297" s="2">
        <v>129000</v>
      </c>
      <c r="AF297" s="28">
        <f t="shared" si="118"/>
        <v>129000</v>
      </c>
      <c r="AG297" s="55" t="s">
        <v>125</v>
      </c>
      <c r="AI297" s="20" t="s">
        <v>45</v>
      </c>
      <c r="AJ297" s="2">
        <f t="shared" si="123"/>
        <v>-13000</v>
      </c>
      <c r="AN297" s="29">
        <f t="shared" si="124"/>
        <v>-0.10077519379844961</v>
      </c>
      <c r="AP297" s="3" t="s">
        <v>140</v>
      </c>
      <c r="AQ297" s="1" t="s">
        <v>194</v>
      </c>
      <c r="AR297" s="31">
        <f t="shared" si="125"/>
        <v>0</v>
      </c>
      <c r="AS297" s="31">
        <f t="shared" si="126"/>
        <v>0</v>
      </c>
      <c r="AT297" s="31">
        <f>IF(BX297&lt;&gt;"", AF297-BX297, 0)</f>
        <v>0</v>
      </c>
      <c r="AU297" s="31">
        <f t="shared" si="127"/>
        <v>21540</v>
      </c>
      <c r="AV297" s="31">
        <f t="shared" si="128"/>
        <v>0</v>
      </c>
      <c r="AW297" s="31">
        <f t="shared" si="129"/>
        <v>0</v>
      </c>
      <c r="AX297" s="31">
        <f t="shared" si="130"/>
        <v>3988</v>
      </c>
      <c r="AY297" s="31">
        <f t="shared" si="131"/>
        <v>3988</v>
      </c>
      <c r="AZ297" s="31">
        <f t="shared" si="132"/>
        <v>0</v>
      </c>
      <c r="BA297" s="31">
        <f t="shared" si="133"/>
        <v>0</v>
      </c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41"/>
      <c r="BM297" s="41"/>
      <c r="BN297" s="41"/>
      <c r="BO297" s="37"/>
      <c r="BP297" s="38"/>
      <c r="BQ297" s="37"/>
      <c r="BR297" s="40"/>
      <c r="BS297" s="39"/>
      <c r="BT297" s="39"/>
      <c r="BU297" s="39"/>
      <c r="BV297" s="39"/>
      <c r="BW297" s="39"/>
      <c r="BX297" s="36"/>
      <c r="BY297" s="33"/>
      <c r="BZ297" s="33"/>
      <c r="CA297" s="33"/>
      <c r="CB297" s="34"/>
      <c r="CC297" s="33"/>
      <c r="CD297" s="35"/>
      <c r="CE297" s="48"/>
      <c r="CF297" s="48"/>
      <c r="CG297" s="48"/>
      <c r="CH297" s="48"/>
      <c r="CI297" s="48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35"/>
      <c r="CW297" s="35"/>
      <c r="CX297" s="35"/>
      <c r="CY297" s="35"/>
      <c r="CZ297" s="35"/>
      <c r="DA297" s="35"/>
      <c r="DB297" s="35"/>
      <c r="DC297" s="35"/>
      <c r="DD297" s="41">
        <v>107460</v>
      </c>
      <c r="DE297" s="37">
        <f>DD297-Y297</f>
        <v>-34540</v>
      </c>
      <c r="DF297" s="38">
        <f>DE297/DD297</f>
        <v>-0.3214219244369998</v>
      </c>
      <c r="DG297" s="37">
        <f>AF297-DD297</f>
        <v>21540</v>
      </c>
      <c r="DH297" s="40" t="s">
        <v>29</v>
      </c>
      <c r="DI297" s="40"/>
      <c r="DJ297" s="40"/>
      <c r="DK297" s="40"/>
      <c r="DL297" s="35"/>
      <c r="DM297" s="35"/>
      <c r="DN297" s="35"/>
      <c r="DO297" s="35"/>
      <c r="DP297" s="35"/>
      <c r="DQ297" s="35"/>
      <c r="DR297" s="35"/>
      <c r="DS297" s="35"/>
      <c r="DT297" s="41">
        <v>121012</v>
      </c>
      <c r="DU297" s="37">
        <v>4000</v>
      </c>
      <c r="DV297" s="41">
        <f>DT297+DU297</f>
        <v>125012</v>
      </c>
      <c r="DW297" s="37">
        <f>DV297-Y297</f>
        <v>-16988</v>
      </c>
      <c r="DX297" s="38">
        <f>DW297/DV297</f>
        <v>-0.13589095446837104</v>
      </c>
      <c r="DY297" s="37">
        <f>AF297-DV297</f>
        <v>3988</v>
      </c>
      <c r="DZ297" s="40" t="s">
        <v>29</v>
      </c>
      <c r="EA297" s="40"/>
      <c r="EB297" s="40"/>
      <c r="EC297" s="40"/>
      <c r="ED297" s="40"/>
      <c r="EE297" s="40"/>
      <c r="EF297" s="36">
        <v>121012</v>
      </c>
      <c r="EG297" s="33">
        <v>4000</v>
      </c>
      <c r="EH297" s="33">
        <f>EF297+EG297</f>
        <v>125012</v>
      </c>
      <c r="EI297" s="33">
        <f>EH297-Y297</f>
        <v>-16988</v>
      </c>
      <c r="EJ297" s="44">
        <f>EI297/EH297</f>
        <v>-0.13589095446837104</v>
      </c>
      <c r="EK297" s="45">
        <f>AF297-EH297</f>
        <v>3988</v>
      </c>
      <c r="EL297" s="35" t="s">
        <v>29</v>
      </c>
      <c r="EM297" s="35"/>
      <c r="EN297" s="35"/>
      <c r="EO297" s="35"/>
      <c r="EP297" s="35"/>
      <c r="EQ297" s="35"/>
      <c r="ER297" s="40"/>
      <c r="ES297" s="40"/>
      <c r="ET297" s="40"/>
      <c r="EU297" s="40"/>
      <c r="EV297" s="40"/>
      <c r="EW297" s="40"/>
      <c r="EX297" s="40"/>
      <c r="EY297" s="40"/>
      <c r="EZ297" s="35"/>
      <c r="FA297" s="35"/>
      <c r="FB297" s="35"/>
      <c r="FC297" s="35"/>
      <c r="FD297" s="35"/>
      <c r="FE297" s="35"/>
      <c r="FF297" s="35"/>
      <c r="FG297" s="35"/>
    </row>
    <row r="298" spans="1:163">
      <c r="A298" s="60">
        <v>21</v>
      </c>
      <c r="E298" s="63" t="s">
        <v>211</v>
      </c>
      <c r="F298" s="56" t="s">
        <v>54</v>
      </c>
      <c r="G298" s="70" t="s">
        <v>403</v>
      </c>
      <c r="H298" s="66" t="str">
        <f t="shared" si="119"/>
        <v xml:space="preserve"> 799</v>
      </c>
      <c r="I298" s="67" t="s">
        <v>403</v>
      </c>
      <c r="J298" s="68">
        <f t="shared" si="120"/>
        <v>0</v>
      </c>
      <c r="K298" s="63" t="s">
        <v>253</v>
      </c>
      <c r="L298" s="1" t="s">
        <v>46</v>
      </c>
      <c r="O298" s="64" t="s">
        <v>789</v>
      </c>
      <c r="P298" s="82">
        <v>0</v>
      </c>
      <c r="Q298" s="74">
        <f t="shared" si="140"/>
        <v>70000</v>
      </c>
      <c r="R298" s="71">
        <v>70000</v>
      </c>
      <c r="S298" s="72">
        <f t="shared" si="137"/>
        <v>8150</v>
      </c>
      <c r="T298" s="68" t="s">
        <v>791</v>
      </c>
      <c r="U298" s="73">
        <f t="shared" si="138"/>
        <v>61850</v>
      </c>
      <c r="V298" s="73">
        <f>2000+5100+600+200+250</f>
        <v>8150</v>
      </c>
      <c r="W298" s="2">
        <f t="shared" si="121"/>
        <v>70000</v>
      </c>
      <c r="Y298" s="80">
        <f t="shared" si="122"/>
        <v>70000</v>
      </c>
      <c r="Z298" s="93"/>
      <c r="AA298" s="93"/>
      <c r="AB298" s="94"/>
      <c r="AE298" s="2">
        <v>110000</v>
      </c>
      <c r="AF298" s="28">
        <f t="shared" si="118"/>
        <v>110000</v>
      </c>
      <c r="AG298" s="55" t="s">
        <v>125</v>
      </c>
      <c r="AI298" s="20" t="s">
        <v>45</v>
      </c>
      <c r="AJ298" s="2">
        <f t="shared" si="123"/>
        <v>40000</v>
      </c>
      <c r="AN298" s="29">
        <f t="shared" si="124"/>
        <v>0.36363636363636365</v>
      </c>
      <c r="AP298" s="3" t="s">
        <v>29</v>
      </c>
      <c r="AQ298" s="1" t="s">
        <v>148</v>
      </c>
      <c r="AR298" s="31">
        <f t="shared" si="125"/>
        <v>0</v>
      </c>
      <c r="AS298" s="31">
        <f t="shared" si="126"/>
        <v>0</v>
      </c>
      <c r="AT298" s="31">
        <f t="shared" ref="AT298:AT321" si="141">IF(BZ298&lt;&gt;"", AF298-BZ298, 0)</f>
        <v>0</v>
      </c>
      <c r="AU298" s="31">
        <f t="shared" si="127"/>
        <v>0</v>
      </c>
      <c r="AV298" s="31">
        <f t="shared" si="128"/>
        <v>0</v>
      </c>
      <c r="AW298" s="31">
        <f t="shared" si="129"/>
        <v>0</v>
      </c>
      <c r="AX298" s="31">
        <f t="shared" si="130"/>
        <v>0</v>
      </c>
      <c r="AY298" s="31">
        <f t="shared" si="131"/>
        <v>0</v>
      </c>
      <c r="AZ298" s="31">
        <f t="shared" si="132"/>
        <v>0</v>
      </c>
      <c r="BA298" s="31">
        <f t="shared" si="133"/>
        <v>0</v>
      </c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41"/>
      <c r="BM298" s="41"/>
      <c r="BN298" s="41"/>
      <c r="BO298" s="37"/>
      <c r="BP298" s="38"/>
      <c r="BQ298" s="37"/>
      <c r="BR298" s="40"/>
      <c r="BS298" s="39"/>
      <c r="BT298" s="39"/>
      <c r="BU298" s="39"/>
      <c r="BV298" s="39"/>
      <c r="BW298" s="39"/>
      <c r="BX298" s="36"/>
      <c r="BY298" s="33"/>
      <c r="BZ298" s="33"/>
      <c r="CA298" s="33"/>
      <c r="CB298" s="34"/>
      <c r="CC298" s="33"/>
      <c r="CD298" s="35"/>
      <c r="CE298" s="48"/>
      <c r="CF298" s="48"/>
      <c r="CG298" s="48"/>
      <c r="CH298" s="48"/>
      <c r="CI298" s="48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35"/>
      <c r="CW298" s="35"/>
      <c r="CX298" s="35"/>
      <c r="CY298" s="35"/>
      <c r="CZ298" s="35"/>
      <c r="DA298" s="35"/>
      <c r="DB298" s="35"/>
      <c r="DC298" s="35"/>
      <c r="DD298" s="40"/>
      <c r="DE298" s="40"/>
      <c r="DF298" s="40"/>
      <c r="DG298" s="40"/>
      <c r="DH298" s="40"/>
      <c r="DI298" s="40"/>
      <c r="DJ298" s="40"/>
      <c r="DK298" s="40"/>
      <c r="DL298" s="35"/>
      <c r="DM298" s="35"/>
      <c r="DN298" s="35"/>
      <c r="DO298" s="35"/>
      <c r="DP298" s="35"/>
      <c r="DQ298" s="35"/>
      <c r="DR298" s="35"/>
      <c r="DS298" s="35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40"/>
      <c r="ES298" s="40"/>
      <c r="ET298" s="40"/>
      <c r="EU298" s="40"/>
      <c r="EV298" s="40"/>
      <c r="EW298" s="40"/>
      <c r="EX298" s="40"/>
      <c r="EY298" s="40"/>
      <c r="EZ298" s="35"/>
      <c r="FA298" s="35"/>
      <c r="FB298" s="35"/>
      <c r="FC298" s="35"/>
      <c r="FD298" s="35"/>
      <c r="FE298" s="35"/>
      <c r="FF298" s="35"/>
      <c r="FG298" s="35"/>
    </row>
    <row r="299" spans="1:163">
      <c r="A299" s="60">
        <v>135</v>
      </c>
      <c r="E299" s="63" t="s">
        <v>58</v>
      </c>
      <c r="F299" s="56" t="s">
        <v>124</v>
      </c>
      <c r="G299" s="65" t="s">
        <v>514</v>
      </c>
      <c r="H299" s="66" t="str">
        <f t="shared" si="119"/>
        <v xml:space="preserve"> 902</v>
      </c>
      <c r="I299" s="67" t="s">
        <v>514</v>
      </c>
      <c r="J299" s="68">
        <f t="shared" si="120"/>
        <v>0</v>
      </c>
      <c r="K299" s="63" t="s">
        <v>286</v>
      </c>
      <c r="L299" s="1" t="s">
        <v>46</v>
      </c>
      <c r="O299" s="64" t="s">
        <v>789</v>
      </c>
      <c r="P299" s="82">
        <v>0</v>
      </c>
      <c r="Q299" s="74">
        <f t="shared" si="140"/>
        <v>62500</v>
      </c>
      <c r="R299" s="71">
        <v>62500</v>
      </c>
      <c r="S299" s="72">
        <f t="shared" si="137"/>
        <v>7900</v>
      </c>
      <c r="T299" s="68" t="s">
        <v>791</v>
      </c>
      <c r="U299" s="73">
        <f t="shared" si="138"/>
        <v>54600</v>
      </c>
      <c r="V299" s="73">
        <f>2000+4850+600+200+250</f>
        <v>7900</v>
      </c>
      <c r="W299" s="2">
        <f t="shared" si="121"/>
        <v>62500</v>
      </c>
      <c r="Y299" s="80">
        <f t="shared" si="122"/>
        <v>62500</v>
      </c>
      <c r="Z299" s="93"/>
      <c r="AA299" s="93"/>
      <c r="AB299" s="94"/>
      <c r="AE299" s="2">
        <v>103000</v>
      </c>
      <c r="AF299" s="28">
        <f t="shared" si="118"/>
        <v>103000</v>
      </c>
      <c r="AG299" s="55" t="s">
        <v>125</v>
      </c>
      <c r="AI299" s="20" t="s">
        <v>45</v>
      </c>
      <c r="AJ299" s="2">
        <f t="shared" si="123"/>
        <v>40500</v>
      </c>
      <c r="AN299" s="29">
        <f t="shared" si="124"/>
        <v>0.39320388349514562</v>
      </c>
      <c r="AP299" s="3" t="s">
        <v>29</v>
      </c>
      <c r="AQ299" s="1" t="s">
        <v>171</v>
      </c>
      <c r="AR299" s="31">
        <f t="shared" si="125"/>
        <v>0</v>
      </c>
      <c r="AS299" s="31">
        <f t="shared" si="126"/>
        <v>0</v>
      </c>
      <c r="AT299" s="31">
        <f t="shared" si="141"/>
        <v>0</v>
      </c>
      <c r="AU299" s="31">
        <f t="shared" si="127"/>
        <v>0</v>
      </c>
      <c r="AV299" s="31">
        <f t="shared" si="128"/>
        <v>0</v>
      </c>
      <c r="AW299" s="31">
        <f t="shared" si="129"/>
        <v>0</v>
      </c>
      <c r="AX299" s="31">
        <f t="shared" si="130"/>
        <v>0</v>
      </c>
      <c r="AY299" s="31">
        <f t="shared" si="131"/>
        <v>0</v>
      </c>
      <c r="AZ299" s="31">
        <f t="shared" si="132"/>
        <v>0</v>
      </c>
      <c r="BA299" s="31">
        <f t="shared" si="133"/>
        <v>0</v>
      </c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41"/>
      <c r="BM299" s="41"/>
      <c r="BN299" s="41"/>
      <c r="BO299" s="37"/>
      <c r="BP299" s="38"/>
      <c r="BQ299" s="37"/>
      <c r="BR299" s="40"/>
      <c r="BS299" s="39"/>
      <c r="BT299" s="39"/>
      <c r="BU299" s="39"/>
      <c r="BV299" s="39"/>
      <c r="BW299" s="39"/>
      <c r="BX299" s="36"/>
      <c r="BY299" s="33"/>
      <c r="BZ299" s="33"/>
      <c r="CA299" s="33"/>
      <c r="CB299" s="34"/>
      <c r="CC299" s="33"/>
      <c r="CD299" s="35"/>
      <c r="CE299" s="48"/>
      <c r="CF299" s="48"/>
      <c r="CG299" s="48"/>
      <c r="CH299" s="48"/>
      <c r="CI299" s="48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35"/>
      <c r="CW299" s="35"/>
      <c r="CX299" s="35"/>
      <c r="CY299" s="35"/>
      <c r="CZ299" s="35"/>
      <c r="DA299" s="35"/>
      <c r="DB299" s="35"/>
      <c r="DC299" s="35"/>
      <c r="DD299" s="40"/>
      <c r="DE299" s="40"/>
      <c r="DF299" s="40"/>
      <c r="DG299" s="40"/>
      <c r="DH299" s="40"/>
      <c r="DI299" s="40"/>
      <c r="DJ299" s="40"/>
      <c r="DK299" s="40"/>
      <c r="DL299" s="35"/>
      <c r="DM299" s="35"/>
      <c r="DN299" s="35"/>
      <c r="DO299" s="35"/>
      <c r="DP299" s="35"/>
      <c r="DQ299" s="35"/>
      <c r="DR299" s="35"/>
      <c r="DS299" s="35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40"/>
      <c r="ES299" s="40"/>
      <c r="ET299" s="40"/>
      <c r="EU299" s="40"/>
      <c r="EV299" s="40"/>
      <c r="EW299" s="40"/>
      <c r="EX299" s="40"/>
      <c r="EY299" s="40"/>
      <c r="EZ299" s="35"/>
      <c r="FA299" s="35"/>
      <c r="FB299" s="35"/>
      <c r="FC299" s="35"/>
      <c r="FD299" s="35"/>
      <c r="FE299" s="35"/>
      <c r="FF299" s="35"/>
      <c r="FG299" s="35"/>
    </row>
    <row r="300" spans="1:163">
      <c r="A300" s="60">
        <v>162</v>
      </c>
      <c r="E300" s="63" t="s">
        <v>63</v>
      </c>
      <c r="F300" s="56" t="s">
        <v>62</v>
      </c>
      <c r="G300" s="65" t="s">
        <v>541</v>
      </c>
      <c r="H300" s="66" t="str">
        <f t="shared" si="119"/>
        <v xml:space="preserve"> 231</v>
      </c>
      <c r="I300" s="67" t="s">
        <v>541</v>
      </c>
      <c r="J300" s="68">
        <f t="shared" si="120"/>
        <v>0</v>
      </c>
      <c r="K300" s="63" t="s">
        <v>289</v>
      </c>
      <c r="L300" s="1" t="s">
        <v>46</v>
      </c>
      <c r="O300" s="64" t="s">
        <v>789</v>
      </c>
      <c r="P300" s="82">
        <v>0</v>
      </c>
      <c r="Q300" s="74">
        <f t="shared" si="140"/>
        <v>80000</v>
      </c>
      <c r="R300" s="71">
        <v>80000</v>
      </c>
      <c r="S300" s="72">
        <f t="shared" si="137"/>
        <v>9250</v>
      </c>
      <c r="T300" s="68" t="s">
        <v>791</v>
      </c>
      <c r="U300" s="73">
        <f t="shared" si="138"/>
        <v>70750</v>
      </c>
      <c r="V300" s="75">
        <f>2000+5200+600+200+250+1000</f>
        <v>9250</v>
      </c>
      <c r="W300" s="2">
        <f t="shared" si="121"/>
        <v>80000</v>
      </c>
      <c r="Y300" s="80">
        <f t="shared" si="122"/>
        <v>80000</v>
      </c>
      <c r="Z300" s="93"/>
      <c r="AA300" s="93"/>
      <c r="AB300" s="94"/>
      <c r="AC300" s="2">
        <v>3000</v>
      </c>
      <c r="AD300" s="2">
        <f>Z300+AC300</f>
        <v>3000</v>
      </c>
      <c r="AF300" s="28">
        <f t="shared" si="118"/>
        <v>0</v>
      </c>
      <c r="AG300" s="55" t="s">
        <v>125</v>
      </c>
      <c r="AI300" s="20" t="s">
        <v>45</v>
      </c>
      <c r="AJ300" s="2">
        <f t="shared" si="123"/>
        <v>-80000</v>
      </c>
      <c r="AN300" s="29" t="e">
        <f t="shared" si="124"/>
        <v>#DIV/0!</v>
      </c>
      <c r="AO300" s="29" t="e">
        <f>AN300-AB300</f>
        <v>#DIV/0!</v>
      </c>
      <c r="AP300" s="3" t="s">
        <v>140</v>
      </c>
      <c r="AQ300" s="57" t="s">
        <v>141</v>
      </c>
      <c r="AR300" s="31">
        <f t="shared" si="125"/>
        <v>0</v>
      </c>
      <c r="AS300" s="31">
        <f t="shared" si="126"/>
        <v>-91260</v>
      </c>
      <c r="AT300" s="31">
        <f t="shared" si="141"/>
        <v>0</v>
      </c>
      <c r="AU300" s="31">
        <f t="shared" si="127"/>
        <v>0</v>
      </c>
      <c r="AV300" s="31">
        <f t="shared" si="128"/>
        <v>0</v>
      </c>
      <c r="AW300" s="31">
        <f t="shared" si="129"/>
        <v>0</v>
      </c>
      <c r="AX300" s="31">
        <f t="shared" si="130"/>
        <v>0</v>
      </c>
      <c r="AY300" s="31">
        <f t="shared" si="131"/>
        <v>0</v>
      </c>
      <c r="AZ300" s="31">
        <f t="shared" si="132"/>
        <v>0</v>
      </c>
      <c r="BA300" s="31">
        <f t="shared" si="133"/>
        <v>0</v>
      </c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36">
        <v>91260</v>
      </c>
      <c r="CW300" s="36">
        <f>CV300-Y300</f>
        <v>11260</v>
      </c>
      <c r="CX300" s="46">
        <f>CW300/CV300</f>
        <v>0.12338373876835415</v>
      </c>
      <c r="CY300" s="36">
        <f>AF300-CV300</f>
        <v>-91260</v>
      </c>
      <c r="CZ300" s="35" t="s">
        <v>29</v>
      </c>
      <c r="DA300" s="35"/>
      <c r="DB300" s="35"/>
      <c r="DC300" s="35"/>
      <c r="DD300" s="40"/>
      <c r="DE300" s="40"/>
      <c r="DF300" s="40"/>
      <c r="DG300" s="40"/>
      <c r="DH300" s="40"/>
      <c r="DI300" s="40"/>
      <c r="DJ300" s="40"/>
      <c r="DK300" s="40"/>
      <c r="DL300" s="35"/>
      <c r="DM300" s="35"/>
      <c r="DN300" s="35"/>
      <c r="DO300" s="35"/>
      <c r="DP300" s="35"/>
      <c r="DQ300" s="35"/>
      <c r="DR300" s="35"/>
      <c r="DS300" s="35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40"/>
      <c r="ES300" s="40"/>
      <c r="ET300" s="40"/>
      <c r="EU300" s="40"/>
      <c r="EV300" s="40"/>
      <c r="EW300" s="40"/>
      <c r="EX300" s="40"/>
      <c r="EY300" s="40"/>
      <c r="EZ300" s="35"/>
      <c r="FA300" s="35"/>
      <c r="FB300" s="35"/>
      <c r="FC300" s="35"/>
      <c r="FD300" s="35"/>
      <c r="FE300" s="35"/>
      <c r="FF300" s="35"/>
      <c r="FG300" s="35"/>
    </row>
    <row r="301" spans="1:163">
      <c r="A301" s="62">
        <v>181</v>
      </c>
      <c r="E301" s="63" t="s">
        <v>63</v>
      </c>
      <c r="F301" s="56" t="s">
        <v>63</v>
      </c>
      <c r="G301" s="65" t="s">
        <v>561</v>
      </c>
      <c r="H301" s="66" t="str">
        <f t="shared" si="119"/>
        <v xml:space="preserve"> 351</v>
      </c>
      <c r="I301" s="67" t="s">
        <v>561</v>
      </c>
      <c r="J301" s="68">
        <f t="shared" si="120"/>
        <v>0</v>
      </c>
      <c r="K301" s="63" t="s">
        <v>289</v>
      </c>
      <c r="L301" s="1" t="s">
        <v>46</v>
      </c>
      <c r="O301" s="64" t="s">
        <v>789</v>
      </c>
      <c r="P301" s="82">
        <v>0</v>
      </c>
      <c r="Q301" s="74">
        <f t="shared" si="140"/>
        <v>70000</v>
      </c>
      <c r="R301" s="71">
        <v>70000</v>
      </c>
      <c r="S301" s="72">
        <f t="shared" si="137"/>
        <v>8150</v>
      </c>
      <c r="T301" s="68" t="s">
        <v>791</v>
      </c>
      <c r="U301" s="73">
        <f t="shared" si="138"/>
        <v>61850</v>
      </c>
      <c r="V301" s="75">
        <f>2000+5100+600+250+200</f>
        <v>8150</v>
      </c>
      <c r="W301" s="2">
        <f t="shared" si="121"/>
        <v>70000</v>
      </c>
      <c r="Y301" s="80">
        <f t="shared" si="122"/>
        <v>70000</v>
      </c>
      <c r="Z301" s="93"/>
      <c r="AA301" s="93"/>
      <c r="AB301" s="94"/>
      <c r="AE301" s="2">
        <v>122000</v>
      </c>
      <c r="AF301" s="28">
        <f t="shared" si="118"/>
        <v>122000</v>
      </c>
      <c r="AG301" s="55" t="s">
        <v>125</v>
      </c>
      <c r="AI301" s="20" t="s">
        <v>206</v>
      </c>
      <c r="AJ301" s="2">
        <f t="shared" si="123"/>
        <v>52000</v>
      </c>
      <c r="AN301" s="29">
        <f t="shared" si="124"/>
        <v>0.42622950819672129</v>
      </c>
      <c r="AP301" s="3" t="s">
        <v>29</v>
      </c>
      <c r="AQ301" s="1" t="s">
        <v>165</v>
      </c>
      <c r="AR301" s="31">
        <f t="shared" si="125"/>
        <v>0</v>
      </c>
      <c r="AS301" s="31">
        <f t="shared" si="126"/>
        <v>0</v>
      </c>
      <c r="AT301" s="31">
        <f t="shared" si="141"/>
        <v>0</v>
      </c>
      <c r="AU301" s="31">
        <f t="shared" si="127"/>
        <v>0</v>
      </c>
      <c r="AV301" s="31">
        <f t="shared" si="128"/>
        <v>0</v>
      </c>
      <c r="AW301" s="31">
        <f t="shared" si="129"/>
        <v>0</v>
      </c>
      <c r="AX301" s="31">
        <f t="shared" si="130"/>
        <v>0</v>
      </c>
      <c r="AY301" s="31">
        <f t="shared" si="131"/>
        <v>0</v>
      </c>
      <c r="AZ301" s="31">
        <f t="shared" si="132"/>
        <v>0</v>
      </c>
      <c r="BA301" s="31">
        <f t="shared" si="133"/>
        <v>0</v>
      </c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41"/>
      <c r="BM301" s="41"/>
      <c r="BN301" s="41"/>
      <c r="BO301" s="37"/>
      <c r="BP301" s="38"/>
      <c r="BQ301" s="37"/>
      <c r="BR301" s="40"/>
      <c r="BS301" s="39"/>
      <c r="BT301" s="39"/>
      <c r="BU301" s="39"/>
      <c r="BV301" s="39"/>
      <c r="BW301" s="39"/>
      <c r="BX301" s="36"/>
      <c r="BY301" s="33"/>
      <c r="BZ301" s="33"/>
      <c r="CA301" s="33"/>
      <c r="CB301" s="34"/>
      <c r="CC301" s="33"/>
      <c r="CD301" s="35"/>
      <c r="CE301" s="48"/>
      <c r="CF301" s="48"/>
      <c r="CG301" s="48"/>
      <c r="CH301" s="48"/>
      <c r="CI301" s="48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35"/>
      <c r="CW301" s="35"/>
      <c r="CX301" s="35"/>
      <c r="CY301" s="35"/>
      <c r="CZ301" s="35"/>
      <c r="DA301" s="35"/>
      <c r="DB301" s="35"/>
      <c r="DC301" s="35"/>
      <c r="DD301" s="40"/>
      <c r="DE301" s="40"/>
      <c r="DF301" s="40"/>
      <c r="DG301" s="40"/>
      <c r="DH301" s="40"/>
      <c r="DI301" s="40"/>
      <c r="DJ301" s="40"/>
      <c r="DK301" s="40"/>
      <c r="DL301" s="35"/>
      <c r="DM301" s="35"/>
      <c r="DN301" s="35"/>
      <c r="DO301" s="35"/>
      <c r="DP301" s="35"/>
      <c r="DQ301" s="35"/>
      <c r="DR301" s="35"/>
      <c r="DS301" s="35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40"/>
      <c r="ES301" s="40"/>
      <c r="ET301" s="40"/>
      <c r="EU301" s="40"/>
      <c r="EV301" s="40"/>
      <c r="EW301" s="40"/>
      <c r="EX301" s="40"/>
      <c r="EY301" s="40"/>
      <c r="EZ301" s="35"/>
      <c r="FA301" s="35"/>
      <c r="FB301" s="35"/>
      <c r="FC301" s="35"/>
      <c r="FD301" s="35"/>
      <c r="FE301" s="35"/>
      <c r="FF301" s="35"/>
      <c r="FG301" s="35"/>
    </row>
    <row r="302" spans="1:163">
      <c r="A302" s="60">
        <v>140</v>
      </c>
      <c r="E302" s="63" t="s">
        <v>65</v>
      </c>
      <c r="F302" s="56" t="s">
        <v>123</v>
      </c>
      <c r="G302" s="65" t="s">
        <v>519</v>
      </c>
      <c r="H302" s="66" t="str">
        <f t="shared" si="119"/>
        <v xml:space="preserve"> 757</v>
      </c>
      <c r="I302" s="67" t="s">
        <v>519</v>
      </c>
      <c r="J302" s="68">
        <f t="shared" si="120"/>
        <v>0</v>
      </c>
      <c r="K302" s="63" t="s">
        <v>289</v>
      </c>
      <c r="L302" s="1" t="s">
        <v>46</v>
      </c>
      <c r="O302" s="88" t="s">
        <v>790</v>
      </c>
      <c r="P302" s="89">
        <v>0</v>
      </c>
      <c r="Q302" s="90">
        <f t="shared" si="140"/>
        <v>82000</v>
      </c>
      <c r="R302" s="71">
        <v>82000</v>
      </c>
      <c r="S302" s="72">
        <f t="shared" si="137"/>
        <v>8750</v>
      </c>
      <c r="T302" s="68" t="s">
        <v>791</v>
      </c>
      <c r="U302" s="73">
        <f t="shared" si="138"/>
        <v>73250</v>
      </c>
      <c r="V302" s="75">
        <f>5200+2000+600+200+250+500</f>
        <v>8750</v>
      </c>
      <c r="W302" s="2">
        <f t="shared" si="121"/>
        <v>82000</v>
      </c>
      <c r="Y302" s="81">
        <f t="shared" si="122"/>
        <v>82000</v>
      </c>
      <c r="Z302" s="96">
        <v>0</v>
      </c>
      <c r="AA302" s="97">
        <f>U302-Z302</f>
        <v>73250</v>
      </c>
      <c r="AB302" s="98" t="e">
        <f>AA302/Z302</f>
        <v>#DIV/0!</v>
      </c>
      <c r="AE302" s="2">
        <v>120000</v>
      </c>
      <c r="AF302" s="28">
        <f t="shared" si="118"/>
        <v>0</v>
      </c>
      <c r="AG302" s="55" t="s">
        <v>125</v>
      </c>
      <c r="AI302" s="20" t="s">
        <v>206</v>
      </c>
      <c r="AJ302" s="2">
        <f t="shared" si="123"/>
        <v>-82000</v>
      </c>
      <c r="AN302" s="29" t="e">
        <f t="shared" si="124"/>
        <v>#DIV/0!</v>
      </c>
      <c r="AP302" s="3" t="s">
        <v>140</v>
      </c>
      <c r="AQ302" s="1" t="s">
        <v>166</v>
      </c>
      <c r="AR302" s="31">
        <f t="shared" si="125"/>
        <v>-146200</v>
      </c>
      <c r="AS302" s="31">
        <f t="shared" si="126"/>
        <v>-160491</v>
      </c>
      <c r="AT302" s="31">
        <f t="shared" si="141"/>
        <v>-143400</v>
      </c>
      <c r="AU302" s="31">
        <f t="shared" si="127"/>
        <v>-146250</v>
      </c>
      <c r="AV302" s="31">
        <f t="shared" si="128"/>
        <v>0</v>
      </c>
      <c r="AW302" s="31">
        <f t="shared" si="129"/>
        <v>-168000</v>
      </c>
      <c r="AX302" s="31">
        <f t="shared" si="130"/>
        <v>-124848</v>
      </c>
      <c r="AY302" s="31">
        <f t="shared" si="131"/>
        <v>-124536</v>
      </c>
      <c r="AZ302" s="31">
        <f t="shared" si="132"/>
        <v>-157000</v>
      </c>
      <c r="BA302" s="31">
        <f t="shared" si="133"/>
        <v>0</v>
      </c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41">
        <v>142200</v>
      </c>
      <c r="BM302" s="41">
        <v>4000</v>
      </c>
      <c r="BN302" s="41">
        <f>BL302+BM302</f>
        <v>146200</v>
      </c>
      <c r="BO302" s="37">
        <f>BN302-Y302</f>
        <v>64200</v>
      </c>
      <c r="BP302" s="38">
        <f>BO302/BL302</f>
        <v>0.45147679324894513</v>
      </c>
      <c r="BQ302" s="37">
        <f>AF302-BN302</f>
        <v>-146200</v>
      </c>
      <c r="BR302" s="40" t="s">
        <v>29</v>
      </c>
      <c r="BS302" s="39"/>
      <c r="BT302" s="39"/>
      <c r="BU302" s="39"/>
      <c r="BV302" s="39"/>
      <c r="BW302" s="39"/>
      <c r="BX302" s="36">
        <v>140400</v>
      </c>
      <c r="BY302" s="33">
        <v>3000</v>
      </c>
      <c r="BZ302" s="33">
        <f>BX302+BY302</f>
        <v>143400</v>
      </c>
      <c r="CA302" s="33">
        <f>BZ302-Y302</f>
        <v>61400</v>
      </c>
      <c r="CB302" s="34">
        <f>CA302/BX302</f>
        <v>0.4373219373219373</v>
      </c>
      <c r="CC302" s="33">
        <f>AF302-BZ302</f>
        <v>-143400</v>
      </c>
      <c r="CD302" s="35" t="s">
        <v>29</v>
      </c>
      <c r="CE302" s="48"/>
      <c r="CF302" s="48"/>
      <c r="CG302" s="48"/>
      <c r="CH302" s="48"/>
      <c r="CI302" s="48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36">
        <v>160491</v>
      </c>
      <c r="CW302" s="36">
        <f>CV302-Y302</f>
        <v>78491</v>
      </c>
      <c r="CX302" s="46">
        <f>CW302/CV302</f>
        <v>0.48906792281187106</v>
      </c>
      <c r="CY302" s="36">
        <f>AF302-CV302</f>
        <v>-160491</v>
      </c>
      <c r="CZ302" s="35" t="s">
        <v>29</v>
      </c>
      <c r="DA302" s="35"/>
      <c r="DB302" s="35"/>
      <c r="DC302" s="35"/>
      <c r="DD302" s="41">
        <v>146250</v>
      </c>
      <c r="DE302" s="37">
        <f>DD302-Y302</f>
        <v>64250</v>
      </c>
      <c r="DF302" s="38">
        <f>DE302/DD302</f>
        <v>0.43931623931623931</v>
      </c>
      <c r="DG302" s="37">
        <f>AF302-DD302</f>
        <v>-146250</v>
      </c>
      <c r="DH302" s="42" t="s">
        <v>29</v>
      </c>
      <c r="DI302" s="40"/>
      <c r="DJ302" s="40"/>
      <c r="DK302" s="40"/>
      <c r="DL302" s="36">
        <v>168000</v>
      </c>
      <c r="DM302" s="33">
        <f>DL302-Y302</f>
        <v>86000</v>
      </c>
      <c r="DN302" s="34">
        <f>DM302/DL302</f>
        <v>0.51190476190476186</v>
      </c>
      <c r="DO302" s="33">
        <f>AF302-DL302</f>
        <v>-168000</v>
      </c>
      <c r="DP302" s="43" t="s">
        <v>29</v>
      </c>
      <c r="DQ302" s="35"/>
      <c r="DR302" s="35"/>
      <c r="DS302" s="35"/>
      <c r="DT302" s="41">
        <v>121348</v>
      </c>
      <c r="DU302" s="37">
        <v>3500</v>
      </c>
      <c r="DV302" s="41">
        <f>DT302+DU302</f>
        <v>124848</v>
      </c>
      <c r="DW302" s="37">
        <f>DV302-Y302</f>
        <v>42848</v>
      </c>
      <c r="DX302" s="38">
        <f>DW302/DV302</f>
        <v>0.34320133282070997</v>
      </c>
      <c r="DY302" s="37">
        <f>AF302-DV302</f>
        <v>-124848</v>
      </c>
      <c r="DZ302" s="40" t="s">
        <v>29</v>
      </c>
      <c r="EA302" s="40"/>
      <c r="EB302" s="40"/>
      <c r="EC302" s="40"/>
      <c r="ED302" s="40"/>
      <c r="EE302" s="40"/>
      <c r="EF302" s="36">
        <v>122036</v>
      </c>
      <c r="EG302" s="33">
        <v>2500</v>
      </c>
      <c r="EH302" s="33">
        <f>EF302+EG302</f>
        <v>124536</v>
      </c>
      <c r="EI302" s="33">
        <f>EH302-Y302</f>
        <v>42536</v>
      </c>
      <c r="EJ302" s="44">
        <f>EI302/EH302</f>
        <v>0.34155585533500354</v>
      </c>
      <c r="EK302" s="45">
        <f>AF302-EH302</f>
        <v>-124536</v>
      </c>
      <c r="EL302" s="35" t="s">
        <v>29</v>
      </c>
      <c r="EM302" s="35"/>
      <c r="EN302" s="35"/>
      <c r="EO302" s="35"/>
      <c r="EP302" s="35"/>
      <c r="EQ302" s="35"/>
      <c r="ER302" s="41">
        <v>157000</v>
      </c>
      <c r="ES302" s="37">
        <f>ER302-Y302</f>
        <v>75000</v>
      </c>
      <c r="ET302" s="38">
        <f>ES302/ER302</f>
        <v>0.47770700636942676</v>
      </c>
      <c r="EU302" s="37">
        <f>AF302-ER302</f>
        <v>-157000</v>
      </c>
      <c r="EV302" s="40" t="s">
        <v>29</v>
      </c>
      <c r="EW302" s="40"/>
      <c r="EX302" s="40"/>
      <c r="EY302" s="40"/>
      <c r="EZ302" s="35"/>
      <c r="FA302" s="35"/>
      <c r="FB302" s="35"/>
      <c r="FC302" s="35"/>
      <c r="FD302" s="35"/>
      <c r="FE302" s="35"/>
      <c r="FF302" s="35"/>
      <c r="FG302" s="35"/>
    </row>
    <row r="303" spans="1:163">
      <c r="A303" s="62">
        <v>326</v>
      </c>
      <c r="E303" s="63" t="s">
        <v>76</v>
      </c>
      <c r="F303" s="56" t="s">
        <v>74</v>
      </c>
      <c r="G303" s="70" t="s">
        <v>697</v>
      </c>
      <c r="H303" s="66" t="str">
        <f t="shared" si="119"/>
        <v xml:space="preserve"> 203</v>
      </c>
      <c r="I303" s="67" t="s">
        <v>697</v>
      </c>
      <c r="J303" s="68">
        <f t="shared" si="120"/>
        <v>0</v>
      </c>
      <c r="K303" s="63" t="s">
        <v>360</v>
      </c>
      <c r="L303" s="1" t="s">
        <v>46</v>
      </c>
      <c r="O303" s="88" t="s">
        <v>790</v>
      </c>
      <c r="P303" s="89">
        <v>69000</v>
      </c>
      <c r="Q303" s="90">
        <f t="shared" si="140"/>
        <v>0</v>
      </c>
      <c r="R303" s="71"/>
      <c r="S303" s="72">
        <f t="shared" si="137"/>
        <v>0</v>
      </c>
      <c r="T303" s="68"/>
      <c r="U303" s="73">
        <f t="shared" si="138"/>
        <v>0</v>
      </c>
      <c r="V303" s="73"/>
      <c r="W303" s="2">
        <f t="shared" si="121"/>
        <v>-69000</v>
      </c>
      <c r="Y303" s="81">
        <f t="shared" si="122"/>
        <v>0</v>
      </c>
      <c r="Z303" s="96">
        <v>0</v>
      </c>
      <c r="AA303" s="97">
        <f>U303-Z303</f>
        <v>0</v>
      </c>
      <c r="AB303" s="98" t="e">
        <f>AA303/Z303</f>
        <v>#DIV/0!</v>
      </c>
      <c r="AC303" s="2">
        <v>3000</v>
      </c>
      <c r="AD303" s="2">
        <f>Z303+AC303</f>
        <v>3000</v>
      </c>
      <c r="AF303" s="28">
        <f t="shared" si="118"/>
        <v>3000</v>
      </c>
      <c r="AG303" s="55" t="s">
        <v>125</v>
      </c>
      <c r="AH303" s="2"/>
      <c r="AI303" s="20" t="s">
        <v>45</v>
      </c>
      <c r="AJ303" s="2">
        <f t="shared" si="123"/>
        <v>3000</v>
      </c>
      <c r="AN303" s="29">
        <f t="shared" si="124"/>
        <v>1</v>
      </c>
      <c r="AO303" s="29" t="e">
        <f>AN303-AB303</f>
        <v>#DIV/0!</v>
      </c>
      <c r="AP303" s="3" t="s">
        <v>29</v>
      </c>
      <c r="AQ303" s="1" t="s">
        <v>185</v>
      </c>
      <c r="AR303" s="31">
        <f t="shared" si="125"/>
        <v>0</v>
      </c>
      <c r="AS303" s="31">
        <f t="shared" si="126"/>
        <v>0</v>
      </c>
      <c r="AT303" s="31">
        <f t="shared" si="141"/>
        <v>0</v>
      </c>
      <c r="AU303" s="31">
        <f t="shared" si="127"/>
        <v>0</v>
      </c>
      <c r="AV303" s="31">
        <f t="shared" si="128"/>
        <v>0</v>
      </c>
      <c r="AW303" s="31">
        <f t="shared" si="129"/>
        <v>0</v>
      </c>
      <c r="AX303" s="31">
        <f t="shared" si="130"/>
        <v>0</v>
      </c>
      <c r="AY303" s="31">
        <f t="shared" si="131"/>
        <v>0</v>
      </c>
      <c r="AZ303" s="31">
        <f t="shared" si="132"/>
        <v>0</v>
      </c>
      <c r="BA303" s="31">
        <f t="shared" si="133"/>
        <v>0</v>
      </c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41"/>
      <c r="BM303" s="41"/>
      <c r="BN303" s="41"/>
      <c r="BO303" s="37"/>
      <c r="BP303" s="38"/>
      <c r="BQ303" s="37"/>
      <c r="BR303" s="40"/>
      <c r="BS303" s="39"/>
      <c r="BT303" s="39"/>
      <c r="BU303" s="39"/>
      <c r="BV303" s="39"/>
      <c r="BW303" s="39"/>
      <c r="BX303" s="36"/>
      <c r="BY303" s="33"/>
      <c r="BZ303" s="33"/>
      <c r="CA303" s="33"/>
      <c r="CB303" s="34"/>
      <c r="CC303" s="33"/>
      <c r="CD303" s="35"/>
      <c r="CE303" s="48"/>
      <c r="CF303" s="48"/>
      <c r="CG303" s="48"/>
      <c r="CH303" s="48"/>
      <c r="CI303" s="48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35"/>
      <c r="CW303" s="35"/>
      <c r="CX303" s="35"/>
      <c r="CY303" s="35"/>
      <c r="CZ303" s="35"/>
      <c r="DA303" s="35"/>
      <c r="DB303" s="35"/>
      <c r="DC303" s="35"/>
      <c r="DD303" s="40"/>
      <c r="DE303" s="40"/>
      <c r="DF303" s="40"/>
      <c r="DG303" s="40"/>
      <c r="DH303" s="40"/>
      <c r="DI303" s="40"/>
      <c r="DJ303" s="40"/>
      <c r="DK303" s="40"/>
      <c r="DL303" s="35"/>
      <c r="DM303" s="35"/>
      <c r="DN303" s="35"/>
      <c r="DO303" s="35"/>
      <c r="DP303" s="35"/>
      <c r="DQ303" s="35"/>
      <c r="DR303" s="35"/>
      <c r="DS303" s="35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40"/>
      <c r="ES303" s="40"/>
      <c r="ET303" s="40"/>
      <c r="EU303" s="40"/>
      <c r="EV303" s="40"/>
      <c r="EW303" s="40"/>
      <c r="EX303" s="40"/>
      <c r="EY303" s="40"/>
      <c r="EZ303" s="35"/>
      <c r="FA303" s="35"/>
      <c r="FB303" s="35"/>
      <c r="FC303" s="35"/>
      <c r="FD303" s="35"/>
      <c r="FE303" s="35"/>
      <c r="FF303" s="35"/>
      <c r="FG303" s="35"/>
    </row>
    <row r="304" spans="1:163">
      <c r="A304" s="62">
        <v>324</v>
      </c>
      <c r="E304" s="63" t="s">
        <v>76</v>
      </c>
      <c r="F304" s="56" t="s">
        <v>74</v>
      </c>
      <c r="G304" s="70" t="s">
        <v>695</v>
      </c>
      <c r="H304" s="66" t="str">
        <f t="shared" si="119"/>
        <v xml:space="preserve"> 789</v>
      </c>
      <c r="I304" s="67" t="s">
        <v>695</v>
      </c>
      <c r="J304" s="68">
        <f t="shared" si="120"/>
        <v>0</v>
      </c>
      <c r="K304" s="63" t="s">
        <v>360</v>
      </c>
      <c r="L304" s="1" t="s">
        <v>46</v>
      </c>
      <c r="O304" s="88" t="s">
        <v>790</v>
      </c>
      <c r="P304" s="89">
        <v>69000</v>
      </c>
      <c r="Q304" s="90">
        <f t="shared" si="140"/>
        <v>0</v>
      </c>
      <c r="R304" s="71"/>
      <c r="S304" s="72">
        <f t="shared" si="137"/>
        <v>0</v>
      </c>
      <c r="T304" s="68"/>
      <c r="U304" s="73">
        <f t="shared" si="138"/>
        <v>0</v>
      </c>
      <c r="V304" s="75"/>
      <c r="W304" s="2">
        <f t="shared" si="121"/>
        <v>-69000</v>
      </c>
      <c r="Y304" s="81">
        <f t="shared" si="122"/>
        <v>0</v>
      </c>
      <c r="Z304" s="96">
        <v>0</v>
      </c>
      <c r="AA304" s="97"/>
      <c r="AB304" s="98"/>
      <c r="AE304" s="2">
        <v>112000</v>
      </c>
      <c r="AF304" s="28">
        <f t="shared" si="118"/>
        <v>0</v>
      </c>
      <c r="AG304" s="55" t="s">
        <v>125</v>
      </c>
      <c r="AI304" s="20" t="s">
        <v>45</v>
      </c>
      <c r="AJ304" s="2">
        <f t="shared" si="123"/>
        <v>0</v>
      </c>
      <c r="AN304" s="29" t="e">
        <f t="shared" si="124"/>
        <v>#DIV/0!</v>
      </c>
      <c r="AP304" s="3" t="s">
        <v>29</v>
      </c>
      <c r="AQ304" s="1" t="s">
        <v>185</v>
      </c>
      <c r="AR304" s="31">
        <f t="shared" si="125"/>
        <v>0</v>
      </c>
      <c r="AS304" s="31">
        <f t="shared" si="126"/>
        <v>0</v>
      </c>
      <c r="AT304" s="31">
        <f t="shared" si="141"/>
        <v>0</v>
      </c>
      <c r="AU304" s="31">
        <f t="shared" si="127"/>
        <v>0</v>
      </c>
      <c r="AV304" s="31">
        <f t="shared" si="128"/>
        <v>0</v>
      </c>
      <c r="AW304" s="31">
        <f t="shared" si="129"/>
        <v>0</v>
      </c>
      <c r="AX304" s="31">
        <f t="shared" si="130"/>
        <v>0</v>
      </c>
      <c r="AY304" s="31">
        <f t="shared" si="131"/>
        <v>0</v>
      </c>
      <c r="AZ304" s="31">
        <f t="shared" si="132"/>
        <v>0</v>
      </c>
      <c r="BA304" s="31">
        <f t="shared" si="133"/>
        <v>0</v>
      </c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41"/>
      <c r="BM304" s="41"/>
      <c r="BN304" s="41"/>
      <c r="BO304" s="37"/>
      <c r="BP304" s="38"/>
      <c r="BQ304" s="37"/>
      <c r="BR304" s="40"/>
      <c r="BS304" s="39"/>
      <c r="BT304" s="39"/>
      <c r="BU304" s="39"/>
      <c r="BV304" s="39"/>
      <c r="BW304" s="39"/>
      <c r="BX304" s="36"/>
      <c r="BY304" s="33"/>
      <c r="BZ304" s="33"/>
      <c r="CA304" s="33"/>
      <c r="CB304" s="34"/>
      <c r="CC304" s="33"/>
      <c r="CD304" s="35"/>
      <c r="CE304" s="48"/>
      <c r="CF304" s="48"/>
      <c r="CG304" s="48"/>
      <c r="CH304" s="48"/>
      <c r="CI304" s="48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35"/>
      <c r="CW304" s="35"/>
      <c r="CX304" s="35"/>
      <c r="CY304" s="35"/>
      <c r="CZ304" s="35"/>
      <c r="DA304" s="35"/>
      <c r="DB304" s="35"/>
      <c r="DC304" s="35"/>
      <c r="DD304" s="40"/>
      <c r="DE304" s="40"/>
      <c r="DF304" s="40"/>
      <c r="DG304" s="40"/>
      <c r="DH304" s="40"/>
      <c r="DI304" s="40"/>
      <c r="DJ304" s="40"/>
      <c r="DK304" s="40"/>
      <c r="DL304" s="35"/>
      <c r="DM304" s="35"/>
      <c r="DN304" s="35"/>
      <c r="DO304" s="35"/>
      <c r="DP304" s="35"/>
      <c r="DQ304" s="35"/>
      <c r="DR304" s="35"/>
      <c r="DS304" s="35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40"/>
      <c r="ES304" s="40"/>
      <c r="ET304" s="40"/>
      <c r="EU304" s="40"/>
      <c r="EV304" s="40"/>
      <c r="EW304" s="40"/>
      <c r="EX304" s="40"/>
      <c r="EY304" s="40"/>
      <c r="EZ304" s="35"/>
      <c r="FA304" s="35"/>
      <c r="FB304" s="35"/>
      <c r="FC304" s="35"/>
      <c r="FD304" s="35"/>
      <c r="FE304" s="35"/>
      <c r="FF304" s="35"/>
      <c r="FG304" s="35"/>
    </row>
    <row r="305" spans="1:163">
      <c r="A305" s="62">
        <v>251</v>
      </c>
      <c r="E305" s="63" t="s">
        <v>219</v>
      </c>
      <c r="F305" s="56" t="s">
        <v>51</v>
      </c>
      <c r="G305" s="70" t="s">
        <v>627</v>
      </c>
      <c r="H305" s="66" t="str">
        <f t="shared" si="119"/>
        <v xml:space="preserve"> 845</v>
      </c>
      <c r="I305" s="67" t="s">
        <v>627</v>
      </c>
      <c r="J305" s="68">
        <f t="shared" si="120"/>
        <v>0</v>
      </c>
      <c r="K305" s="63" t="s">
        <v>340</v>
      </c>
      <c r="L305" s="1" t="s">
        <v>46</v>
      </c>
      <c r="O305" s="64" t="s">
        <v>789</v>
      </c>
      <c r="P305" s="82">
        <v>0</v>
      </c>
      <c r="Q305" s="74">
        <f t="shared" si="140"/>
        <v>0</v>
      </c>
      <c r="R305" s="71"/>
      <c r="S305" s="72">
        <f t="shared" si="137"/>
        <v>0</v>
      </c>
      <c r="T305" s="68"/>
      <c r="U305" s="73">
        <f t="shared" si="138"/>
        <v>0</v>
      </c>
      <c r="V305" s="75"/>
      <c r="W305" s="2">
        <f t="shared" si="121"/>
        <v>0</v>
      </c>
      <c r="Y305" s="80">
        <f t="shared" si="122"/>
        <v>0</v>
      </c>
      <c r="Z305" s="93"/>
      <c r="AA305" s="93"/>
      <c r="AB305" s="94"/>
      <c r="AE305" s="2">
        <v>170000</v>
      </c>
      <c r="AF305" s="28">
        <f t="shared" si="118"/>
        <v>170000</v>
      </c>
      <c r="AG305" s="55" t="s">
        <v>125</v>
      </c>
      <c r="AI305" s="20" t="s">
        <v>204</v>
      </c>
      <c r="AJ305" s="2">
        <f t="shared" si="123"/>
        <v>170000</v>
      </c>
      <c r="AN305" s="29">
        <f t="shared" si="124"/>
        <v>1</v>
      </c>
      <c r="AP305" s="3" t="s">
        <v>158</v>
      </c>
      <c r="AR305" s="31">
        <f t="shared" si="125"/>
        <v>0</v>
      </c>
      <c r="AS305" s="31">
        <f t="shared" si="126"/>
        <v>0</v>
      </c>
      <c r="AT305" s="31">
        <f t="shared" si="141"/>
        <v>0</v>
      </c>
      <c r="AU305" s="31">
        <f t="shared" si="127"/>
        <v>0</v>
      </c>
      <c r="AV305" s="31">
        <f t="shared" si="128"/>
        <v>0</v>
      </c>
      <c r="AW305" s="31">
        <f t="shared" si="129"/>
        <v>0</v>
      </c>
      <c r="AX305" s="31">
        <f t="shared" si="130"/>
        <v>0</v>
      </c>
      <c r="AY305" s="31">
        <f t="shared" si="131"/>
        <v>0</v>
      </c>
      <c r="AZ305" s="31">
        <f t="shared" si="132"/>
        <v>0</v>
      </c>
      <c r="BA305" s="31">
        <f t="shared" si="133"/>
        <v>0</v>
      </c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35"/>
      <c r="CW305" s="35"/>
      <c r="CX305" s="35"/>
      <c r="CY305" s="35"/>
      <c r="CZ305" s="35"/>
      <c r="DA305" s="35"/>
      <c r="DB305" s="35"/>
      <c r="DC305" s="35"/>
      <c r="DD305" s="40"/>
      <c r="DE305" s="40"/>
      <c r="DF305" s="40"/>
      <c r="DG305" s="40"/>
      <c r="DH305" s="40"/>
      <c r="DI305" s="40"/>
      <c r="DJ305" s="40"/>
      <c r="DK305" s="40"/>
      <c r="DL305" s="35"/>
      <c r="DM305" s="35"/>
      <c r="DN305" s="35"/>
      <c r="DO305" s="35"/>
      <c r="DP305" s="35"/>
      <c r="DQ305" s="35"/>
      <c r="DR305" s="35"/>
      <c r="DS305" s="35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40"/>
      <c r="ES305" s="40"/>
      <c r="ET305" s="40"/>
      <c r="EU305" s="40"/>
      <c r="EV305" s="40"/>
      <c r="EW305" s="40"/>
      <c r="EX305" s="40"/>
      <c r="EY305" s="40"/>
      <c r="EZ305" s="35"/>
      <c r="FA305" s="35"/>
      <c r="FB305" s="35"/>
      <c r="FC305" s="35"/>
      <c r="FD305" s="35"/>
      <c r="FE305" s="35"/>
      <c r="FF305" s="35"/>
      <c r="FG305" s="35"/>
    </row>
    <row r="306" spans="1:163">
      <c r="A306" s="62">
        <v>250</v>
      </c>
      <c r="E306" s="63" t="s">
        <v>219</v>
      </c>
      <c r="F306" s="56" t="s">
        <v>52</v>
      </c>
      <c r="G306" s="70" t="s">
        <v>626</v>
      </c>
      <c r="H306" s="66" t="str">
        <f t="shared" si="119"/>
        <v xml:space="preserve"> 532</v>
      </c>
      <c r="I306" s="67" t="s">
        <v>626</v>
      </c>
      <c r="J306" s="68">
        <f t="shared" si="120"/>
        <v>0</v>
      </c>
      <c r="K306" s="63" t="s">
        <v>340</v>
      </c>
      <c r="L306" s="1" t="s">
        <v>46</v>
      </c>
      <c r="O306" s="88" t="s">
        <v>790</v>
      </c>
      <c r="P306" s="89">
        <v>0</v>
      </c>
      <c r="Q306" s="90">
        <f t="shared" si="140"/>
        <v>0</v>
      </c>
      <c r="R306" s="71"/>
      <c r="S306" s="72">
        <f t="shared" si="137"/>
        <v>0</v>
      </c>
      <c r="T306" s="68"/>
      <c r="U306" s="73">
        <f t="shared" si="138"/>
        <v>0</v>
      </c>
      <c r="V306" s="75"/>
      <c r="W306" s="2">
        <f t="shared" si="121"/>
        <v>0</v>
      </c>
      <c r="Y306" s="81">
        <f t="shared" si="122"/>
        <v>0</v>
      </c>
      <c r="Z306" s="96">
        <v>0</v>
      </c>
      <c r="AA306" s="97">
        <f>U306-Z306</f>
        <v>0</v>
      </c>
      <c r="AB306" s="98" t="e">
        <f>AA306/Z306</f>
        <v>#DIV/0!</v>
      </c>
      <c r="AE306" s="2">
        <v>265000</v>
      </c>
      <c r="AF306" s="28">
        <f t="shared" si="118"/>
        <v>0</v>
      </c>
      <c r="AG306" s="55" t="s">
        <v>125</v>
      </c>
      <c r="AI306" s="20" t="s">
        <v>204</v>
      </c>
      <c r="AJ306" s="2">
        <f t="shared" si="123"/>
        <v>0</v>
      </c>
      <c r="AN306" s="29" t="e">
        <f t="shared" si="124"/>
        <v>#DIV/0!</v>
      </c>
      <c r="AP306" s="3" t="s">
        <v>158</v>
      </c>
      <c r="AR306" s="31">
        <f t="shared" si="125"/>
        <v>0</v>
      </c>
      <c r="AS306" s="31">
        <f t="shared" si="126"/>
        <v>-275670</v>
      </c>
      <c r="AT306" s="31">
        <f t="shared" si="141"/>
        <v>0</v>
      </c>
      <c r="AU306" s="31">
        <f t="shared" si="127"/>
        <v>0</v>
      </c>
      <c r="AV306" s="31">
        <f t="shared" si="128"/>
        <v>0</v>
      </c>
      <c r="AW306" s="31">
        <f t="shared" si="129"/>
        <v>0</v>
      </c>
      <c r="AX306" s="31">
        <f t="shared" si="130"/>
        <v>0</v>
      </c>
      <c r="AY306" s="31">
        <f t="shared" si="131"/>
        <v>0</v>
      </c>
      <c r="AZ306" s="31">
        <f t="shared" si="132"/>
        <v>0</v>
      </c>
      <c r="BA306" s="31">
        <f t="shared" si="133"/>
        <v>0</v>
      </c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35">
        <v>275670</v>
      </c>
      <c r="CW306" s="36">
        <f>CV306-Y306</f>
        <v>275670</v>
      </c>
      <c r="CX306" s="52">
        <f>CW306/CV306</f>
        <v>1</v>
      </c>
      <c r="CY306" s="36">
        <f>AF306-CV306</f>
        <v>-275670</v>
      </c>
      <c r="CZ306" s="35" t="s">
        <v>102</v>
      </c>
      <c r="DA306" s="35"/>
      <c r="DB306" s="35"/>
      <c r="DC306" s="35"/>
      <c r="DD306" s="40"/>
      <c r="DE306" s="40"/>
      <c r="DF306" s="40"/>
      <c r="DG306" s="40"/>
      <c r="DH306" s="40"/>
      <c r="DI306" s="40"/>
      <c r="DJ306" s="40"/>
      <c r="DK306" s="40"/>
      <c r="DL306" s="35"/>
      <c r="DM306" s="35"/>
      <c r="DN306" s="35"/>
      <c r="DO306" s="35"/>
      <c r="DP306" s="35"/>
      <c r="DQ306" s="35"/>
      <c r="DR306" s="35"/>
      <c r="DS306" s="35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40"/>
      <c r="ES306" s="40"/>
      <c r="ET306" s="40"/>
      <c r="EU306" s="40"/>
      <c r="EV306" s="40"/>
      <c r="EW306" s="40"/>
      <c r="EX306" s="40"/>
      <c r="EY306" s="40"/>
      <c r="EZ306" s="35"/>
      <c r="FA306" s="35"/>
      <c r="FB306" s="35"/>
      <c r="FC306" s="35"/>
      <c r="FD306" s="35"/>
      <c r="FE306" s="35"/>
      <c r="FF306" s="35"/>
      <c r="FG306" s="35"/>
    </row>
    <row r="307" spans="1:163">
      <c r="A307" s="62">
        <v>255</v>
      </c>
      <c r="E307" s="63" t="s">
        <v>219</v>
      </c>
      <c r="F307" s="56" t="s">
        <v>52</v>
      </c>
      <c r="G307" s="70" t="s">
        <v>629</v>
      </c>
      <c r="H307" s="66" t="str">
        <f t="shared" si="119"/>
        <v xml:space="preserve"> 712</v>
      </c>
      <c r="I307" s="67" t="s">
        <v>629</v>
      </c>
      <c r="J307" s="68">
        <f t="shared" si="120"/>
        <v>0</v>
      </c>
      <c r="K307" s="63" t="s">
        <v>340</v>
      </c>
      <c r="L307" s="1" t="s">
        <v>46</v>
      </c>
      <c r="O307" s="88" t="s">
        <v>790</v>
      </c>
      <c r="P307" s="89">
        <v>0</v>
      </c>
      <c r="Q307" s="90">
        <f t="shared" si="140"/>
        <v>0</v>
      </c>
      <c r="R307" s="71"/>
      <c r="S307" s="72">
        <f t="shared" si="137"/>
        <v>0</v>
      </c>
      <c r="T307" s="68"/>
      <c r="U307" s="73">
        <f t="shared" si="138"/>
        <v>0</v>
      </c>
      <c r="V307" s="75"/>
      <c r="W307" s="2">
        <f t="shared" si="121"/>
        <v>0</v>
      </c>
      <c r="Y307" s="81">
        <f t="shared" si="122"/>
        <v>0</v>
      </c>
      <c r="Z307" s="96">
        <v>0</v>
      </c>
      <c r="AA307" s="97">
        <f>U307-Z307</f>
        <v>0</v>
      </c>
      <c r="AB307" s="98" t="e">
        <f>AA307/Z307</f>
        <v>#DIV/0!</v>
      </c>
      <c r="AE307" s="2">
        <v>235000</v>
      </c>
      <c r="AF307" s="28">
        <f t="shared" si="118"/>
        <v>0</v>
      </c>
      <c r="AG307" s="55" t="s">
        <v>125</v>
      </c>
      <c r="AI307" s="20" t="s">
        <v>204</v>
      </c>
      <c r="AJ307" s="2">
        <f t="shared" si="123"/>
        <v>0</v>
      </c>
      <c r="AN307" s="29" t="e">
        <f t="shared" si="124"/>
        <v>#DIV/0!</v>
      </c>
      <c r="AP307" s="3" t="s">
        <v>158</v>
      </c>
      <c r="AR307" s="31">
        <f t="shared" si="125"/>
        <v>0</v>
      </c>
      <c r="AS307" s="31">
        <f t="shared" si="126"/>
        <v>0</v>
      </c>
      <c r="AT307" s="31">
        <f t="shared" si="141"/>
        <v>0</v>
      </c>
      <c r="AU307" s="31">
        <f t="shared" si="127"/>
        <v>0</v>
      </c>
      <c r="AV307" s="31">
        <f t="shared" si="128"/>
        <v>0</v>
      </c>
      <c r="AW307" s="31">
        <f t="shared" si="129"/>
        <v>0</v>
      </c>
      <c r="AX307" s="31">
        <f t="shared" si="130"/>
        <v>0</v>
      </c>
      <c r="AY307" s="31">
        <f t="shared" si="131"/>
        <v>0</v>
      </c>
      <c r="AZ307" s="31">
        <f t="shared" si="132"/>
        <v>0</v>
      </c>
      <c r="BA307" s="31">
        <f t="shared" si="133"/>
        <v>0</v>
      </c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35"/>
      <c r="CW307" s="35"/>
      <c r="CX307" s="35"/>
      <c r="CY307" s="35"/>
      <c r="CZ307" s="35"/>
      <c r="DA307" s="35"/>
      <c r="DB307" s="35"/>
      <c r="DC307" s="35"/>
      <c r="DD307" s="40"/>
      <c r="DE307" s="40"/>
      <c r="DF307" s="40"/>
      <c r="DG307" s="40"/>
      <c r="DH307" s="40"/>
      <c r="DI307" s="40"/>
      <c r="DJ307" s="40"/>
      <c r="DK307" s="40"/>
      <c r="DL307" s="35"/>
      <c r="DM307" s="35"/>
      <c r="DN307" s="35"/>
      <c r="DO307" s="35"/>
      <c r="DP307" s="35"/>
      <c r="DQ307" s="35"/>
      <c r="DR307" s="35"/>
      <c r="DS307" s="35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40"/>
      <c r="ES307" s="40"/>
      <c r="ET307" s="40"/>
      <c r="EU307" s="40"/>
      <c r="EV307" s="40"/>
      <c r="EW307" s="40"/>
      <c r="EX307" s="40"/>
      <c r="EY307" s="40"/>
      <c r="EZ307" s="35"/>
      <c r="FA307" s="35"/>
      <c r="FB307" s="35"/>
      <c r="FC307" s="35"/>
      <c r="FD307" s="35"/>
      <c r="FE307" s="35"/>
      <c r="FF307" s="35"/>
      <c r="FG307" s="35"/>
    </row>
    <row r="308" spans="1:163">
      <c r="A308" s="60">
        <v>130</v>
      </c>
      <c r="E308" s="63" t="s">
        <v>58</v>
      </c>
      <c r="F308" s="56" t="s">
        <v>60</v>
      </c>
      <c r="G308" s="70" t="s">
        <v>509</v>
      </c>
      <c r="H308" s="66" t="str">
        <f t="shared" si="119"/>
        <v xml:space="preserve"> 232</v>
      </c>
      <c r="I308" s="67" t="s">
        <v>509</v>
      </c>
      <c r="J308" s="68">
        <f t="shared" si="120"/>
        <v>0</v>
      </c>
      <c r="K308" s="63" t="s">
        <v>284</v>
      </c>
      <c r="L308" s="1" t="s">
        <v>46</v>
      </c>
      <c r="O308" s="88" t="s">
        <v>790</v>
      </c>
      <c r="P308" s="89">
        <v>49000</v>
      </c>
      <c r="Q308" s="90">
        <f t="shared" si="140"/>
        <v>0</v>
      </c>
      <c r="R308" s="71"/>
      <c r="S308" s="72">
        <f t="shared" si="137"/>
        <v>0</v>
      </c>
      <c r="T308" s="68"/>
      <c r="U308" s="73">
        <f t="shared" si="138"/>
        <v>0</v>
      </c>
      <c r="V308" s="73"/>
      <c r="W308" s="2">
        <f t="shared" si="121"/>
        <v>-49000</v>
      </c>
      <c r="Y308" s="81">
        <f t="shared" si="122"/>
        <v>0</v>
      </c>
      <c r="Z308" s="96">
        <v>0</v>
      </c>
      <c r="AA308" s="97">
        <f>U308-Z308</f>
        <v>0</v>
      </c>
      <c r="AB308" s="98" t="e">
        <f>AA308/Z308</f>
        <v>#DIV/0!</v>
      </c>
      <c r="AE308" s="2">
        <v>103000</v>
      </c>
      <c r="AF308" s="28">
        <f t="shared" si="118"/>
        <v>0</v>
      </c>
      <c r="AG308" s="55" t="s">
        <v>125</v>
      </c>
      <c r="AI308" s="20" t="s">
        <v>204</v>
      </c>
      <c r="AJ308" s="2">
        <f t="shared" si="123"/>
        <v>0</v>
      </c>
      <c r="AN308" s="29" t="e">
        <f t="shared" si="124"/>
        <v>#DIV/0!</v>
      </c>
      <c r="AP308" s="3" t="s">
        <v>29</v>
      </c>
      <c r="AQ308" s="1" t="s">
        <v>142</v>
      </c>
      <c r="AR308" s="31">
        <f t="shared" si="125"/>
        <v>0</v>
      </c>
      <c r="AS308" s="31">
        <f t="shared" si="126"/>
        <v>0</v>
      </c>
      <c r="AT308" s="31">
        <f t="shared" si="141"/>
        <v>0</v>
      </c>
      <c r="AU308" s="31">
        <f t="shared" si="127"/>
        <v>0</v>
      </c>
      <c r="AV308" s="31">
        <f t="shared" si="128"/>
        <v>0</v>
      </c>
      <c r="AW308" s="31">
        <f t="shared" si="129"/>
        <v>0</v>
      </c>
      <c r="AX308" s="31">
        <f t="shared" si="130"/>
        <v>0</v>
      </c>
      <c r="AY308" s="31">
        <f t="shared" si="131"/>
        <v>0</v>
      </c>
      <c r="AZ308" s="31">
        <f t="shared" si="132"/>
        <v>0</v>
      </c>
      <c r="BA308" s="31">
        <f t="shared" si="133"/>
        <v>0</v>
      </c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41"/>
      <c r="BM308" s="41"/>
      <c r="BN308" s="41"/>
      <c r="BO308" s="37"/>
      <c r="BP308" s="38"/>
      <c r="BQ308" s="37"/>
      <c r="BR308" s="40"/>
      <c r="BS308" s="39"/>
      <c r="BT308" s="39"/>
      <c r="BU308" s="39"/>
      <c r="BV308" s="39"/>
      <c r="BW308" s="39"/>
      <c r="BX308" s="36"/>
      <c r="BY308" s="33"/>
      <c r="BZ308" s="33"/>
      <c r="CA308" s="33"/>
      <c r="CB308" s="34"/>
      <c r="CC308" s="33"/>
      <c r="CD308" s="35"/>
      <c r="CE308" s="48"/>
      <c r="CF308" s="48"/>
      <c r="CG308" s="48"/>
      <c r="CH308" s="48"/>
      <c r="CI308" s="48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35"/>
      <c r="CW308" s="35"/>
      <c r="CX308" s="35"/>
      <c r="CY308" s="35"/>
      <c r="CZ308" s="35"/>
      <c r="DA308" s="35"/>
      <c r="DB308" s="35"/>
      <c r="DC308" s="35"/>
      <c r="DD308" s="40"/>
      <c r="DE308" s="40"/>
      <c r="DF308" s="40"/>
      <c r="DG308" s="40"/>
      <c r="DH308" s="40"/>
      <c r="DI308" s="40"/>
      <c r="DJ308" s="40"/>
      <c r="DK308" s="40"/>
      <c r="DL308" s="35"/>
      <c r="DM308" s="35"/>
      <c r="DN308" s="35"/>
      <c r="DO308" s="35"/>
      <c r="DP308" s="35"/>
      <c r="DQ308" s="35"/>
      <c r="DR308" s="35"/>
      <c r="DS308" s="35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40"/>
      <c r="ES308" s="40"/>
      <c r="ET308" s="40"/>
      <c r="EU308" s="40"/>
      <c r="EV308" s="40"/>
      <c r="EW308" s="40"/>
      <c r="EX308" s="40"/>
      <c r="EY308" s="40"/>
      <c r="EZ308" s="35"/>
      <c r="FA308" s="35"/>
      <c r="FB308" s="35"/>
      <c r="FC308" s="35"/>
      <c r="FD308" s="35"/>
      <c r="FE308" s="35"/>
      <c r="FF308" s="35"/>
      <c r="FG308" s="35"/>
    </row>
    <row r="309" spans="1:163">
      <c r="A309" s="62">
        <v>361</v>
      </c>
      <c r="E309" s="63" t="s">
        <v>228</v>
      </c>
      <c r="F309" s="56" t="s">
        <v>85</v>
      </c>
      <c r="G309" s="70" t="s">
        <v>730</v>
      </c>
      <c r="H309" s="66" t="str">
        <f t="shared" si="119"/>
        <v xml:space="preserve"> 483</v>
      </c>
      <c r="I309" s="67" t="s">
        <v>730</v>
      </c>
      <c r="J309" s="68">
        <f t="shared" si="120"/>
        <v>0</v>
      </c>
      <c r="K309" s="63" t="s">
        <v>372</v>
      </c>
      <c r="L309" s="1" t="s">
        <v>46</v>
      </c>
      <c r="O309" s="64" t="s">
        <v>789</v>
      </c>
      <c r="P309" s="82">
        <v>0</v>
      </c>
      <c r="Q309" s="74">
        <f t="shared" si="140"/>
        <v>56000</v>
      </c>
      <c r="R309" s="71">
        <v>56000</v>
      </c>
      <c r="S309" s="72">
        <f t="shared" si="137"/>
        <v>8400</v>
      </c>
      <c r="T309" s="68" t="s">
        <v>791</v>
      </c>
      <c r="U309" s="73">
        <f t="shared" si="138"/>
        <v>47600</v>
      </c>
      <c r="V309" s="73">
        <f>2000+4850+600+200+250+500</f>
        <v>8400</v>
      </c>
      <c r="W309" s="2">
        <f t="shared" si="121"/>
        <v>56000</v>
      </c>
      <c r="Y309" s="80">
        <f t="shared" si="122"/>
        <v>56000</v>
      </c>
      <c r="Z309" s="93"/>
      <c r="AA309" s="93"/>
      <c r="AB309" s="94"/>
      <c r="AE309" s="2">
        <v>93000</v>
      </c>
      <c r="AF309" s="28">
        <f t="shared" si="118"/>
        <v>93000</v>
      </c>
      <c r="AG309" s="55" t="s">
        <v>125</v>
      </c>
      <c r="AI309" s="20" t="s">
        <v>45</v>
      </c>
      <c r="AJ309" s="2">
        <f t="shared" si="123"/>
        <v>37000</v>
      </c>
      <c r="AN309" s="29">
        <f t="shared" si="124"/>
        <v>0.39784946236559138</v>
      </c>
      <c r="AP309" s="3" t="s">
        <v>29</v>
      </c>
      <c r="AQ309" s="1" t="s">
        <v>203</v>
      </c>
      <c r="AR309" s="31">
        <f t="shared" si="125"/>
        <v>0</v>
      </c>
      <c r="AS309" s="31">
        <f t="shared" si="126"/>
        <v>0</v>
      </c>
      <c r="AT309" s="31">
        <f t="shared" si="141"/>
        <v>0</v>
      </c>
      <c r="AU309" s="31">
        <f t="shared" si="127"/>
        <v>0</v>
      </c>
      <c r="AV309" s="31">
        <f t="shared" si="128"/>
        <v>0</v>
      </c>
      <c r="AW309" s="31">
        <f t="shared" si="129"/>
        <v>0</v>
      </c>
      <c r="AX309" s="31">
        <f t="shared" si="130"/>
        <v>0</v>
      </c>
      <c r="AY309" s="31">
        <f t="shared" si="131"/>
        <v>0</v>
      </c>
      <c r="AZ309" s="31">
        <f t="shared" si="132"/>
        <v>0</v>
      </c>
      <c r="BA309" s="31">
        <f t="shared" si="133"/>
        <v>0</v>
      </c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35"/>
      <c r="CW309" s="35"/>
      <c r="CX309" s="35"/>
      <c r="CY309" s="35"/>
      <c r="CZ309" s="35"/>
      <c r="DA309" s="35"/>
      <c r="DB309" s="35"/>
      <c r="DC309" s="35"/>
      <c r="DD309" s="40"/>
      <c r="DE309" s="40"/>
      <c r="DF309" s="40"/>
      <c r="DG309" s="40"/>
      <c r="DH309" s="40"/>
      <c r="DI309" s="40"/>
      <c r="DJ309" s="40"/>
      <c r="DK309" s="40"/>
      <c r="DL309" s="35"/>
      <c r="DM309" s="35"/>
      <c r="DN309" s="35"/>
      <c r="DO309" s="35"/>
      <c r="DP309" s="35"/>
      <c r="DQ309" s="35"/>
      <c r="DR309" s="35"/>
      <c r="DS309" s="35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40"/>
      <c r="ES309" s="40"/>
      <c r="ET309" s="40"/>
      <c r="EU309" s="40"/>
      <c r="EV309" s="40"/>
      <c r="EW309" s="40"/>
      <c r="EX309" s="40"/>
      <c r="EY309" s="40"/>
    </row>
    <row r="310" spans="1:163">
      <c r="A310" s="62">
        <v>319</v>
      </c>
      <c r="E310" s="63" t="s">
        <v>76</v>
      </c>
      <c r="F310" s="56" t="s">
        <v>74</v>
      </c>
      <c r="G310" s="65" t="s">
        <v>690</v>
      </c>
      <c r="H310" s="66" t="str">
        <f t="shared" si="119"/>
        <v xml:space="preserve"> 858</v>
      </c>
      <c r="I310" s="67" t="s">
        <v>690</v>
      </c>
      <c r="J310" s="68">
        <f t="shared" si="120"/>
        <v>0</v>
      </c>
      <c r="K310" s="63" t="s">
        <v>359</v>
      </c>
      <c r="L310" s="1" t="s">
        <v>46</v>
      </c>
      <c r="O310" s="64" t="s">
        <v>789</v>
      </c>
      <c r="P310" s="82">
        <v>0</v>
      </c>
      <c r="Q310" s="74">
        <f t="shared" si="140"/>
        <v>78000</v>
      </c>
      <c r="R310" s="71">
        <v>78000</v>
      </c>
      <c r="S310" s="72">
        <f t="shared" si="137"/>
        <v>8550</v>
      </c>
      <c r="T310" s="68" t="s">
        <v>791</v>
      </c>
      <c r="U310" s="73">
        <f t="shared" si="138"/>
        <v>69450</v>
      </c>
      <c r="V310" s="73">
        <f t="shared" ref="V310:V315" si="142">2000+5500+600+200+250</f>
        <v>8550</v>
      </c>
      <c r="W310" s="2">
        <f t="shared" si="121"/>
        <v>78000</v>
      </c>
      <c r="Y310" s="80">
        <f t="shared" si="122"/>
        <v>78000</v>
      </c>
      <c r="Z310" s="93"/>
      <c r="AA310" s="93"/>
      <c r="AB310" s="94"/>
      <c r="AC310" s="2">
        <v>3000</v>
      </c>
      <c r="AD310" s="2">
        <f>Z310+AC310</f>
        <v>3000</v>
      </c>
      <c r="AF310" s="28">
        <f t="shared" si="118"/>
        <v>0</v>
      </c>
      <c r="AG310" s="55" t="s">
        <v>125</v>
      </c>
      <c r="AH310" s="2"/>
      <c r="AI310" s="20" t="s">
        <v>45</v>
      </c>
      <c r="AJ310" s="2">
        <f t="shared" si="123"/>
        <v>-78000</v>
      </c>
      <c r="AN310" s="29" t="e">
        <f t="shared" si="124"/>
        <v>#DIV/0!</v>
      </c>
      <c r="AO310" s="29" t="e">
        <f>AN310-AB310</f>
        <v>#DIV/0!</v>
      </c>
      <c r="AP310" s="3" t="s">
        <v>29</v>
      </c>
      <c r="AQ310" s="1" t="s">
        <v>185</v>
      </c>
      <c r="AR310" s="31">
        <f t="shared" si="125"/>
        <v>0</v>
      </c>
      <c r="AS310" s="31">
        <f t="shared" si="126"/>
        <v>0</v>
      </c>
      <c r="AT310" s="31">
        <f t="shared" si="141"/>
        <v>0</v>
      </c>
      <c r="AU310" s="31">
        <f t="shared" si="127"/>
        <v>0</v>
      </c>
      <c r="AV310" s="31">
        <f t="shared" si="128"/>
        <v>0</v>
      </c>
      <c r="AW310" s="31">
        <f t="shared" si="129"/>
        <v>0</v>
      </c>
      <c r="AX310" s="31">
        <f t="shared" si="130"/>
        <v>0</v>
      </c>
      <c r="AY310" s="31">
        <f t="shared" si="131"/>
        <v>0</v>
      </c>
      <c r="AZ310" s="31">
        <f t="shared" si="132"/>
        <v>0</v>
      </c>
      <c r="BA310" s="31">
        <f t="shared" si="133"/>
        <v>0</v>
      </c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41"/>
      <c r="BM310" s="41"/>
      <c r="BN310" s="41"/>
      <c r="BO310" s="37"/>
      <c r="BP310" s="38"/>
      <c r="BQ310" s="37"/>
      <c r="BR310" s="40"/>
      <c r="BS310" s="39"/>
      <c r="BT310" s="39"/>
      <c r="BU310" s="39"/>
      <c r="BV310" s="39"/>
      <c r="BW310" s="39"/>
      <c r="BX310" s="36"/>
      <c r="BY310" s="33"/>
      <c r="BZ310" s="33"/>
      <c r="CA310" s="33"/>
      <c r="CB310" s="34"/>
      <c r="CC310" s="33"/>
      <c r="CD310" s="35"/>
      <c r="CE310" s="48"/>
      <c r="CF310" s="48"/>
      <c r="CG310" s="48"/>
      <c r="CH310" s="48"/>
      <c r="CI310" s="48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35"/>
      <c r="CW310" s="35"/>
      <c r="CX310" s="35"/>
      <c r="CY310" s="35"/>
      <c r="CZ310" s="35"/>
      <c r="DA310" s="35"/>
      <c r="DB310" s="35"/>
      <c r="DC310" s="35"/>
      <c r="DD310" s="40"/>
      <c r="DE310" s="40"/>
      <c r="DF310" s="40"/>
      <c r="DG310" s="40"/>
      <c r="DH310" s="40"/>
      <c r="DI310" s="40"/>
      <c r="DJ310" s="40"/>
      <c r="DK310" s="40"/>
      <c r="DL310" s="35"/>
      <c r="DM310" s="35"/>
      <c r="DN310" s="35"/>
      <c r="DO310" s="35"/>
      <c r="DP310" s="35"/>
      <c r="DQ310" s="35"/>
      <c r="DR310" s="35"/>
      <c r="DS310" s="35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40"/>
      <c r="ES310" s="40"/>
      <c r="ET310" s="40"/>
      <c r="EU310" s="40"/>
      <c r="EV310" s="40"/>
      <c r="EW310" s="40"/>
      <c r="EX310" s="40"/>
      <c r="EY310" s="40"/>
      <c r="EZ310" s="35"/>
      <c r="FA310" s="35"/>
      <c r="FB310" s="35"/>
      <c r="FC310" s="35"/>
      <c r="FD310" s="35"/>
      <c r="FE310" s="35"/>
      <c r="FF310" s="35"/>
      <c r="FG310" s="35"/>
    </row>
    <row r="311" spans="1:163">
      <c r="A311" s="62">
        <v>325</v>
      </c>
      <c r="E311" s="63" t="s">
        <v>76</v>
      </c>
      <c r="F311" s="56" t="s">
        <v>74</v>
      </c>
      <c r="G311" s="65" t="s">
        <v>696</v>
      </c>
      <c r="H311" s="66" t="str">
        <f t="shared" si="119"/>
        <v xml:space="preserve"> 879</v>
      </c>
      <c r="I311" s="67" t="s">
        <v>696</v>
      </c>
      <c r="J311" s="68">
        <f t="shared" si="120"/>
        <v>0</v>
      </c>
      <c r="K311" s="63" t="s">
        <v>359</v>
      </c>
      <c r="L311" s="1" t="s">
        <v>46</v>
      </c>
      <c r="O311" s="64" t="s">
        <v>789</v>
      </c>
      <c r="P311" s="82">
        <v>0</v>
      </c>
      <c r="Q311" s="74">
        <f t="shared" si="140"/>
        <v>70000</v>
      </c>
      <c r="R311" s="71">
        <v>70000</v>
      </c>
      <c r="S311" s="72">
        <f t="shared" si="137"/>
        <v>8550</v>
      </c>
      <c r="T311" s="68" t="s">
        <v>791</v>
      </c>
      <c r="U311" s="73">
        <f t="shared" si="138"/>
        <v>61450</v>
      </c>
      <c r="V311" s="73">
        <f t="shared" si="142"/>
        <v>8550</v>
      </c>
      <c r="W311" s="2">
        <f t="shared" si="121"/>
        <v>70000</v>
      </c>
      <c r="Y311" s="80">
        <f t="shared" si="122"/>
        <v>70000</v>
      </c>
      <c r="Z311" s="93"/>
      <c r="AA311" s="93"/>
      <c r="AB311" s="94"/>
      <c r="AE311" s="2">
        <v>95000</v>
      </c>
      <c r="AF311" s="28">
        <f t="shared" si="118"/>
        <v>95000</v>
      </c>
      <c r="AG311" s="55" t="s">
        <v>125</v>
      </c>
      <c r="AI311" s="20" t="s">
        <v>45</v>
      </c>
      <c r="AJ311" s="2">
        <f t="shared" si="123"/>
        <v>25000</v>
      </c>
      <c r="AN311" s="29">
        <f t="shared" si="124"/>
        <v>0.26315789473684209</v>
      </c>
      <c r="AP311" s="3" t="s">
        <v>29</v>
      </c>
      <c r="AQ311" s="1" t="s">
        <v>185</v>
      </c>
      <c r="AR311" s="31">
        <f t="shared" si="125"/>
        <v>0</v>
      </c>
      <c r="AS311" s="31">
        <f t="shared" si="126"/>
        <v>0</v>
      </c>
      <c r="AT311" s="31">
        <f t="shared" si="141"/>
        <v>0</v>
      </c>
      <c r="AU311" s="31">
        <f t="shared" si="127"/>
        <v>0</v>
      </c>
      <c r="AV311" s="31">
        <f t="shared" si="128"/>
        <v>0</v>
      </c>
      <c r="AW311" s="31">
        <f t="shared" si="129"/>
        <v>0</v>
      </c>
      <c r="AX311" s="31">
        <f t="shared" si="130"/>
        <v>0</v>
      </c>
      <c r="AY311" s="31">
        <f t="shared" si="131"/>
        <v>0</v>
      </c>
      <c r="AZ311" s="31">
        <f t="shared" si="132"/>
        <v>0</v>
      </c>
      <c r="BA311" s="31">
        <f t="shared" si="133"/>
        <v>0</v>
      </c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41"/>
      <c r="BM311" s="41"/>
      <c r="BN311" s="41"/>
      <c r="BO311" s="37"/>
      <c r="BP311" s="38"/>
      <c r="BQ311" s="37"/>
      <c r="BR311" s="40"/>
      <c r="BS311" s="39"/>
      <c r="BT311" s="39"/>
      <c r="BU311" s="39"/>
      <c r="BV311" s="39"/>
      <c r="BW311" s="39"/>
      <c r="BX311" s="36"/>
      <c r="BY311" s="33"/>
      <c r="BZ311" s="33"/>
      <c r="CA311" s="33"/>
      <c r="CB311" s="34"/>
      <c r="CC311" s="33"/>
      <c r="CD311" s="35"/>
      <c r="CE311" s="48"/>
      <c r="CF311" s="48"/>
      <c r="CG311" s="48"/>
      <c r="CH311" s="48"/>
      <c r="CI311" s="48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35"/>
      <c r="CW311" s="35"/>
      <c r="CX311" s="35"/>
      <c r="CY311" s="35"/>
      <c r="CZ311" s="35"/>
      <c r="DA311" s="35"/>
      <c r="DB311" s="35"/>
      <c r="DC311" s="35"/>
      <c r="DD311" s="40"/>
      <c r="DE311" s="40"/>
      <c r="DF311" s="40"/>
      <c r="DG311" s="40"/>
      <c r="DH311" s="40"/>
      <c r="DI311" s="40"/>
      <c r="DJ311" s="40"/>
      <c r="DK311" s="40"/>
      <c r="DL311" s="35"/>
      <c r="DM311" s="35"/>
      <c r="DN311" s="35"/>
      <c r="DO311" s="35"/>
      <c r="DP311" s="35"/>
      <c r="DQ311" s="35"/>
      <c r="DR311" s="35"/>
      <c r="DS311" s="35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40"/>
      <c r="ES311" s="40"/>
      <c r="ET311" s="40"/>
      <c r="EU311" s="40"/>
      <c r="EV311" s="40"/>
      <c r="EW311" s="40"/>
      <c r="EX311" s="40"/>
      <c r="EY311" s="40"/>
      <c r="EZ311" s="35"/>
      <c r="FA311" s="35"/>
      <c r="FB311" s="35"/>
      <c r="FC311" s="35"/>
      <c r="FD311" s="35"/>
      <c r="FE311" s="35"/>
      <c r="FF311" s="35"/>
      <c r="FG311" s="35"/>
    </row>
    <row r="312" spans="1:163">
      <c r="A312" s="62">
        <v>327</v>
      </c>
      <c r="E312" s="63" t="s">
        <v>76</v>
      </c>
      <c r="F312" s="56" t="s">
        <v>74</v>
      </c>
      <c r="G312" s="65" t="s">
        <v>698</v>
      </c>
      <c r="H312" s="66" t="str">
        <f t="shared" si="119"/>
        <v xml:space="preserve"> 908</v>
      </c>
      <c r="I312" s="67" t="s">
        <v>698</v>
      </c>
      <c r="J312" s="68">
        <f t="shared" si="120"/>
        <v>0</v>
      </c>
      <c r="K312" s="63" t="s">
        <v>359</v>
      </c>
      <c r="L312" s="1" t="s">
        <v>46</v>
      </c>
      <c r="O312" s="64" t="s">
        <v>789</v>
      </c>
      <c r="P312" s="82">
        <v>0</v>
      </c>
      <c r="Q312" s="74">
        <f t="shared" si="140"/>
        <v>65000</v>
      </c>
      <c r="R312" s="71">
        <v>65000</v>
      </c>
      <c r="S312" s="72">
        <f t="shared" si="137"/>
        <v>8550</v>
      </c>
      <c r="T312" s="68" t="s">
        <v>791</v>
      </c>
      <c r="U312" s="73">
        <f t="shared" si="138"/>
        <v>56450</v>
      </c>
      <c r="V312" s="73">
        <f t="shared" si="142"/>
        <v>8550</v>
      </c>
      <c r="W312" s="2">
        <f t="shared" si="121"/>
        <v>65000</v>
      </c>
      <c r="Y312" s="80">
        <f t="shared" si="122"/>
        <v>65000</v>
      </c>
      <c r="Z312" s="93"/>
      <c r="AA312" s="93"/>
      <c r="AB312" s="94"/>
      <c r="AC312" s="2">
        <v>3000</v>
      </c>
      <c r="AD312" s="2">
        <f>Z312+AC312</f>
        <v>3000</v>
      </c>
      <c r="AF312" s="28">
        <f t="shared" si="118"/>
        <v>0</v>
      </c>
      <c r="AG312" s="55" t="s">
        <v>125</v>
      </c>
      <c r="AH312" s="2"/>
      <c r="AI312" s="20" t="s">
        <v>45</v>
      </c>
      <c r="AJ312" s="2">
        <f t="shared" si="123"/>
        <v>-65000</v>
      </c>
      <c r="AN312" s="29" t="e">
        <f t="shared" si="124"/>
        <v>#DIV/0!</v>
      </c>
      <c r="AO312" s="29" t="e">
        <f>AN312-AB312</f>
        <v>#DIV/0!</v>
      </c>
      <c r="AP312" s="3" t="s">
        <v>29</v>
      </c>
      <c r="AQ312" s="1" t="s">
        <v>185</v>
      </c>
      <c r="AR312" s="31">
        <f t="shared" si="125"/>
        <v>0</v>
      </c>
      <c r="AS312" s="31">
        <f t="shared" si="126"/>
        <v>0</v>
      </c>
      <c r="AT312" s="31">
        <f t="shared" si="141"/>
        <v>0</v>
      </c>
      <c r="AU312" s="31">
        <f t="shared" si="127"/>
        <v>0</v>
      </c>
      <c r="AV312" s="31">
        <f t="shared" si="128"/>
        <v>0</v>
      </c>
      <c r="AW312" s="31">
        <f t="shared" si="129"/>
        <v>0</v>
      </c>
      <c r="AX312" s="31">
        <f t="shared" si="130"/>
        <v>0</v>
      </c>
      <c r="AY312" s="31">
        <f t="shared" si="131"/>
        <v>0</v>
      </c>
      <c r="AZ312" s="31">
        <f t="shared" si="132"/>
        <v>0</v>
      </c>
      <c r="BA312" s="31">
        <f t="shared" si="133"/>
        <v>0</v>
      </c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41"/>
      <c r="BM312" s="41"/>
      <c r="BN312" s="41"/>
      <c r="BO312" s="37"/>
      <c r="BP312" s="38"/>
      <c r="BQ312" s="37"/>
      <c r="BR312" s="40"/>
      <c r="BS312" s="39"/>
      <c r="BT312" s="39"/>
      <c r="BU312" s="39"/>
      <c r="BV312" s="39"/>
      <c r="BW312" s="39"/>
      <c r="BX312" s="36"/>
      <c r="BY312" s="33"/>
      <c r="BZ312" s="33"/>
      <c r="CA312" s="33"/>
      <c r="CB312" s="34"/>
      <c r="CC312" s="33"/>
      <c r="CD312" s="35"/>
      <c r="CE312" s="48"/>
      <c r="CF312" s="48"/>
      <c r="CG312" s="48"/>
      <c r="CH312" s="48"/>
      <c r="CI312" s="48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35"/>
      <c r="CW312" s="35"/>
      <c r="CX312" s="35"/>
      <c r="CY312" s="35"/>
      <c r="CZ312" s="35"/>
      <c r="DA312" s="35"/>
      <c r="DB312" s="35"/>
      <c r="DC312" s="35"/>
      <c r="DD312" s="40"/>
      <c r="DE312" s="40"/>
      <c r="DF312" s="40"/>
      <c r="DG312" s="40"/>
      <c r="DH312" s="40"/>
      <c r="DI312" s="40"/>
      <c r="DJ312" s="40"/>
      <c r="DK312" s="40"/>
      <c r="DL312" s="35"/>
      <c r="DM312" s="35"/>
      <c r="DN312" s="35"/>
      <c r="DO312" s="35"/>
      <c r="DP312" s="35"/>
      <c r="DQ312" s="35"/>
      <c r="DR312" s="35"/>
      <c r="DS312" s="35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40"/>
      <c r="ES312" s="40"/>
      <c r="ET312" s="40"/>
      <c r="EU312" s="40"/>
      <c r="EV312" s="40"/>
      <c r="EW312" s="40"/>
      <c r="EX312" s="40"/>
      <c r="EY312" s="40"/>
      <c r="EZ312" s="35"/>
      <c r="FA312" s="35"/>
      <c r="FB312" s="35"/>
      <c r="FC312" s="35"/>
      <c r="FD312" s="35"/>
      <c r="FE312" s="35"/>
      <c r="FF312" s="35"/>
      <c r="FG312" s="35"/>
    </row>
    <row r="313" spans="1:163">
      <c r="A313" s="62">
        <v>334</v>
      </c>
      <c r="E313" s="63" t="s">
        <v>76</v>
      </c>
      <c r="F313" s="56" t="s">
        <v>76</v>
      </c>
      <c r="G313" s="65" t="s">
        <v>705</v>
      </c>
      <c r="H313" s="66" t="str">
        <f t="shared" si="119"/>
        <v xml:space="preserve"> 904</v>
      </c>
      <c r="I313" s="67" t="s">
        <v>705</v>
      </c>
      <c r="J313" s="68">
        <f t="shared" si="120"/>
        <v>0</v>
      </c>
      <c r="K313" s="63" t="s">
        <v>359</v>
      </c>
      <c r="L313" s="1" t="s">
        <v>46</v>
      </c>
      <c r="O313" s="64" t="s">
        <v>789</v>
      </c>
      <c r="P313" s="82">
        <v>0</v>
      </c>
      <c r="Q313" s="74">
        <f t="shared" si="140"/>
        <v>65000</v>
      </c>
      <c r="R313" s="71">
        <v>65000</v>
      </c>
      <c r="S313" s="72">
        <f t="shared" si="137"/>
        <v>8550</v>
      </c>
      <c r="T313" s="68" t="s">
        <v>791</v>
      </c>
      <c r="U313" s="73">
        <f t="shared" si="138"/>
        <v>56450</v>
      </c>
      <c r="V313" s="73">
        <f t="shared" si="142"/>
        <v>8550</v>
      </c>
      <c r="W313" s="2">
        <f t="shared" si="121"/>
        <v>65000</v>
      </c>
      <c r="Y313" s="80">
        <f t="shared" si="122"/>
        <v>65000</v>
      </c>
      <c r="Z313" s="93"/>
      <c r="AA313" s="93"/>
      <c r="AB313" s="94"/>
      <c r="AC313" s="2">
        <v>3000</v>
      </c>
      <c r="AD313" s="2">
        <f>Z313+AC313</f>
        <v>3000</v>
      </c>
      <c r="AF313" s="28">
        <f t="shared" si="118"/>
        <v>0</v>
      </c>
      <c r="AG313" s="55" t="s">
        <v>125</v>
      </c>
      <c r="AI313" s="20" t="s">
        <v>206</v>
      </c>
      <c r="AJ313" s="2">
        <f t="shared" si="123"/>
        <v>-65000</v>
      </c>
      <c r="AN313" s="29" t="e">
        <f t="shared" si="124"/>
        <v>#DIV/0!</v>
      </c>
      <c r="AO313" s="29" t="e">
        <f>AN313-AB313</f>
        <v>#DIV/0!</v>
      </c>
      <c r="AP313" s="3" t="s">
        <v>140</v>
      </c>
      <c r="AQ313" s="1" t="s">
        <v>182</v>
      </c>
      <c r="AR313" s="31">
        <f t="shared" si="125"/>
        <v>-87325</v>
      </c>
      <c r="AS313" s="31">
        <f t="shared" si="126"/>
        <v>0</v>
      </c>
      <c r="AT313" s="31">
        <f t="shared" si="141"/>
        <v>-85200</v>
      </c>
      <c r="AU313" s="31">
        <f t="shared" si="127"/>
        <v>0</v>
      </c>
      <c r="AV313" s="31">
        <f t="shared" si="128"/>
        <v>0</v>
      </c>
      <c r="AW313" s="31">
        <f t="shared" si="129"/>
        <v>0</v>
      </c>
      <c r="AX313" s="31">
        <f t="shared" si="130"/>
        <v>0</v>
      </c>
      <c r="AY313" s="31">
        <f t="shared" si="131"/>
        <v>0</v>
      </c>
      <c r="AZ313" s="31">
        <f t="shared" si="132"/>
        <v>0</v>
      </c>
      <c r="BA313" s="31">
        <f t="shared" si="133"/>
        <v>0</v>
      </c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41">
        <v>84825</v>
      </c>
      <c r="BM313" s="41">
        <v>2500</v>
      </c>
      <c r="BN313" s="41">
        <f>BL313+BM313</f>
        <v>87325</v>
      </c>
      <c r="BO313" s="37">
        <f>BN313-Y313</f>
        <v>22325</v>
      </c>
      <c r="BP313" s="38">
        <f>BO313/BL313</f>
        <v>0.26318891836133218</v>
      </c>
      <c r="BQ313" s="37">
        <f>AF313-BN313</f>
        <v>-87325</v>
      </c>
      <c r="BR313" s="40" t="s">
        <v>29</v>
      </c>
      <c r="BS313" s="39"/>
      <c r="BT313" s="39"/>
      <c r="BU313" s="39"/>
      <c r="BV313" s="39"/>
      <c r="BW313" s="39"/>
      <c r="BX313" s="36">
        <v>82200</v>
      </c>
      <c r="BY313" s="33">
        <v>3000</v>
      </c>
      <c r="BZ313" s="33">
        <f>BX313+BY313</f>
        <v>85200</v>
      </c>
      <c r="CA313" s="33">
        <f>BZ313-Y313</f>
        <v>20200</v>
      </c>
      <c r="CB313" s="34">
        <f>CA313/BX313</f>
        <v>0.24574209245742093</v>
      </c>
      <c r="CC313" s="33" t="e">
        <f>AG313-BZ313</f>
        <v>#VALUE!</v>
      </c>
      <c r="CD313" s="35" t="s">
        <v>29</v>
      </c>
      <c r="CE313" s="48"/>
      <c r="CF313" s="48"/>
      <c r="CG313" s="48"/>
      <c r="CH313" s="48"/>
      <c r="CI313" s="48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35"/>
      <c r="CW313" s="35"/>
      <c r="CX313" s="35"/>
      <c r="CY313" s="35"/>
      <c r="CZ313" s="35"/>
      <c r="DA313" s="35"/>
      <c r="DB313" s="35"/>
      <c r="DC313" s="35"/>
      <c r="DD313" s="40"/>
      <c r="DE313" s="40"/>
      <c r="DF313" s="40"/>
      <c r="DG313" s="40"/>
      <c r="DH313" s="40"/>
      <c r="DI313" s="40"/>
      <c r="DJ313" s="40"/>
      <c r="DK313" s="40"/>
      <c r="DL313" s="35"/>
      <c r="DM313" s="35"/>
      <c r="DN313" s="35"/>
      <c r="DO313" s="35"/>
      <c r="DP313" s="35"/>
      <c r="DQ313" s="35"/>
      <c r="DR313" s="35"/>
      <c r="DS313" s="35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40"/>
      <c r="ES313" s="40"/>
      <c r="ET313" s="40"/>
      <c r="EU313" s="40"/>
      <c r="EV313" s="40"/>
      <c r="EW313" s="40"/>
      <c r="EX313" s="40"/>
      <c r="EY313" s="40"/>
      <c r="EZ313" s="35"/>
      <c r="FA313" s="35"/>
      <c r="FB313" s="35"/>
      <c r="FC313" s="35"/>
      <c r="FD313" s="35"/>
      <c r="FE313" s="35"/>
      <c r="FF313" s="35"/>
      <c r="FG313" s="35"/>
    </row>
    <row r="314" spans="1:163">
      <c r="A314" s="62">
        <v>331</v>
      </c>
      <c r="E314" s="63" t="s">
        <v>76</v>
      </c>
      <c r="F314" s="56" t="s">
        <v>76</v>
      </c>
      <c r="G314" s="65" t="s">
        <v>702</v>
      </c>
      <c r="H314" s="66" t="str">
        <f t="shared" si="119"/>
        <v xml:space="preserve"> 587</v>
      </c>
      <c r="I314" s="67" t="s">
        <v>702</v>
      </c>
      <c r="J314" s="68">
        <f t="shared" si="120"/>
        <v>0</v>
      </c>
      <c r="K314" s="63" t="s">
        <v>359</v>
      </c>
      <c r="L314" s="1" t="s">
        <v>46</v>
      </c>
      <c r="O314" s="88" t="s">
        <v>790</v>
      </c>
      <c r="P314" s="89">
        <v>0</v>
      </c>
      <c r="Q314" s="90">
        <f t="shared" si="140"/>
        <v>62000</v>
      </c>
      <c r="R314" s="71">
        <v>62000</v>
      </c>
      <c r="S314" s="72">
        <f t="shared" si="137"/>
        <v>8550</v>
      </c>
      <c r="T314" s="68" t="s">
        <v>791</v>
      </c>
      <c r="U314" s="73">
        <f t="shared" si="138"/>
        <v>53450</v>
      </c>
      <c r="V314" s="73">
        <f t="shared" si="142"/>
        <v>8550</v>
      </c>
      <c r="W314" s="2">
        <f t="shared" si="121"/>
        <v>62000</v>
      </c>
      <c r="Y314" s="81">
        <f t="shared" si="122"/>
        <v>62000</v>
      </c>
      <c r="Z314" s="96">
        <v>0</v>
      </c>
      <c r="AA314" s="97">
        <f>U314-Z314</f>
        <v>53450</v>
      </c>
      <c r="AB314" s="98" t="e">
        <f>AA314/Z314</f>
        <v>#DIV/0!</v>
      </c>
      <c r="AE314" s="2">
        <v>86000</v>
      </c>
      <c r="AF314" s="28">
        <f t="shared" si="118"/>
        <v>0</v>
      </c>
      <c r="AG314" s="55" t="s">
        <v>125</v>
      </c>
      <c r="AI314" s="20" t="s">
        <v>206</v>
      </c>
      <c r="AJ314" s="2">
        <f t="shared" si="123"/>
        <v>-62000</v>
      </c>
      <c r="AN314" s="29" t="e">
        <f t="shared" si="124"/>
        <v>#DIV/0!</v>
      </c>
      <c r="AP314" s="3" t="s">
        <v>140</v>
      </c>
      <c r="AQ314" s="1" t="s">
        <v>182</v>
      </c>
      <c r="AR314" s="31">
        <f t="shared" si="125"/>
        <v>-87325</v>
      </c>
      <c r="AS314" s="31">
        <f t="shared" si="126"/>
        <v>0</v>
      </c>
      <c r="AT314" s="31">
        <f t="shared" si="141"/>
        <v>-85200</v>
      </c>
      <c r="AU314" s="31">
        <f t="shared" si="127"/>
        <v>0</v>
      </c>
      <c r="AV314" s="31">
        <f t="shared" si="128"/>
        <v>0</v>
      </c>
      <c r="AW314" s="31">
        <f t="shared" si="129"/>
        <v>0</v>
      </c>
      <c r="AX314" s="31">
        <f t="shared" si="130"/>
        <v>0</v>
      </c>
      <c r="AY314" s="31">
        <f t="shared" si="131"/>
        <v>0</v>
      </c>
      <c r="AZ314" s="31">
        <f t="shared" si="132"/>
        <v>0</v>
      </c>
      <c r="BA314" s="31">
        <f t="shared" si="133"/>
        <v>0</v>
      </c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41">
        <v>84825</v>
      </c>
      <c r="BM314" s="41">
        <v>2500</v>
      </c>
      <c r="BN314" s="41">
        <f>BL314+BM314</f>
        <v>87325</v>
      </c>
      <c r="BO314" s="37">
        <f>BN314-Y314</f>
        <v>25325</v>
      </c>
      <c r="BP314" s="38">
        <f>BO314/BL314</f>
        <v>0.29855585027998821</v>
      </c>
      <c r="BQ314" s="37">
        <f>AF314-BN314</f>
        <v>-87325</v>
      </c>
      <c r="BR314" s="40" t="s">
        <v>29</v>
      </c>
      <c r="BS314" s="39"/>
      <c r="BT314" s="39"/>
      <c r="BU314" s="39"/>
      <c r="BV314" s="39"/>
      <c r="BW314" s="39"/>
      <c r="BX314" s="36">
        <v>82200</v>
      </c>
      <c r="BY314" s="33">
        <v>3000</v>
      </c>
      <c r="BZ314" s="33">
        <f>BX314+BY314</f>
        <v>85200</v>
      </c>
      <c r="CA314" s="33">
        <f>BZ314-Y314</f>
        <v>23200</v>
      </c>
      <c r="CB314" s="34">
        <f>CA314/BX314</f>
        <v>0.28223844282238442</v>
      </c>
      <c r="CC314" s="33" t="e">
        <f>AG314-BZ314</f>
        <v>#VALUE!</v>
      </c>
      <c r="CD314" s="35" t="s">
        <v>29</v>
      </c>
      <c r="CE314" s="48"/>
      <c r="CF314" s="48"/>
      <c r="CG314" s="48"/>
      <c r="CH314" s="48"/>
      <c r="CI314" s="48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35"/>
      <c r="CW314" s="35"/>
      <c r="CX314" s="35"/>
      <c r="CY314" s="35"/>
      <c r="CZ314" s="35"/>
      <c r="DA314" s="35"/>
      <c r="DB314" s="35"/>
      <c r="DC314" s="35"/>
      <c r="DD314" s="40"/>
      <c r="DE314" s="40"/>
      <c r="DF314" s="40"/>
      <c r="DG314" s="40"/>
      <c r="DH314" s="40"/>
      <c r="DI314" s="40"/>
      <c r="DJ314" s="40"/>
      <c r="DK314" s="40"/>
      <c r="DL314" s="35"/>
      <c r="DM314" s="35"/>
      <c r="DN314" s="35"/>
      <c r="DO314" s="35"/>
      <c r="DP314" s="35"/>
      <c r="DQ314" s="35"/>
      <c r="DR314" s="35"/>
      <c r="DS314" s="35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40"/>
      <c r="ES314" s="40"/>
      <c r="ET314" s="40"/>
      <c r="EU314" s="40"/>
      <c r="EV314" s="40"/>
      <c r="EW314" s="40"/>
      <c r="EX314" s="40"/>
      <c r="EY314" s="40"/>
      <c r="EZ314" s="35"/>
      <c r="FA314" s="35"/>
      <c r="FB314" s="35"/>
      <c r="FC314" s="35"/>
      <c r="FD314" s="35"/>
      <c r="FE314" s="35"/>
      <c r="FF314" s="35"/>
      <c r="FG314" s="35"/>
    </row>
    <row r="315" spans="1:163">
      <c r="A315" s="62">
        <v>258</v>
      </c>
      <c r="E315" s="63" t="s">
        <v>218</v>
      </c>
      <c r="F315" s="56" t="s">
        <v>51</v>
      </c>
      <c r="G315" s="70" t="s">
        <v>632</v>
      </c>
      <c r="H315" s="66" t="str">
        <f t="shared" si="119"/>
        <v xml:space="preserve"> 384</v>
      </c>
      <c r="I315" s="67" t="s">
        <v>632</v>
      </c>
      <c r="J315" s="68">
        <f t="shared" si="120"/>
        <v>0</v>
      </c>
      <c r="K315" s="63" t="s">
        <v>343</v>
      </c>
      <c r="L315" s="1" t="s">
        <v>46</v>
      </c>
      <c r="O315" s="64" t="s">
        <v>789</v>
      </c>
      <c r="P315" s="82">
        <v>0</v>
      </c>
      <c r="Q315" s="74">
        <f t="shared" si="140"/>
        <v>87500</v>
      </c>
      <c r="R315" s="71">
        <v>87500</v>
      </c>
      <c r="S315" s="72">
        <f t="shared" si="137"/>
        <v>8550</v>
      </c>
      <c r="T315" s="68"/>
      <c r="U315" s="73">
        <f t="shared" si="138"/>
        <v>78950</v>
      </c>
      <c r="V315" s="73">
        <f t="shared" si="142"/>
        <v>8550</v>
      </c>
      <c r="W315" s="2">
        <f t="shared" si="121"/>
        <v>87500</v>
      </c>
      <c r="Y315" s="80">
        <f t="shared" si="122"/>
        <v>87500</v>
      </c>
      <c r="Z315" s="93"/>
      <c r="AA315" s="93"/>
      <c r="AB315" s="94"/>
      <c r="AC315" s="2">
        <v>14000</v>
      </c>
      <c r="AD315" s="2">
        <f>Z315+AC315</f>
        <v>14000</v>
      </c>
      <c r="AF315" s="28">
        <f t="shared" si="118"/>
        <v>0</v>
      </c>
      <c r="AG315" s="55" t="s">
        <v>125</v>
      </c>
      <c r="AI315" s="20" t="s">
        <v>204</v>
      </c>
      <c r="AJ315" s="2">
        <f t="shared" si="123"/>
        <v>-87500</v>
      </c>
      <c r="AN315" s="29" t="e">
        <f t="shared" si="124"/>
        <v>#DIV/0!</v>
      </c>
      <c r="AO315" s="29" t="e">
        <f>AN315-AB315</f>
        <v>#DIV/0!</v>
      </c>
      <c r="AP315" s="3" t="s">
        <v>140</v>
      </c>
      <c r="AQ315" s="1" t="s">
        <v>189</v>
      </c>
      <c r="AR315" s="31">
        <f t="shared" si="125"/>
        <v>0</v>
      </c>
      <c r="AS315" s="31">
        <f t="shared" si="126"/>
        <v>0</v>
      </c>
      <c r="AT315" s="31">
        <f t="shared" si="141"/>
        <v>0</v>
      </c>
      <c r="AU315" s="31">
        <f t="shared" si="127"/>
        <v>0</v>
      </c>
      <c r="AV315" s="31">
        <f t="shared" si="128"/>
        <v>0</v>
      </c>
      <c r="AW315" s="31">
        <f t="shared" si="129"/>
        <v>-255412</v>
      </c>
      <c r="AX315" s="31">
        <f t="shared" si="130"/>
        <v>-301900</v>
      </c>
      <c r="AY315" s="31">
        <f t="shared" si="131"/>
        <v>-216797</v>
      </c>
      <c r="AZ315" s="31">
        <f t="shared" si="132"/>
        <v>0</v>
      </c>
      <c r="BA315" s="31">
        <f t="shared" si="133"/>
        <v>0</v>
      </c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41"/>
      <c r="BM315" s="41"/>
      <c r="BN315" s="41"/>
      <c r="BO315" s="41"/>
      <c r="BP315" s="41"/>
      <c r="BQ315" s="41"/>
      <c r="BR315" s="40"/>
      <c r="BS315" s="39"/>
      <c r="BT315" s="39"/>
      <c r="BU315" s="39"/>
      <c r="BV315" s="39"/>
      <c r="BW315" s="39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35"/>
      <c r="CW315" s="35"/>
      <c r="CX315" s="35"/>
      <c r="CY315" s="35"/>
      <c r="CZ315" s="35"/>
      <c r="DA315" s="35"/>
      <c r="DB315" s="35"/>
      <c r="DC315" s="35"/>
      <c r="DD315" s="40"/>
      <c r="DE315" s="40"/>
      <c r="DF315" s="40"/>
      <c r="DG315" s="40"/>
      <c r="DH315" s="40"/>
      <c r="DI315" s="40"/>
      <c r="DJ315" s="40"/>
      <c r="DK315" s="40"/>
      <c r="DL315" s="36">
        <v>255412</v>
      </c>
      <c r="DM315" s="33">
        <f>DL315-Y315</f>
        <v>167912</v>
      </c>
      <c r="DN315" s="34">
        <f>DM315/DL315</f>
        <v>0.65741625295600836</v>
      </c>
      <c r="DO315" s="33">
        <f>AF315-DL315</f>
        <v>-255412</v>
      </c>
      <c r="DP315" s="35" t="s">
        <v>105</v>
      </c>
      <c r="DQ315" s="35"/>
      <c r="DR315" s="35"/>
      <c r="DS315" s="35"/>
      <c r="DT315" s="41">
        <v>291900</v>
      </c>
      <c r="DU315" s="41">
        <v>10000</v>
      </c>
      <c r="DV315" s="41">
        <f>DT315+DU315</f>
        <v>301900</v>
      </c>
      <c r="DW315" s="37">
        <f>DV315-Y315</f>
        <v>214400</v>
      </c>
      <c r="DX315" s="37">
        <f>DW315/DV315</f>
        <v>0.71016893010930771</v>
      </c>
      <c r="DY315" s="37">
        <f>AF315-DV315</f>
        <v>-301900</v>
      </c>
      <c r="DZ315" s="40" t="s">
        <v>104</v>
      </c>
      <c r="EA315" s="40"/>
      <c r="EB315" s="40"/>
      <c r="EC315" s="40"/>
      <c r="ED315" s="40"/>
      <c r="EE315" s="40"/>
      <c r="EF315" s="36">
        <v>206797</v>
      </c>
      <c r="EG315" s="33">
        <v>10000</v>
      </c>
      <c r="EH315" s="33">
        <f>EF315+EG315</f>
        <v>216797</v>
      </c>
      <c r="EI315" s="33">
        <f>EH315-Y315</f>
        <v>129297</v>
      </c>
      <c r="EJ315" s="44">
        <f>EI315/EH315</f>
        <v>0.5963966291046463</v>
      </c>
      <c r="EK315" s="45">
        <f>AF315-EH315</f>
        <v>-216797</v>
      </c>
      <c r="EL315" s="35" t="s">
        <v>109</v>
      </c>
      <c r="EM315" s="35"/>
      <c r="EN315" s="35"/>
      <c r="EO315" s="35"/>
      <c r="EP315" s="35"/>
      <c r="EQ315" s="35"/>
      <c r="ER315" s="40"/>
      <c r="ES315" s="40"/>
      <c r="ET315" s="40"/>
      <c r="EU315" s="40"/>
      <c r="EV315" s="40"/>
      <c r="EW315" s="40"/>
      <c r="EX315" s="40"/>
      <c r="EY315" s="40"/>
      <c r="EZ315" s="35"/>
      <c r="FA315" s="35"/>
      <c r="FB315" s="35"/>
      <c r="FC315" s="35"/>
      <c r="FD315" s="35"/>
      <c r="FE315" s="35"/>
      <c r="FF315" s="35"/>
      <c r="FG315" s="35"/>
    </row>
    <row r="316" spans="1:163">
      <c r="A316" s="60">
        <v>127</v>
      </c>
      <c r="E316" s="63" t="s">
        <v>58</v>
      </c>
      <c r="F316" s="56" t="s">
        <v>121</v>
      </c>
      <c r="G316" s="65" t="s">
        <v>506</v>
      </c>
      <c r="H316" s="66" t="str">
        <f t="shared" si="119"/>
        <v xml:space="preserve"> 563</v>
      </c>
      <c r="I316" s="67" t="s">
        <v>506</v>
      </c>
      <c r="J316" s="68">
        <f t="shared" si="120"/>
        <v>0</v>
      </c>
      <c r="K316" s="63" t="s">
        <v>283</v>
      </c>
      <c r="L316" s="1" t="s">
        <v>46</v>
      </c>
      <c r="O316" s="64" t="s">
        <v>789</v>
      </c>
      <c r="P316" s="82">
        <v>0</v>
      </c>
      <c r="Q316" s="74">
        <f t="shared" si="140"/>
        <v>63000</v>
      </c>
      <c r="R316" s="71">
        <v>63000</v>
      </c>
      <c r="S316" s="72">
        <f t="shared" si="137"/>
        <v>7900</v>
      </c>
      <c r="T316" s="68" t="s">
        <v>791</v>
      </c>
      <c r="U316" s="73">
        <f t="shared" si="138"/>
        <v>55100</v>
      </c>
      <c r="V316" s="73">
        <f>2000+4850+600+200+250</f>
        <v>7900</v>
      </c>
      <c r="W316" s="2">
        <f t="shared" si="121"/>
        <v>63000</v>
      </c>
      <c r="Y316" s="80">
        <f t="shared" si="122"/>
        <v>63000</v>
      </c>
      <c r="Z316" s="93"/>
      <c r="AA316" s="93"/>
      <c r="AB316" s="94"/>
      <c r="AC316" s="2">
        <v>3000</v>
      </c>
      <c r="AD316" s="2">
        <f>Z316+AC316</f>
        <v>3000</v>
      </c>
      <c r="AF316" s="28">
        <f t="shared" si="118"/>
        <v>0</v>
      </c>
      <c r="AG316" s="55" t="s">
        <v>125</v>
      </c>
      <c r="AI316" s="20" t="s">
        <v>45</v>
      </c>
      <c r="AJ316" s="2">
        <f t="shared" si="123"/>
        <v>-63000</v>
      </c>
      <c r="AN316" s="29" t="e">
        <f t="shared" si="124"/>
        <v>#DIV/0!</v>
      </c>
      <c r="AO316" s="29" t="e">
        <f>AN316-AB316</f>
        <v>#DIV/0!</v>
      </c>
      <c r="AP316" s="3" t="s">
        <v>158</v>
      </c>
      <c r="AR316" s="31">
        <f t="shared" si="125"/>
        <v>0</v>
      </c>
      <c r="AS316" s="31">
        <f t="shared" si="126"/>
        <v>0</v>
      </c>
      <c r="AT316" s="31">
        <f t="shared" si="141"/>
        <v>0</v>
      </c>
      <c r="AU316" s="31">
        <f t="shared" si="127"/>
        <v>0</v>
      </c>
      <c r="AV316" s="31">
        <f t="shared" si="128"/>
        <v>0</v>
      </c>
      <c r="AW316" s="31">
        <f t="shared" si="129"/>
        <v>0</v>
      </c>
      <c r="AX316" s="31">
        <f t="shared" si="130"/>
        <v>0</v>
      </c>
      <c r="AY316" s="31">
        <f t="shared" si="131"/>
        <v>0</v>
      </c>
      <c r="AZ316" s="31">
        <f t="shared" si="132"/>
        <v>0</v>
      </c>
      <c r="BA316" s="31">
        <f t="shared" si="133"/>
        <v>0</v>
      </c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41"/>
      <c r="BM316" s="41"/>
      <c r="BN316" s="41"/>
      <c r="BO316" s="37"/>
      <c r="BP316" s="38"/>
      <c r="BQ316" s="37"/>
      <c r="BR316" s="40"/>
      <c r="BS316" s="39"/>
      <c r="BT316" s="39"/>
      <c r="BU316" s="39"/>
      <c r="BV316" s="39"/>
      <c r="BW316" s="39"/>
      <c r="BX316" s="36"/>
      <c r="BY316" s="33"/>
      <c r="BZ316" s="33"/>
      <c r="CA316" s="33"/>
      <c r="CB316" s="34"/>
      <c r="CC316" s="33"/>
      <c r="CD316" s="35"/>
      <c r="CE316" s="48"/>
      <c r="CF316" s="48"/>
      <c r="CG316" s="48"/>
      <c r="CH316" s="48"/>
      <c r="CI316" s="48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35"/>
      <c r="CW316" s="35"/>
      <c r="CX316" s="35"/>
      <c r="CY316" s="35"/>
      <c r="CZ316" s="35"/>
      <c r="DA316" s="35"/>
      <c r="DB316" s="35"/>
      <c r="DC316" s="35"/>
      <c r="DD316" s="40"/>
      <c r="DE316" s="40"/>
      <c r="DF316" s="40"/>
      <c r="DG316" s="40"/>
      <c r="DH316" s="40"/>
      <c r="DI316" s="40"/>
      <c r="DJ316" s="40"/>
      <c r="DK316" s="40"/>
      <c r="DL316" s="35"/>
      <c r="DM316" s="35"/>
      <c r="DN316" s="35"/>
      <c r="DO316" s="35"/>
      <c r="DP316" s="35"/>
      <c r="DQ316" s="35"/>
      <c r="DR316" s="35"/>
      <c r="DS316" s="35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40"/>
      <c r="ES316" s="40"/>
      <c r="ET316" s="40"/>
      <c r="EU316" s="40"/>
      <c r="EV316" s="40"/>
      <c r="EW316" s="40"/>
      <c r="EX316" s="40"/>
      <c r="EY316" s="40"/>
      <c r="EZ316" s="35"/>
      <c r="FA316" s="35"/>
      <c r="FB316" s="35"/>
      <c r="FC316" s="35"/>
      <c r="FD316" s="35"/>
      <c r="FE316" s="35"/>
      <c r="FF316" s="35"/>
      <c r="FG316" s="35"/>
    </row>
    <row r="317" spans="1:163">
      <c r="A317" s="62">
        <v>379</v>
      </c>
      <c r="E317" s="63" t="s">
        <v>231</v>
      </c>
      <c r="F317" s="56" t="s">
        <v>80</v>
      </c>
      <c r="G317" s="70" t="s">
        <v>747</v>
      </c>
      <c r="H317" s="66" t="str">
        <f t="shared" si="119"/>
        <v xml:space="preserve"> 881</v>
      </c>
      <c r="I317" s="67" t="s">
        <v>747</v>
      </c>
      <c r="J317" s="68">
        <f t="shared" si="120"/>
        <v>0</v>
      </c>
      <c r="K317" s="63" t="s">
        <v>283</v>
      </c>
      <c r="L317" s="1" t="s">
        <v>46</v>
      </c>
      <c r="O317" s="64" t="s">
        <v>789</v>
      </c>
      <c r="P317" s="82">
        <v>0</v>
      </c>
      <c r="Q317" s="74">
        <f t="shared" si="140"/>
        <v>58900</v>
      </c>
      <c r="R317" s="71">
        <v>58900</v>
      </c>
      <c r="S317" s="72">
        <f t="shared" si="137"/>
        <v>7900</v>
      </c>
      <c r="T317" s="68"/>
      <c r="U317" s="73">
        <f t="shared" si="138"/>
        <v>51000</v>
      </c>
      <c r="V317" s="75">
        <f>2000+4850+600+200+250</f>
        <v>7900</v>
      </c>
      <c r="W317" s="2">
        <f t="shared" si="121"/>
        <v>58900</v>
      </c>
      <c r="Y317" s="80">
        <f t="shared" si="122"/>
        <v>58900</v>
      </c>
      <c r="Z317" s="93"/>
      <c r="AA317" s="93"/>
      <c r="AB317" s="94"/>
      <c r="AC317" s="2">
        <v>2500</v>
      </c>
      <c r="AD317" s="2">
        <f>Z317+AC317</f>
        <v>2500</v>
      </c>
      <c r="AF317" s="28">
        <f t="shared" si="118"/>
        <v>0</v>
      </c>
      <c r="AG317" s="55" t="s">
        <v>125</v>
      </c>
      <c r="AI317" s="20" t="s">
        <v>204</v>
      </c>
      <c r="AJ317" s="2">
        <f t="shared" si="123"/>
        <v>-58900</v>
      </c>
      <c r="AN317" s="29" t="e">
        <f t="shared" si="124"/>
        <v>#DIV/0!</v>
      </c>
      <c r="AO317" s="29" t="e">
        <f>AN317-AB317</f>
        <v>#DIV/0!</v>
      </c>
      <c r="AP317" s="3" t="s">
        <v>140</v>
      </c>
      <c r="AQ317" s="1" t="s">
        <v>201</v>
      </c>
      <c r="AR317" s="31">
        <f t="shared" si="125"/>
        <v>0</v>
      </c>
      <c r="AS317" s="31">
        <f t="shared" si="126"/>
        <v>0</v>
      </c>
      <c r="AT317" s="31">
        <f t="shared" si="141"/>
        <v>0</v>
      </c>
      <c r="AU317" s="31">
        <f t="shared" si="127"/>
        <v>0</v>
      </c>
      <c r="AV317" s="31">
        <f t="shared" si="128"/>
        <v>-71631</v>
      </c>
      <c r="AW317" s="31">
        <f t="shared" si="129"/>
        <v>0</v>
      </c>
      <c r="AX317" s="31">
        <f t="shared" si="130"/>
        <v>-71669</v>
      </c>
      <c r="AY317" s="31">
        <f t="shared" si="131"/>
        <v>-71537</v>
      </c>
      <c r="AZ317" s="31">
        <f t="shared" si="132"/>
        <v>0</v>
      </c>
      <c r="BA317" s="31">
        <f t="shared" si="133"/>
        <v>0</v>
      </c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41">
        <v>69131</v>
      </c>
      <c r="CK317" s="41">
        <v>2500</v>
      </c>
      <c r="CL317" s="37">
        <f>CJ317+CK317</f>
        <v>71631</v>
      </c>
      <c r="CM317" s="37">
        <f>CL317-Y317</f>
        <v>12731</v>
      </c>
      <c r="CN317" s="38">
        <f>CM317/CJ317</f>
        <v>0.18415761380567328</v>
      </c>
      <c r="CO317" s="37">
        <f>AF317-CL317</f>
        <v>-71631</v>
      </c>
      <c r="CP317" s="40" t="s">
        <v>29</v>
      </c>
      <c r="CQ317" s="39"/>
      <c r="CR317" s="39"/>
      <c r="CS317" s="39"/>
      <c r="CT317" s="39"/>
      <c r="CU317" s="39"/>
      <c r="CV317" s="35"/>
      <c r="CW317" s="35"/>
      <c r="CX317" s="35"/>
      <c r="CY317" s="35"/>
      <c r="CZ317" s="35"/>
      <c r="DA317" s="35"/>
      <c r="DB317" s="35"/>
      <c r="DC317" s="35"/>
      <c r="DD317" s="39"/>
      <c r="DE317" s="39"/>
      <c r="DF317" s="39"/>
      <c r="DG317" s="39"/>
      <c r="DH317" s="39"/>
      <c r="DI317" s="39"/>
      <c r="DJ317" s="39"/>
      <c r="DK317" s="39"/>
      <c r="DL317" s="43"/>
      <c r="DM317" s="43"/>
      <c r="DN317" s="43"/>
      <c r="DO317" s="43"/>
      <c r="DP317" s="43"/>
      <c r="DQ317" s="43"/>
      <c r="DR317" s="43"/>
      <c r="DS317" s="43"/>
      <c r="DT317" s="41">
        <v>69169</v>
      </c>
      <c r="DU317" s="37">
        <v>2500</v>
      </c>
      <c r="DV317" s="41">
        <f>DT317+DU317</f>
        <v>71669</v>
      </c>
      <c r="DW317" s="37">
        <f>DV317-Y317</f>
        <v>12769</v>
      </c>
      <c r="DX317" s="38">
        <f>DW317/DV317</f>
        <v>0.17816629226025199</v>
      </c>
      <c r="DY317" s="37">
        <f>AF317-DV317</f>
        <v>-71669</v>
      </c>
      <c r="DZ317" s="40" t="s">
        <v>29</v>
      </c>
      <c r="EA317" s="40"/>
      <c r="EB317" s="40"/>
      <c r="EC317" s="40"/>
      <c r="ED317" s="40"/>
      <c r="EE317" s="40"/>
      <c r="EF317" s="33">
        <v>69037</v>
      </c>
      <c r="EG317" s="33">
        <v>2500</v>
      </c>
      <c r="EH317" s="33">
        <f>EF317+EG317</f>
        <v>71537</v>
      </c>
      <c r="EI317" s="33">
        <f>EH317-Y317</f>
        <v>12637</v>
      </c>
      <c r="EJ317" s="44">
        <f>EI317/EH317</f>
        <v>0.17664984553447866</v>
      </c>
      <c r="EK317" s="45">
        <f>AF317-EH317</f>
        <v>-71537</v>
      </c>
      <c r="EL317" s="43" t="s">
        <v>29</v>
      </c>
      <c r="EM317" s="43"/>
      <c r="EN317" s="43"/>
      <c r="EO317" s="43"/>
      <c r="EP317" s="43"/>
      <c r="EQ317" s="43"/>
      <c r="ER317" s="40"/>
      <c r="ES317" s="40"/>
      <c r="ET317" s="40"/>
      <c r="EU317" s="40"/>
      <c r="EV317" s="40"/>
      <c r="EW317" s="40"/>
      <c r="EX317" s="40"/>
      <c r="EY317" s="40"/>
      <c r="EZ317" s="35"/>
      <c r="FA317" s="35"/>
      <c r="FB317" s="35"/>
      <c r="FC317" s="35"/>
      <c r="FD317" s="35"/>
      <c r="FE317" s="35"/>
      <c r="FF317" s="35"/>
      <c r="FG317" s="35"/>
    </row>
    <row r="318" spans="1:163">
      <c r="A318" s="60">
        <v>94</v>
      </c>
      <c r="E318" s="63" t="s">
        <v>58</v>
      </c>
      <c r="F318" s="56" t="s">
        <v>56</v>
      </c>
      <c r="G318" s="70" t="s">
        <v>475</v>
      </c>
      <c r="H318" s="66" t="str">
        <f t="shared" si="119"/>
        <v xml:space="preserve"> 882</v>
      </c>
      <c r="I318" s="67" t="s">
        <v>475</v>
      </c>
      <c r="J318" s="68">
        <f t="shared" si="120"/>
        <v>0</v>
      </c>
      <c r="K318" s="63" t="s">
        <v>277</v>
      </c>
      <c r="L318" s="1" t="s">
        <v>46</v>
      </c>
      <c r="O318" s="64" t="s">
        <v>789</v>
      </c>
      <c r="P318" s="82">
        <v>0</v>
      </c>
      <c r="Q318" s="74">
        <f t="shared" si="140"/>
        <v>75000</v>
      </c>
      <c r="R318" s="71">
        <v>75000</v>
      </c>
      <c r="S318" s="72">
        <f t="shared" si="137"/>
        <v>7900</v>
      </c>
      <c r="T318" s="68"/>
      <c r="U318" s="73">
        <f t="shared" si="138"/>
        <v>67100</v>
      </c>
      <c r="V318" s="75">
        <f>4850+600+200+250+2000</f>
        <v>7900</v>
      </c>
      <c r="W318" s="2">
        <f t="shared" si="121"/>
        <v>75000</v>
      </c>
      <c r="Y318" s="80">
        <f t="shared" si="122"/>
        <v>75000</v>
      </c>
      <c r="Z318" s="93"/>
      <c r="AA318" s="93"/>
      <c r="AB318" s="94"/>
      <c r="AE318" s="2">
        <v>82000</v>
      </c>
      <c r="AF318" s="28">
        <f t="shared" si="118"/>
        <v>82000</v>
      </c>
      <c r="AG318" s="55" t="s">
        <v>125</v>
      </c>
      <c r="AI318" s="20" t="s">
        <v>204</v>
      </c>
      <c r="AJ318" s="2">
        <f t="shared" si="123"/>
        <v>7000</v>
      </c>
      <c r="AN318" s="29">
        <f t="shared" si="124"/>
        <v>8.5365853658536592E-2</v>
      </c>
      <c r="AP318" s="3" t="s">
        <v>29</v>
      </c>
      <c r="AQ318" s="1" t="s">
        <v>145</v>
      </c>
      <c r="AR318" s="31">
        <f t="shared" si="125"/>
        <v>0</v>
      </c>
      <c r="AS318" s="31">
        <f t="shared" si="126"/>
        <v>0</v>
      </c>
      <c r="AT318" s="31">
        <f t="shared" si="141"/>
        <v>0</v>
      </c>
      <c r="AU318" s="31">
        <f t="shared" si="127"/>
        <v>0</v>
      </c>
      <c r="AV318" s="31">
        <f t="shared" si="128"/>
        <v>0</v>
      </c>
      <c r="AW318" s="31">
        <f t="shared" si="129"/>
        <v>0</v>
      </c>
      <c r="AX318" s="31">
        <f t="shared" si="130"/>
        <v>0</v>
      </c>
      <c r="AY318" s="31">
        <f t="shared" si="131"/>
        <v>0</v>
      </c>
      <c r="AZ318" s="31">
        <f t="shared" si="132"/>
        <v>0</v>
      </c>
      <c r="BA318" s="31">
        <f t="shared" si="133"/>
        <v>0</v>
      </c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41"/>
      <c r="BM318" s="41"/>
      <c r="BN318" s="41"/>
      <c r="BO318" s="37"/>
      <c r="BP318" s="38"/>
      <c r="BQ318" s="37"/>
      <c r="BR318" s="40"/>
      <c r="BS318" s="39"/>
      <c r="BT318" s="39"/>
      <c r="BU318" s="39"/>
      <c r="BV318" s="39"/>
      <c r="BW318" s="39"/>
      <c r="BX318" s="36"/>
      <c r="BY318" s="33"/>
      <c r="BZ318" s="33"/>
      <c r="CA318" s="33"/>
      <c r="CB318" s="34"/>
      <c r="CC318" s="33"/>
      <c r="CD318" s="35"/>
      <c r="CE318" s="48"/>
      <c r="CF318" s="48"/>
      <c r="CG318" s="48"/>
      <c r="CH318" s="48"/>
      <c r="CI318" s="48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35"/>
      <c r="CW318" s="35"/>
      <c r="CX318" s="35"/>
      <c r="CY318" s="35"/>
      <c r="CZ318" s="35"/>
      <c r="DA318" s="35"/>
      <c r="DB318" s="35"/>
      <c r="DC318" s="35"/>
      <c r="DD318" s="40"/>
      <c r="DE318" s="40"/>
      <c r="DF318" s="40"/>
      <c r="DG318" s="40"/>
      <c r="DH318" s="40"/>
      <c r="DI318" s="40"/>
      <c r="DJ318" s="40"/>
      <c r="DK318" s="40"/>
      <c r="DL318" s="35"/>
      <c r="DM318" s="35"/>
      <c r="DN318" s="35"/>
      <c r="DO318" s="35"/>
      <c r="DP318" s="35"/>
      <c r="DQ318" s="35"/>
      <c r="DR318" s="35"/>
      <c r="DS318" s="35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40"/>
      <c r="ES318" s="40"/>
      <c r="ET318" s="40"/>
      <c r="EU318" s="40"/>
      <c r="EV318" s="40"/>
      <c r="EW318" s="40"/>
      <c r="EX318" s="40"/>
      <c r="EY318" s="40"/>
      <c r="EZ318" s="35"/>
      <c r="FA318" s="35"/>
      <c r="FB318" s="35"/>
      <c r="FC318" s="35"/>
      <c r="FD318" s="35"/>
      <c r="FE318" s="35"/>
      <c r="FF318" s="35"/>
      <c r="FG318" s="35"/>
    </row>
    <row r="319" spans="1:163">
      <c r="A319" s="62">
        <v>397</v>
      </c>
      <c r="E319" s="63" t="s">
        <v>234</v>
      </c>
      <c r="F319" s="56" t="s">
        <v>87</v>
      </c>
      <c r="G319" s="65" t="s">
        <v>765</v>
      </c>
      <c r="H319" s="66" t="str">
        <f t="shared" si="119"/>
        <v xml:space="preserve"> 157</v>
      </c>
      <c r="I319" s="67" t="s">
        <v>765</v>
      </c>
      <c r="J319" s="68">
        <f t="shared" si="120"/>
        <v>0</v>
      </c>
      <c r="K319" s="63" t="s">
        <v>381</v>
      </c>
      <c r="L319" s="1" t="s">
        <v>46</v>
      </c>
      <c r="O319" s="64" t="s">
        <v>789</v>
      </c>
      <c r="P319" s="82">
        <v>0</v>
      </c>
      <c r="Q319" s="74">
        <f t="shared" si="140"/>
        <v>62000</v>
      </c>
      <c r="R319" s="71">
        <v>62000</v>
      </c>
      <c r="S319" s="72">
        <f t="shared" si="137"/>
        <v>7900</v>
      </c>
      <c r="T319" s="68" t="s">
        <v>791</v>
      </c>
      <c r="U319" s="73">
        <f t="shared" si="138"/>
        <v>54100</v>
      </c>
      <c r="V319" s="73">
        <f>4850+600+200+250+2000</f>
        <v>7900</v>
      </c>
      <c r="W319" s="2">
        <f t="shared" si="121"/>
        <v>62000</v>
      </c>
      <c r="Y319" s="80">
        <f t="shared" si="122"/>
        <v>62000</v>
      </c>
      <c r="Z319" s="93"/>
      <c r="AA319" s="93"/>
      <c r="AB319" s="94"/>
      <c r="AE319" s="2">
        <v>80000</v>
      </c>
      <c r="AF319" s="28">
        <f t="shared" si="118"/>
        <v>80000</v>
      </c>
      <c r="AG319" s="55" t="s">
        <v>125</v>
      </c>
      <c r="AI319" s="20" t="s">
        <v>206</v>
      </c>
      <c r="AJ319" s="2">
        <f t="shared" si="123"/>
        <v>18000</v>
      </c>
      <c r="AN319" s="29">
        <f t="shared" si="124"/>
        <v>0.22500000000000001</v>
      </c>
      <c r="AP319" s="3" t="s">
        <v>140</v>
      </c>
      <c r="AQ319" s="1" t="s">
        <v>199</v>
      </c>
      <c r="AR319" s="31">
        <f t="shared" si="125"/>
        <v>0</v>
      </c>
      <c r="AS319" s="31">
        <f t="shared" si="126"/>
        <v>0</v>
      </c>
      <c r="AT319" s="31">
        <f t="shared" si="141"/>
        <v>0</v>
      </c>
      <c r="AU319" s="31">
        <f t="shared" si="127"/>
        <v>0</v>
      </c>
      <c r="AV319" s="31">
        <f t="shared" si="128"/>
        <v>0</v>
      </c>
      <c r="AW319" s="31">
        <f t="shared" si="129"/>
        <v>0</v>
      </c>
      <c r="AX319" s="31">
        <f t="shared" si="130"/>
        <v>0</v>
      </c>
      <c r="AY319" s="31">
        <f t="shared" si="131"/>
        <v>0</v>
      </c>
      <c r="AZ319" s="31">
        <f t="shared" si="132"/>
        <v>0</v>
      </c>
      <c r="BA319" s="31">
        <f t="shared" si="133"/>
        <v>0</v>
      </c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35"/>
      <c r="CW319" s="35"/>
      <c r="CX319" s="35"/>
      <c r="CY319" s="35"/>
      <c r="CZ319" s="35"/>
      <c r="DA319" s="35"/>
      <c r="DB319" s="35"/>
      <c r="DC319" s="35"/>
      <c r="DD319" s="40"/>
      <c r="DE319" s="40"/>
      <c r="DF319" s="40"/>
      <c r="DG319" s="40"/>
      <c r="DH319" s="40"/>
      <c r="DI319" s="40"/>
      <c r="DJ319" s="40"/>
      <c r="DK319" s="40"/>
      <c r="DL319" s="35"/>
      <c r="DM319" s="35"/>
      <c r="DN319" s="35"/>
      <c r="DO319" s="35"/>
      <c r="DP319" s="35"/>
      <c r="DQ319" s="35"/>
      <c r="DR319" s="35"/>
      <c r="DS319" s="35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40"/>
      <c r="ES319" s="40"/>
      <c r="ET319" s="40"/>
      <c r="EU319" s="40"/>
      <c r="EV319" s="40"/>
      <c r="EW319" s="40"/>
      <c r="EX319" s="40"/>
      <c r="EY319" s="40"/>
      <c r="EZ319" s="35"/>
      <c r="FA319" s="35"/>
      <c r="FB319" s="35"/>
      <c r="FC319" s="35"/>
      <c r="FD319" s="35"/>
      <c r="FE319" s="35"/>
      <c r="FF319" s="35"/>
      <c r="FG319" s="35"/>
    </row>
    <row r="320" spans="1:163">
      <c r="A320" s="62">
        <v>398</v>
      </c>
      <c r="E320" s="63" t="s">
        <v>234</v>
      </c>
      <c r="F320" s="56" t="s">
        <v>87</v>
      </c>
      <c r="G320" s="65" t="s">
        <v>766</v>
      </c>
      <c r="H320" s="66" t="str">
        <f t="shared" si="119"/>
        <v xml:space="preserve"> 656</v>
      </c>
      <c r="I320" s="67" t="s">
        <v>766</v>
      </c>
      <c r="J320" s="68">
        <f t="shared" si="120"/>
        <v>0</v>
      </c>
      <c r="K320" s="63" t="s">
        <v>381</v>
      </c>
      <c r="L320" s="1" t="s">
        <v>46</v>
      </c>
      <c r="O320" s="64" t="s">
        <v>789</v>
      </c>
      <c r="P320" s="82">
        <v>0</v>
      </c>
      <c r="Q320" s="74">
        <f t="shared" si="140"/>
        <v>62000</v>
      </c>
      <c r="R320" s="71">
        <v>62000</v>
      </c>
      <c r="S320" s="72">
        <f t="shared" si="137"/>
        <v>7900</v>
      </c>
      <c r="T320" s="68" t="s">
        <v>791</v>
      </c>
      <c r="U320" s="73">
        <f t="shared" si="138"/>
        <v>54100</v>
      </c>
      <c r="V320" s="73">
        <f>4850+600+200+250+2000</f>
        <v>7900</v>
      </c>
      <c r="W320" s="2">
        <f t="shared" si="121"/>
        <v>62000</v>
      </c>
      <c r="Y320" s="80">
        <f t="shared" si="122"/>
        <v>62000</v>
      </c>
      <c r="Z320" s="93"/>
      <c r="AA320" s="93"/>
      <c r="AB320" s="94"/>
      <c r="AE320" s="2">
        <v>87000</v>
      </c>
      <c r="AF320" s="28">
        <f t="shared" ref="AF320:AF383" si="143">IF(O320="Baru",AE320,AD320)</f>
        <v>87000</v>
      </c>
      <c r="AG320" s="55" t="s">
        <v>125</v>
      </c>
      <c r="AI320" s="20" t="s">
        <v>206</v>
      </c>
      <c r="AJ320" s="2">
        <f t="shared" si="123"/>
        <v>25000</v>
      </c>
      <c r="AN320" s="29">
        <f t="shared" si="124"/>
        <v>0.28735632183908044</v>
      </c>
      <c r="AP320" s="3" t="s">
        <v>140</v>
      </c>
      <c r="AQ320" s="1" t="s">
        <v>199</v>
      </c>
      <c r="AR320" s="31">
        <f t="shared" si="125"/>
        <v>0</v>
      </c>
      <c r="AS320" s="31">
        <f t="shared" si="126"/>
        <v>0</v>
      </c>
      <c r="AT320" s="31">
        <f t="shared" si="141"/>
        <v>0</v>
      </c>
      <c r="AU320" s="31">
        <f t="shared" si="127"/>
        <v>0</v>
      </c>
      <c r="AV320" s="31">
        <f t="shared" si="128"/>
        <v>0</v>
      </c>
      <c r="AW320" s="31">
        <f t="shared" si="129"/>
        <v>0</v>
      </c>
      <c r="AX320" s="31">
        <f t="shared" si="130"/>
        <v>0</v>
      </c>
      <c r="AY320" s="31">
        <f t="shared" si="131"/>
        <v>0</v>
      </c>
      <c r="AZ320" s="31">
        <f t="shared" si="132"/>
        <v>0</v>
      </c>
      <c r="BA320" s="31">
        <f t="shared" si="133"/>
        <v>0</v>
      </c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35"/>
      <c r="CW320" s="35"/>
      <c r="CX320" s="35"/>
      <c r="CY320" s="35"/>
      <c r="CZ320" s="35"/>
      <c r="DA320" s="35"/>
      <c r="DB320" s="35"/>
      <c r="DC320" s="35"/>
      <c r="DD320" s="40"/>
      <c r="DE320" s="40"/>
      <c r="DF320" s="40"/>
      <c r="DG320" s="40"/>
      <c r="DH320" s="40"/>
      <c r="DI320" s="40"/>
      <c r="DJ320" s="40"/>
      <c r="DK320" s="40"/>
      <c r="DL320" s="35"/>
      <c r="DM320" s="35"/>
      <c r="DN320" s="35"/>
      <c r="DO320" s="35"/>
      <c r="DP320" s="35"/>
      <c r="DQ320" s="35"/>
      <c r="DR320" s="35"/>
      <c r="DS320" s="35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40"/>
      <c r="ES320" s="40"/>
      <c r="ET320" s="40"/>
      <c r="EU320" s="40"/>
      <c r="EV320" s="40"/>
      <c r="EW320" s="40"/>
      <c r="EX320" s="40"/>
      <c r="EY320" s="40"/>
      <c r="EZ320" s="35"/>
      <c r="FA320" s="35"/>
      <c r="FB320" s="35"/>
      <c r="FC320" s="35"/>
      <c r="FD320" s="35"/>
      <c r="FE320" s="35"/>
      <c r="FF320" s="35"/>
      <c r="FG320" s="35"/>
    </row>
    <row r="321" spans="1:163">
      <c r="A321" s="62">
        <v>396</v>
      </c>
      <c r="E321" s="63" t="s">
        <v>234</v>
      </c>
      <c r="F321" s="56" t="s">
        <v>87</v>
      </c>
      <c r="G321" s="65" t="s">
        <v>764</v>
      </c>
      <c r="H321" s="66" t="str">
        <f t="shared" si="119"/>
        <v xml:space="preserve"> 303</v>
      </c>
      <c r="I321" s="67" t="s">
        <v>764</v>
      </c>
      <c r="J321" s="68">
        <f t="shared" si="120"/>
        <v>0</v>
      </c>
      <c r="K321" s="63" t="s">
        <v>381</v>
      </c>
      <c r="L321" s="1" t="s">
        <v>46</v>
      </c>
      <c r="O321" s="88" t="s">
        <v>790</v>
      </c>
      <c r="P321" s="89">
        <v>0</v>
      </c>
      <c r="Q321" s="90">
        <f t="shared" si="140"/>
        <v>60000</v>
      </c>
      <c r="R321" s="71">
        <v>60000</v>
      </c>
      <c r="S321" s="72">
        <f t="shared" si="137"/>
        <v>7900</v>
      </c>
      <c r="T321" s="68" t="s">
        <v>791</v>
      </c>
      <c r="U321" s="73">
        <f t="shared" si="138"/>
        <v>52100</v>
      </c>
      <c r="V321" s="73">
        <f>4850+600+200+250+2000</f>
        <v>7900</v>
      </c>
      <c r="W321" s="2">
        <f t="shared" si="121"/>
        <v>60000</v>
      </c>
      <c r="Y321" s="81">
        <f t="shared" si="122"/>
        <v>60000</v>
      </c>
      <c r="Z321" s="96">
        <v>0</v>
      </c>
      <c r="AA321" s="97">
        <f>U321-Z321</f>
        <v>52100</v>
      </c>
      <c r="AB321" s="98" t="e">
        <f>AA321/Z321</f>
        <v>#DIV/0!</v>
      </c>
      <c r="AE321" s="2">
        <v>104000</v>
      </c>
      <c r="AF321" s="28">
        <f t="shared" si="143"/>
        <v>0</v>
      </c>
      <c r="AG321" s="55" t="s">
        <v>125</v>
      </c>
      <c r="AI321" s="20" t="s">
        <v>206</v>
      </c>
      <c r="AJ321" s="2">
        <f t="shared" si="123"/>
        <v>-60000</v>
      </c>
      <c r="AN321" s="29" t="e">
        <f t="shared" si="124"/>
        <v>#DIV/0!</v>
      </c>
      <c r="AP321" s="3" t="s">
        <v>140</v>
      </c>
      <c r="AQ321" s="1" t="s">
        <v>199</v>
      </c>
      <c r="AR321" s="31">
        <f t="shared" si="125"/>
        <v>0</v>
      </c>
      <c r="AS321" s="31">
        <f t="shared" si="126"/>
        <v>0</v>
      </c>
      <c r="AT321" s="31">
        <f t="shared" si="141"/>
        <v>0</v>
      </c>
      <c r="AU321" s="31">
        <f t="shared" si="127"/>
        <v>0</v>
      </c>
      <c r="AV321" s="31">
        <f t="shared" si="128"/>
        <v>0</v>
      </c>
      <c r="AW321" s="31">
        <f t="shared" si="129"/>
        <v>0</v>
      </c>
      <c r="AX321" s="31">
        <f t="shared" si="130"/>
        <v>0</v>
      </c>
      <c r="AY321" s="31">
        <f t="shared" si="131"/>
        <v>0</v>
      </c>
      <c r="AZ321" s="31">
        <f t="shared" si="132"/>
        <v>0</v>
      </c>
      <c r="BA321" s="31">
        <f t="shared" si="133"/>
        <v>0</v>
      </c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35"/>
      <c r="CW321" s="35"/>
      <c r="CX321" s="35"/>
      <c r="CY321" s="35"/>
      <c r="CZ321" s="35"/>
      <c r="DA321" s="35"/>
      <c r="DB321" s="35"/>
      <c r="DC321" s="35"/>
      <c r="DD321" s="40"/>
      <c r="DE321" s="40"/>
      <c r="DF321" s="40"/>
      <c r="DG321" s="40"/>
      <c r="DH321" s="40"/>
      <c r="DI321" s="40"/>
      <c r="DJ321" s="40"/>
      <c r="DK321" s="40"/>
      <c r="DL321" s="35"/>
      <c r="DM321" s="35"/>
      <c r="DN321" s="35"/>
      <c r="DO321" s="35"/>
      <c r="DP321" s="35"/>
      <c r="DQ321" s="35"/>
      <c r="DR321" s="35"/>
      <c r="DS321" s="35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40"/>
      <c r="ES321" s="40"/>
      <c r="ET321" s="40"/>
      <c r="EU321" s="40"/>
      <c r="EV321" s="40"/>
      <c r="EW321" s="40"/>
      <c r="EX321" s="40"/>
      <c r="EY321" s="40"/>
      <c r="EZ321" s="35"/>
      <c r="FA321" s="35"/>
      <c r="FB321" s="35"/>
      <c r="FC321" s="35"/>
      <c r="FD321" s="35"/>
      <c r="FE321" s="35"/>
      <c r="FF321" s="35"/>
      <c r="FG321" s="35"/>
    </row>
    <row r="322" spans="1:163">
      <c r="A322" s="62">
        <v>207</v>
      </c>
      <c r="E322" s="63" t="s">
        <v>173</v>
      </c>
      <c r="F322" s="56" t="s">
        <v>67</v>
      </c>
      <c r="G322" s="65" t="s">
        <v>587</v>
      </c>
      <c r="H322" s="66" t="str">
        <f t="shared" si="119"/>
        <v xml:space="preserve"> 759</v>
      </c>
      <c r="I322" s="67" t="s">
        <v>587</v>
      </c>
      <c r="J322" s="68">
        <f t="shared" si="120"/>
        <v>0</v>
      </c>
      <c r="K322" s="63" t="s">
        <v>318</v>
      </c>
      <c r="L322" s="1" t="s">
        <v>46</v>
      </c>
      <c r="O322" s="64" t="s">
        <v>789</v>
      </c>
      <c r="P322" s="82">
        <v>0</v>
      </c>
      <c r="Q322" s="74">
        <f t="shared" si="140"/>
        <v>145000</v>
      </c>
      <c r="R322" s="71">
        <v>145000</v>
      </c>
      <c r="S322" s="72">
        <f t="shared" si="137"/>
        <v>8550</v>
      </c>
      <c r="T322" s="68" t="s">
        <v>791</v>
      </c>
      <c r="U322" s="73">
        <f t="shared" si="138"/>
        <v>136450</v>
      </c>
      <c r="V322" s="73">
        <f>2000+5500+600+200+250</f>
        <v>8550</v>
      </c>
      <c r="W322" s="2">
        <f t="shared" si="121"/>
        <v>145000</v>
      </c>
      <c r="Y322" s="80">
        <f t="shared" si="122"/>
        <v>145000</v>
      </c>
      <c r="Z322" s="93"/>
      <c r="AA322" s="93"/>
      <c r="AB322" s="94"/>
      <c r="AE322" s="2">
        <v>255000</v>
      </c>
      <c r="AF322" s="28">
        <f t="shared" si="143"/>
        <v>255000</v>
      </c>
      <c r="AG322" s="55" t="s">
        <v>125</v>
      </c>
      <c r="AI322" s="20" t="s">
        <v>205</v>
      </c>
      <c r="AJ322" s="2">
        <f t="shared" si="123"/>
        <v>110000</v>
      </c>
      <c r="AN322" s="29">
        <f t="shared" si="124"/>
        <v>0.43137254901960786</v>
      </c>
      <c r="AP322" s="3" t="s">
        <v>158</v>
      </c>
      <c r="AR322" s="31">
        <f t="shared" si="125"/>
        <v>65325</v>
      </c>
      <c r="AS322" s="31">
        <f t="shared" si="126"/>
        <v>76296</v>
      </c>
      <c r="AT322" s="31">
        <f>IF(BX322&lt;&gt;"", AF322-BX322, 0)</f>
        <v>65888</v>
      </c>
      <c r="AU322" s="31">
        <f t="shared" si="127"/>
        <v>51533</v>
      </c>
      <c r="AV322" s="31">
        <f t="shared" si="128"/>
        <v>0</v>
      </c>
      <c r="AW322" s="31">
        <f t="shared" si="129"/>
        <v>0</v>
      </c>
      <c r="AX322" s="31">
        <f t="shared" si="130"/>
        <v>0</v>
      </c>
      <c r="AY322" s="31">
        <f t="shared" si="131"/>
        <v>0</v>
      </c>
      <c r="AZ322" s="31">
        <f t="shared" si="132"/>
        <v>30917</v>
      </c>
      <c r="BA322" s="31">
        <f t="shared" si="133"/>
        <v>0</v>
      </c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41">
        <v>183675</v>
      </c>
      <c r="BM322" s="41">
        <v>6000</v>
      </c>
      <c r="BN322" s="41">
        <f>BL322+BM322</f>
        <v>189675</v>
      </c>
      <c r="BO322" s="37">
        <f>BN322-Y322</f>
        <v>44675</v>
      </c>
      <c r="BP322" s="38">
        <f>BO322/BL322</f>
        <v>0.24322852865115013</v>
      </c>
      <c r="BQ322" s="37">
        <f>AF322-BN322</f>
        <v>65325</v>
      </c>
      <c r="BR322" s="40" t="s">
        <v>29</v>
      </c>
      <c r="BS322" s="39"/>
      <c r="BT322" s="39"/>
      <c r="BU322" s="39"/>
      <c r="BV322" s="39"/>
      <c r="BW322" s="39"/>
      <c r="BX322" s="36">
        <v>189112</v>
      </c>
      <c r="BY322" s="33">
        <v>6000</v>
      </c>
      <c r="BZ322" s="33">
        <f>BX322+BY322</f>
        <v>195112</v>
      </c>
      <c r="CA322" s="33">
        <f>BZ322-Y322</f>
        <v>50112</v>
      </c>
      <c r="CB322" s="34">
        <f>CA322/BX322</f>
        <v>0.2649858285037438</v>
      </c>
      <c r="CC322" s="33">
        <f>AF322-BZ322</f>
        <v>59888</v>
      </c>
      <c r="CD322" s="35" t="s">
        <v>29</v>
      </c>
      <c r="CE322" s="48"/>
      <c r="CF322" s="48"/>
      <c r="CG322" s="48"/>
      <c r="CH322" s="48"/>
      <c r="CI322" s="48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36">
        <v>178704</v>
      </c>
      <c r="CW322" s="36">
        <f>CV322-Y322</f>
        <v>33704</v>
      </c>
      <c r="CX322" s="46">
        <f>CW322/CV322</f>
        <v>0.18860238159190618</v>
      </c>
      <c r="CY322" s="36">
        <f>AF322-CV322</f>
        <v>76296</v>
      </c>
      <c r="CZ322" s="35" t="s">
        <v>29</v>
      </c>
      <c r="DA322" s="35"/>
      <c r="DB322" s="35"/>
      <c r="DC322" s="35"/>
      <c r="DD322" s="41">
        <v>203467</v>
      </c>
      <c r="DE322" s="37">
        <f>DD322-Y322</f>
        <v>58467</v>
      </c>
      <c r="DF322" s="38">
        <f>DE322/DD322</f>
        <v>0.28735372320818608</v>
      </c>
      <c r="DG322" s="37">
        <f>AF322-DD322</f>
        <v>51533</v>
      </c>
      <c r="DH322" s="40" t="s">
        <v>29</v>
      </c>
      <c r="DI322" s="40"/>
      <c r="DJ322" s="40"/>
      <c r="DK322" s="40"/>
      <c r="DL322" s="35"/>
      <c r="DM322" s="35"/>
      <c r="DN322" s="35"/>
      <c r="DO322" s="35"/>
      <c r="DP322" s="35"/>
      <c r="DQ322" s="35"/>
      <c r="DR322" s="35"/>
      <c r="DS322" s="35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41">
        <v>224083</v>
      </c>
      <c r="ES322" s="37">
        <f>ER322-Y322</f>
        <v>79083</v>
      </c>
      <c r="ET322" s="38">
        <f>ES322/ER322</f>
        <v>0.35291833829429275</v>
      </c>
      <c r="EU322" s="37">
        <f>AF322-ER322</f>
        <v>30917</v>
      </c>
      <c r="EV322" s="40" t="s">
        <v>29</v>
      </c>
      <c r="EW322" s="40"/>
      <c r="EX322" s="40"/>
      <c r="EY322" s="40"/>
      <c r="EZ322" s="35"/>
      <c r="FA322" s="35"/>
      <c r="FB322" s="35"/>
      <c r="FC322" s="35"/>
      <c r="FD322" s="35"/>
      <c r="FE322" s="35"/>
      <c r="FF322" s="35"/>
      <c r="FG322" s="35"/>
    </row>
    <row r="323" spans="1:163">
      <c r="A323" s="60">
        <v>210</v>
      </c>
      <c r="E323" s="63" t="s">
        <v>173</v>
      </c>
      <c r="F323" s="56" t="s">
        <v>67</v>
      </c>
      <c r="G323" s="65" t="s">
        <v>590</v>
      </c>
      <c r="H323" s="66" t="str">
        <f t="shared" si="119"/>
        <v xml:space="preserve"> 252</v>
      </c>
      <c r="I323" s="67" t="s">
        <v>590</v>
      </c>
      <c r="J323" s="68">
        <f t="shared" si="120"/>
        <v>0</v>
      </c>
      <c r="K323" s="63" t="s">
        <v>318</v>
      </c>
      <c r="L323" s="1" t="s">
        <v>46</v>
      </c>
      <c r="O323" s="64" t="s">
        <v>789</v>
      </c>
      <c r="P323" s="82">
        <v>0</v>
      </c>
      <c r="Q323" s="74">
        <f t="shared" si="140"/>
        <v>127500</v>
      </c>
      <c r="R323" s="71">
        <v>127500</v>
      </c>
      <c r="S323" s="72">
        <f t="shared" si="137"/>
        <v>8550</v>
      </c>
      <c r="T323" s="68" t="s">
        <v>791</v>
      </c>
      <c r="U323" s="73">
        <f t="shared" si="138"/>
        <v>118950</v>
      </c>
      <c r="V323" s="73">
        <f>2000+5500+600+200+250</f>
        <v>8550</v>
      </c>
      <c r="W323" s="2">
        <f t="shared" si="121"/>
        <v>127500</v>
      </c>
      <c r="Y323" s="80">
        <f t="shared" si="122"/>
        <v>127500</v>
      </c>
      <c r="Z323" s="93"/>
      <c r="AA323" s="93"/>
      <c r="AB323" s="94"/>
      <c r="AE323" s="2">
        <v>180000</v>
      </c>
      <c r="AF323" s="28">
        <f t="shared" si="143"/>
        <v>180000</v>
      </c>
      <c r="AG323" s="55" t="s">
        <v>125</v>
      </c>
      <c r="AI323" s="20" t="s">
        <v>204</v>
      </c>
      <c r="AJ323" s="2">
        <f t="shared" si="123"/>
        <v>52500</v>
      </c>
      <c r="AN323" s="29">
        <f t="shared" si="124"/>
        <v>0.29166666666666669</v>
      </c>
      <c r="AP323" s="3" t="s">
        <v>158</v>
      </c>
      <c r="AR323" s="31">
        <f t="shared" si="125"/>
        <v>-16350</v>
      </c>
      <c r="AS323" s="31">
        <f t="shared" si="126"/>
        <v>12492</v>
      </c>
      <c r="AT323" s="31">
        <f>IF(BX323&lt;&gt;"", AF323-BX323, 0)</f>
        <v>12150</v>
      </c>
      <c r="AU323" s="31">
        <f t="shared" si="127"/>
        <v>0</v>
      </c>
      <c r="AV323" s="31">
        <f t="shared" si="128"/>
        <v>0</v>
      </c>
      <c r="AW323" s="31">
        <f t="shared" si="129"/>
        <v>0</v>
      </c>
      <c r="AX323" s="31">
        <f t="shared" si="130"/>
        <v>0</v>
      </c>
      <c r="AY323" s="31">
        <f t="shared" si="131"/>
        <v>0</v>
      </c>
      <c r="AZ323" s="31">
        <f t="shared" si="132"/>
        <v>0</v>
      </c>
      <c r="BA323" s="31">
        <f t="shared" si="133"/>
        <v>0</v>
      </c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41">
        <v>190350</v>
      </c>
      <c r="BM323" s="41">
        <v>6000</v>
      </c>
      <c r="BN323" s="41">
        <f>BL323+BM323</f>
        <v>196350</v>
      </c>
      <c r="BO323" s="37">
        <f>BN323-Y323</f>
        <v>68850</v>
      </c>
      <c r="BP323" s="38">
        <f>BO323/BL323</f>
        <v>0.36170212765957449</v>
      </c>
      <c r="BQ323" s="37">
        <f>AF323-BN323</f>
        <v>-16350</v>
      </c>
      <c r="BR323" s="40" t="s">
        <v>29</v>
      </c>
      <c r="BS323" s="39"/>
      <c r="BT323" s="39"/>
      <c r="BU323" s="39"/>
      <c r="BV323" s="39"/>
      <c r="BW323" s="39"/>
      <c r="BX323" s="36">
        <v>167850</v>
      </c>
      <c r="BY323" s="33">
        <v>6000</v>
      </c>
      <c r="BZ323" s="33">
        <f>BX323+BY323</f>
        <v>173850</v>
      </c>
      <c r="CA323" s="33">
        <f>BZ323-Y323</f>
        <v>46350</v>
      </c>
      <c r="CB323" s="34">
        <f>CA323/BX323</f>
        <v>0.27613941018766758</v>
      </c>
      <c r="CC323" s="33">
        <f>AF323-BZ323</f>
        <v>6150</v>
      </c>
      <c r="CD323" s="35" t="s">
        <v>111</v>
      </c>
      <c r="CE323" s="48"/>
      <c r="CF323" s="48"/>
      <c r="CG323" s="48"/>
      <c r="CH323" s="48"/>
      <c r="CI323" s="48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36">
        <v>167508</v>
      </c>
      <c r="CW323" s="36">
        <f>CV323-Y323</f>
        <v>40008</v>
      </c>
      <c r="CX323" s="46">
        <f>CW323/CV323</f>
        <v>0.23884232394870691</v>
      </c>
      <c r="CY323" s="36">
        <f>AF323-CV323</f>
        <v>12492</v>
      </c>
      <c r="CZ323" s="35" t="s">
        <v>29</v>
      </c>
      <c r="DA323" s="35"/>
      <c r="DB323" s="35"/>
      <c r="DC323" s="35"/>
      <c r="DD323" s="40"/>
      <c r="DE323" s="40"/>
      <c r="DF323" s="40"/>
      <c r="DG323" s="40"/>
      <c r="DH323" s="40"/>
      <c r="DI323" s="40"/>
      <c r="DJ323" s="40"/>
      <c r="DK323" s="40"/>
      <c r="DL323" s="35"/>
      <c r="DM323" s="35"/>
      <c r="DN323" s="35"/>
      <c r="DO323" s="35"/>
      <c r="DP323" s="35"/>
      <c r="DQ323" s="35"/>
      <c r="DR323" s="35"/>
      <c r="DS323" s="35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40"/>
      <c r="ES323" s="40"/>
      <c r="ET323" s="40"/>
      <c r="EU323" s="40"/>
      <c r="EV323" s="40"/>
      <c r="EW323" s="40"/>
      <c r="EX323" s="40"/>
      <c r="EY323" s="40"/>
      <c r="EZ323" s="35"/>
      <c r="FA323" s="35"/>
      <c r="FB323" s="35"/>
      <c r="FC323" s="35"/>
      <c r="FD323" s="35"/>
      <c r="FE323" s="35"/>
      <c r="FF323" s="35"/>
      <c r="FG323" s="35"/>
    </row>
    <row r="324" spans="1:163">
      <c r="A324" s="60">
        <v>202</v>
      </c>
      <c r="E324" s="63" t="s">
        <v>173</v>
      </c>
      <c r="F324" s="56" t="s">
        <v>67</v>
      </c>
      <c r="G324" s="65" t="s">
        <v>582</v>
      </c>
      <c r="H324" s="66" t="str">
        <f t="shared" si="119"/>
        <v xml:space="preserve"> 171</v>
      </c>
      <c r="I324" s="67" t="s">
        <v>582</v>
      </c>
      <c r="J324" s="68">
        <f t="shared" si="120"/>
        <v>0</v>
      </c>
      <c r="K324" s="63" t="s">
        <v>318</v>
      </c>
      <c r="L324" s="1" t="s">
        <v>46</v>
      </c>
      <c r="O324" s="88" t="s">
        <v>790</v>
      </c>
      <c r="P324" s="89">
        <v>0</v>
      </c>
      <c r="Q324" s="90">
        <f t="shared" si="140"/>
        <v>145000</v>
      </c>
      <c r="R324" s="71">
        <v>145000</v>
      </c>
      <c r="S324" s="72">
        <f t="shared" si="137"/>
        <v>8550</v>
      </c>
      <c r="T324" s="68" t="s">
        <v>791</v>
      </c>
      <c r="U324" s="73">
        <f t="shared" si="138"/>
        <v>136450</v>
      </c>
      <c r="V324" s="73">
        <f>2000+5500+600+200+250</f>
        <v>8550</v>
      </c>
      <c r="W324" s="2">
        <f t="shared" si="121"/>
        <v>145000</v>
      </c>
      <c r="Y324" s="81">
        <f t="shared" si="122"/>
        <v>145000</v>
      </c>
      <c r="Z324" s="96">
        <v>0</v>
      </c>
      <c r="AA324" s="97">
        <f t="shared" ref="AA324:AA331" si="144">U324-Z324</f>
        <v>136450</v>
      </c>
      <c r="AB324" s="98" t="e">
        <f t="shared" ref="AB324:AB331" si="145">AA324/Z324</f>
        <v>#DIV/0!</v>
      </c>
      <c r="AE324" s="2">
        <v>199000</v>
      </c>
      <c r="AF324" s="28">
        <f t="shared" si="143"/>
        <v>0</v>
      </c>
      <c r="AG324" s="55" t="s">
        <v>125</v>
      </c>
      <c r="AI324" s="20" t="s">
        <v>205</v>
      </c>
      <c r="AJ324" s="2">
        <f t="shared" si="123"/>
        <v>-145000</v>
      </c>
      <c r="AN324" s="29" t="e">
        <f t="shared" si="124"/>
        <v>#DIV/0!</v>
      </c>
      <c r="AP324" s="3" t="s">
        <v>158</v>
      </c>
      <c r="AR324" s="31">
        <f t="shared" si="125"/>
        <v>-189675</v>
      </c>
      <c r="AS324" s="31">
        <f t="shared" si="126"/>
        <v>-178704</v>
      </c>
      <c r="AT324" s="31">
        <f>IF(BX324&lt;&gt;"", AF324-BX324, 0)</f>
        <v>-189112</v>
      </c>
      <c r="AU324" s="31">
        <f t="shared" si="127"/>
        <v>-203467</v>
      </c>
      <c r="AV324" s="31">
        <f t="shared" si="128"/>
        <v>0</v>
      </c>
      <c r="AW324" s="31">
        <f t="shared" si="129"/>
        <v>-194135</v>
      </c>
      <c r="AX324" s="31">
        <f t="shared" si="130"/>
        <v>0</v>
      </c>
      <c r="AY324" s="31">
        <f t="shared" si="131"/>
        <v>0</v>
      </c>
      <c r="AZ324" s="31">
        <f t="shared" si="132"/>
        <v>-224083</v>
      </c>
      <c r="BA324" s="31">
        <f t="shared" si="133"/>
        <v>0</v>
      </c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41">
        <v>183675</v>
      </c>
      <c r="BM324" s="41">
        <v>6000</v>
      </c>
      <c r="BN324" s="41">
        <f>BL324+BM324</f>
        <v>189675</v>
      </c>
      <c r="BO324" s="37">
        <f>BN324-Y324</f>
        <v>44675</v>
      </c>
      <c r="BP324" s="38">
        <f>BO324/BL324</f>
        <v>0.24322852865115013</v>
      </c>
      <c r="BQ324" s="37">
        <f>AF324-BN324</f>
        <v>-189675</v>
      </c>
      <c r="BR324" s="40" t="s">
        <v>29</v>
      </c>
      <c r="BS324" s="39"/>
      <c r="BT324" s="39"/>
      <c r="BU324" s="39"/>
      <c r="BV324" s="39"/>
      <c r="BW324" s="39"/>
      <c r="BX324" s="36">
        <v>189112</v>
      </c>
      <c r="BY324" s="33">
        <v>6000</v>
      </c>
      <c r="BZ324" s="33">
        <f>BX324+BY324</f>
        <v>195112</v>
      </c>
      <c r="CA324" s="33">
        <f>BZ324-Y324</f>
        <v>50112</v>
      </c>
      <c r="CB324" s="34">
        <f>CA324/BX324</f>
        <v>0.2649858285037438</v>
      </c>
      <c r="CC324" s="33">
        <f>AF324-BZ324</f>
        <v>-195112</v>
      </c>
      <c r="CD324" s="35" t="s">
        <v>29</v>
      </c>
      <c r="CE324" s="48"/>
      <c r="CF324" s="48"/>
      <c r="CG324" s="48"/>
      <c r="CH324" s="48"/>
      <c r="CI324" s="48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36">
        <v>178704</v>
      </c>
      <c r="CW324" s="36">
        <f>CV324-Y324</f>
        <v>33704</v>
      </c>
      <c r="CX324" s="46">
        <f>CW324/CV324</f>
        <v>0.18860238159190618</v>
      </c>
      <c r="CY324" s="36">
        <f>AF324-CV324</f>
        <v>-178704</v>
      </c>
      <c r="CZ324" s="35" t="s">
        <v>29</v>
      </c>
      <c r="DA324" s="35"/>
      <c r="DB324" s="35"/>
      <c r="DC324" s="35"/>
      <c r="DD324" s="41">
        <v>203467</v>
      </c>
      <c r="DE324" s="37">
        <f>DD324-Y324</f>
        <v>58467</v>
      </c>
      <c r="DF324" s="38">
        <f>DE324/DD324</f>
        <v>0.28735372320818608</v>
      </c>
      <c r="DG324" s="37">
        <f>AF324-DD324</f>
        <v>-203467</v>
      </c>
      <c r="DH324" s="40" t="s">
        <v>29</v>
      </c>
      <c r="DI324" s="40"/>
      <c r="DJ324" s="40"/>
      <c r="DK324" s="40"/>
      <c r="DL324" s="36">
        <v>194135</v>
      </c>
      <c r="DM324" s="33">
        <f>DL324-Y324</f>
        <v>49135</v>
      </c>
      <c r="DN324" s="34">
        <f>DM324/DL324</f>
        <v>0.25309707162541528</v>
      </c>
      <c r="DO324" s="33">
        <f>AF324-DL324</f>
        <v>-194135</v>
      </c>
      <c r="DP324" s="35" t="s">
        <v>29</v>
      </c>
      <c r="DQ324" s="35"/>
      <c r="DR324" s="35"/>
      <c r="DS324" s="35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41">
        <v>224083</v>
      </c>
      <c r="ES324" s="37">
        <f>ER324-Y324</f>
        <v>79083</v>
      </c>
      <c r="ET324" s="38">
        <f>ES324/ER324</f>
        <v>0.35291833829429275</v>
      </c>
      <c r="EU324" s="37">
        <f>AF324-ER324</f>
        <v>-224083</v>
      </c>
      <c r="EV324" s="40" t="s">
        <v>29</v>
      </c>
      <c r="EW324" s="40"/>
      <c r="EX324" s="40"/>
      <c r="EY324" s="40"/>
      <c r="EZ324" s="35"/>
      <c r="FA324" s="35"/>
      <c r="FB324" s="35"/>
      <c r="FC324" s="35"/>
      <c r="FD324" s="35"/>
      <c r="FE324" s="35"/>
      <c r="FF324" s="35"/>
      <c r="FG324" s="35"/>
    </row>
    <row r="325" spans="1:163">
      <c r="A325" s="62">
        <v>211</v>
      </c>
      <c r="E325" s="63" t="s">
        <v>173</v>
      </c>
      <c r="F325" s="56" t="s">
        <v>66</v>
      </c>
      <c r="G325" s="65" t="s">
        <v>591</v>
      </c>
      <c r="H325" s="66" t="str">
        <f t="shared" si="119"/>
        <v xml:space="preserve"> 261</v>
      </c>
      <c r="I325" s="67" t="s">
        <v>591</v>
      </c>
      <c r="J325" s="68">
        <f t="shared" si="120"/>
        <v>0</v>
      </c>
      <c r="K325" s="63" t="s">
        <v>318</v>
      </c>
      <c r="L325" s="1" t="s">
        <v>46</v>
      </c>
      <c r="O325" s="88" t="s">
        <v>790</v>
      </c>
      <c r="P325" s="89">
        <v>0</v>
      </c>
      <c r="Q325" s="90">
        <f t="shared" si="140"/>
        <v>127500</v>
      </c>
      <c r="R325" s="71">
        <v>127500</v>
      </c>
      <c r="S325" s="72">
        <f t="shared" si="137"/>
        <v>8550</v>
      </c>
      <c r="T325" s="68" t="s">
        <v>791</v>
      </c>
      <c r="U325" s="73">
        <f t="shared" si="138"/>
        <v>118950</v>
      </c>
      <c r="V325" s="73">
        <f>2000+5500+600+200+250</f>
        <v>8550</v>
      </c>
      <c r="W325" s="2">
        <f t="shared" si="121"/>
        <v>127500</v>
      </c>
      <c r="Y325" s="81">
        <f t="shared" si="122"/>
        <v>127500</v>
      </c>
      <c r="Z325" s="96">
        <v>0</v>
      </c>
      <c r="AA325" s="97">
        <f t="shared" si="144"/>
        <v>118950</v>
      </c>
      <c r="AB325" s="98" t="e">
        <f t="shared" si="145"/>
        <v>#DIV/0!</v>
      </c>
      <c r="AE325" s="2">
        <v>129000</v>
      </c>
      <c r="AF325" s="28">
        <f t="shared" si="143"/>
        <v>0</v>
      </c>
      <c r="AG325" s="55" t="s">
        <v>125</v>
      </c>
      <c r="AI325" s="20" t="s">
        <v>45</v>
      </c>
      <c r="AJ325" s="2">
        <f t="shared" si="123"/>
        <v>-127500</v>
      </c>
      <c r="AN325" s="29" t="e">
        <f t="shared" si="124"/>
        <v>#DIV/0!</v>
      </c>
      <c r="AP325" s="3" t="s">
        <v>140</v>
      </c>
      <c r="AQ325" s="1" t="s">
        <v>194</v>
      </c>
      <c r="AR325" s="31">
        <f t="shared" si="125"/>
        <v>0</v>
      </c>
      <c r="AS325" s="31">
        <f t="shared" si="126"/>
        <v>0</v>
      </c>
      <c r="AT325" s="31">
        <f>IF(BX325&lt;&gt;"", AF325-BX325, 0)</f>
        <v>0</v>
      </c>
      <c r="AU325" s="31">
        <f t="shared" si="127"/>
        <v>-107460</v>
      </c>
      <c r="AV325" s="31">
        <f t="shared" si="128"/>
        <v>0</v>
      </c>
      <c r="AW325" s="31">
        <f t="shared" si="129"/>
        <v>0</v>
      </c>
      <c r="AX325" s="31">
        <f t="shared" si="130"/>
        <v>-125012</v>
      </c>
      <c r="AY325" s="31">
        <f t="shared" si="131"/>
        <v>-125012</v>
      </c>
      <c r="AZ325" s="31">
        <f t="shared" si="132"/>
        <v>0</v>
      </c>
      <c r="BA325" s="31">
        <f t="shared" si="133"/>
        <v>0</v>
      </c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41"/>
      <c r="BM325" s="41"/>
      <c r="BN325" s="41"/>
      <c r="BO325" s="37"/>
      <c r="BP325" s="38"/>
      <c r="BQ325" s="37"/>
      <c r="BR325" s="40"/>
      <c r="BS325" s="39"/>
      <c r="BT325" s="39"/>
      <c r="BU325" s="39"/>
      <c r="BV325" s="39"/>
      <c r="BW325" s="39"/>
      <c r="BX325" s="36"/>
      <c r="BY325" s="33"/>
      <c r="BZ325" s="33"/>
      <c r="CA325" s="33"/>
      <c r="CB325" s="34"/>
      <c r="CC325" s="33"/>
      <c r="CD325" s="35"/>
      <c r="CE325" s="48"/>
      <c r="CF325" s="48"/>
      <c r="CG325" s="48"/>
      <c r="CH325" s="48"/>
      <c r="CI325" s="48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35"/>
      <c r="CW325" s="35"/>
      <c r="CX325" s="35"/>
      <c r="CY325" s="35"/>
      <c r="CZ325" s="35"/>
      <c r="DA325" s="35"/>
      <c r="DB325" s="35"/>
      <c r="DC325" s="35"/>
      <c r="DD325" s="41">
        <v>107460</v>
      </c>
      <c r="DE325" s="37">
        <f>DD325-Y325</f>
        <v>-20040</v>
      </c>
      <c r="DF325" s="38">
        <f>DE325/DD325</f>
        <v>-0.18648799553322165</v>
      </c>
      <c r="DG325" s="37">
        <f>AF325-DD325</f>
        <v>-107460</v>
      </c>
      <c r="DH325" s="40" t="s">
        <v>29</v>
      </c>
      <c r="DI325" s="40"/>
      <c r="DJ325" s="40"/>
      <c r="DK325" s="40"/>
      <c r="DL325" s="35"/>
      <c r="DM325" s="35"/>
      <c r="DN325" s="35"/>
      <c r="DO325" s="35"/>
      <c r="DP325" s="35"/>
      <c r="DQ325" s="35"/>
      <c r="DR325" s="35"/>
      <c r="DS325" s="35"/>
      <c r="DT325" s="41">
        <v>121012</v>
      </c>
      <c r="DU325" s="37">
        <v>4000</v>
      </c>
      <c r="DV325" s="41">
        <f>DT325+DU325</f>
        <v>125012</v>
      </c>
      <c r="DW325" s="37">
        <f>DV325-Y325</f>
        <v>-2488</v>
      </c>
      <c r="DX325" s="38">
        <f>DW325/DV325</f>
        <v>-1.9902089399417656E-2</v>
      </c>
      <c r="DY325" s="37">
        <f>AF325-DV325</f>
        <v>-125012</v>
      </c>
      <c r="DZ325" s="40" t="s">
        <v>29</v>
      </c>
      <c r="EA325" s="40"/>
      <c r="EB325" s="40"/>
      <c r="EC325" s="40"/>
      <c r="ED325" s="40"/>
      <c r="EE325" s="40"/>
      <c r="EF325" s="36">
        <v>121012</v>
      </c>
      <c r="EG325" s="33">
        <v>4000</v>
      </c>
      <c r="EH325" s="33">
        <f>EF325+EG325</f>
        <v>125012</v>
      </c>
      <c r="EI325" s="33">
        <f>EH325-Y325</f>
        <v>-2488</v>
      </c>
      <c r="EJ325" s="44">
        <f>EI325/EH325</f>
        <v>-1.9902089399417656E-2</v>
      </c>
      <c r="EK325" s="45">
        <f>AF325-EH325</f>
        <v>-125012</v>
      </c>
      <c r="EL325" s="35" t="s">
        <v>29</v>
      </c>
      <c r="EM325" s="35"/>
      <c r="EN325" s="35"/>
      <c r="EO325" s="35"/>
      <c r="EP325" s="35"/>
      <c r="EQ325" s="35"/>
      <c r="ER325" s="40"/>
      <c r="ES325" s="40"/>
      <c r="ET325" s="40"/>
      <c r="EU325" s="40"/>
      <c r="EV325" s="40"/>
      <c r="EW325" s="40"/>
      <c r="EX325" s="40"/>
      <c r="EY325" s="40"/>
      <c r="EZ325" s="35"/>
      <c r="FA325" s="35"/>
      <c r="FB325" s="35"/>
      <c r="FC325" s="35"/>
      <c r="FD325" s="35"/>
      <c r="FE325" s="35"/>
      <c r="FF325" s="35"/>
      <c r="FG325" s="35"/>
    </row>
    <row r="326" spans="1:163">
      <c r="A326" s="60">
        <v>206</v>
      </c>
      <c r="E326" s="63" t="s">
        <v>173</v>
      </c>
      <c r="F326" s="56" t="s">
        <v>67</v>
      </c>
      <c r="G326" s="65" t="s">
        <v>586</v>
      </c>
      <c r="H326" s="66" t="str">
        <f t="shared" si="119"/>
        <v xml:space="preserve"> 984</v>
      </c>
      <c r="I326" s="67" t="s">
        <v>586</v>
      </c>
      <c r="J326" s="68">
        <f t="shared" si="120"/>
        <v>0</v>
      </c>
      <c r="K326" s="63" t="s">
        <v>318</v>
      </c>
      <c r="L326" s="1" t="s">
        <v>46</v>
      </c>
      <c r="O326" s="88" t="s">
        <v>790</v>
      </c>
      <c r="P326" s="89">
        <v>0</v>
      </c>
      <c r="Q326" s="90">
        <f t="shared" si="140"/>
        <v>145000</v>
      </c>
      <c r="R326" s="71">
        <v>145000</v>
      </c>
      <c r="S326" s="72">
        <f t="shared" si="137"/>
        <v>8550</v>
      </c>
      <c r="T326" s="68" t="s">
        <v>791</v>
      </c>
      <c r="U326" s="73">
        <f t="shared" si="138"/>
        <v>136450</v>
      </c>
      <c r="V326" s="73">
        <f>2000+5500+600+200+250</f>
        <v>8550</v>
      </c>
      <c r="W326" s="2">
        <f t="shared" si="121"/>
        <v>145000</v>
      </c>
      <c r="Y326" s="81">
        <f t="shared" si="122"/>
        <v>145000</v>
      </c>
      <c r="Z326" s="96">
        <v>0</v>
      </c>
      <c r="AA326" s="97">
        <f t="shared" si="144"/>
        <v>136450</v>
      </c>
      <c r="AB326" s="98" t="e">
        <f t="shared" si="145"/>
        <v>#DIV/0!</v>
      </c>
      <c r="AC326" s="2">
        <v>15000</v>
      </c>
      <c r="AD326" s="2">
        <f>Z326+AC326</f>
        <v>15000</v>
      </c>
      <c r="AF326" s="28">
        <f t="shared" si="143"/>
        <v>15000</v>
      </c>
      <c r="AG326" s="55" t="s">
        <v>125</v>
      </c>
      <c r="AI326" s="20" t="s">
        <v>205</v>
      </c>
      <c r="AJ326" s="2">
        <f t="shared" si="123"/>
        <v>-130000</v>
      </c>
      <c r="AN326" s="29">
        <f t="shared" si="124"/>
        <v>-8.6666666666666661</v>
      </c>
      <c r="AO326" s="29" t="e">
        <f>AN326-AB326</f>
        <v>#DIV/0!</v>
      </c>
      <c r="AP326" s="3" t="s">
        <v>158</v>
      </c>
      <c r="AR326" s="31">
        <f t="shared" si="125"/>
        <v>-174675</v>
      </c>
      <c r="AS326" s="31">
        <f t="shared" si="126"/>
        <v>-163704</v>
      </c>
      <c r="AT326" s="31">
        <f>IF(BX326&lt;&gt;"", AF326-BX326, 0)</f>
        <v>-174112</v>
      </c>
      <c r="AU326" s="31">
        <f t="shared" si="127"/>
        <v>-188467</v>
      </c>
      <c r="AV326" s="31">
        <f t="shared" si="128"/>
        <v>0</v>
      </c>
      <c r="AW326" s="31">
        <f t="shared" si="129"/>
        <v>0</v>
      </c>
      <c r="AX326" s="31">
        <f t="shared" si="130"/>
        <v>0</v>
      </c>
      <c r="AY326" s="31">
        <f t="shared" si="131"/>
        <v>0</v>
      </c>
      <c r="AZ326" s="31">
        <f t="shared" si="132"/>
        <v>-209083</v>
      </c>
      <c r="BA326" s="31">
        <f t="shared" si="133"/>
        <v>0</v>
      </c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41">
        <v>183675</v>
      </c>
      <c r="BM326" s="41">
        <v>6000</v>
      </c>
      <c r="BN326" s="41">
        <f>BL326+BM326</f>
        <v>189675</v>
      </c>
      <c r="BO326" s="37">
        <f>BN326-Y326</f>
        <v>44675</v>
      </c>
      <c r="BP326" s="38">
        <f>BO326/BL326</f>
        <v>0.24322852865115013</v>
      </c>
      <c r="BQ326" s="37">
        <f>AF326-BN326</f>
        <v>-174675</v>
      </c>
      <c r="BR326" s="40" t="s">
        <v>29</v>
      </c>
      <c r="BS326" s="39"/>
      <c r="BT326" s="39"/>
      <c r="BU326" s="39"/>
      <c r="BV326" s="39"/>
      <c r="BW326" s="39"/>
      <c r="BX326" s="36">
        <v>189112</v>
      </c>
      <c r="BY326" s="33">
        <v>6000</v>
      </c>
      <c r="BZ326" s="33">
        <f>BX326+BY326</f>
        <v>195112</v>
      </c>
      <c r="CA326" s="33">
        <f>BZ326-Y326</f>
        <v>50112</v>
      </c>
      <c r="CB326" s="34">
        <f>CA326/BX326</f>
        <v>0.2649858285037438</v>
      </c>
      <c r="CC326" s="33">
        <f>AF326-BZ326</f>
        <v>-180112</v>
      </c>
      <c r="CD326" s="35" t="s">
        <v>29</v>
      </c>
      <c r="CE326" s="48"/>
      <c r="CF326" s="48"/>
      <c r="CG326" s="48"/>
      <c r="CH326" s="48"/>
      <c r="CI326" s="48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36">
        <v>178704</v>
      </c>
      <c r="CW326" s="36">
        <f>CV326-Y326</f>
        <v>33704</v>
      </c>
      <c r="CX326" s="46">
        <f>CW326/CV326</f>
        <v>0.18860238159190618</v>
      </c>
      <c r="CY326" s="36">
        <f>AF326-CV326</f>
        <v>-163704</v>
      </c>
      <c r="CZ326" s="35" t="s">
        <v>29</v>
      </c>
      <c r="DA326" s="35"/>
      <c r="DB326" s="35"/>
      <c r="DC326" s="35"/>
      <c r="DD326" s="41">
        <v>203467</v>
      </c>
      <c r="DE326" s="37">
        <f>DD326-Y326</f>
        <v>58467</v>
      </c>
      <c r="DF326" s="38">
        <f>DE326/DD326</f>
        <v>0.28735372320818608</v>
      </c>
      <c r="DG326" s="37">
        <f>AF326-DD326</f>
        <v>-188467</v>
      </c>
      <c r="DH326" s="40" t="s">
        <v>29</v>
      </c>
      <c r="DI326" s="40"/>
      <c r="DJ326" s="40"/>
      <c r="DK326" s="40"/>
      <c r="DL326" s="35"/>
      <c r="DM326" s="35"/>
      <c r="DN326" s="35"/>
      <c r="DO326" s="35"/>
      <c r="DP326" s="35"/>
      <c r="DQ326" s="35"/>
      <c r="DR326" s="35"/>
      <c r="DS326" s="35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41">
        <v>224083</v>
      </c>
      <c r="ES326" s="37">
        <f>ER326-Y326</f>
        <v>79083</v>
      </c>
      <c r="ET326" s="38">
        <f>ES326/ER326</f>
        <v>0.35291833829429275</v>
      </c>
      <c r="EU326" s="37">
        <f>AF326-ER326</f>
        <v>-209083</v>
      </c>
      <c r="EV326" s="40" t="s">
        <v>29</v>
      </c>
      <c r="EW326" s="40"/>
      <c r="EX326" s="40"/>
      <c r="EY326" s="40"/>
      <c r="EZ326" s="35"/>
      <c r="FA326" s="35"/>
      <c r="FB326" s="35"/>
      <c r="FC326" s="35"/>
      <c r="FD326" s="35"/>
      <c r="FE326" s="35"/>
      <c r="FF326" s="35"/>
      <c r="FG326" s="35"/>
    </row>
    <row r="327" spans="1:163">
      <c r="A327" s="62">
        <v>400</v>
      </c>
      <c r="E327" s="63" t="s">
        <v>235</v>
      </c>
      <c r="F327" s="56" t="s">
        <v>87</v>
      </c>
      <c r="G327" s="70" t="s">
        <v>768</v>
      </c>
      <c r="H327" s="66" t="str">
        <f t="shared" ref="H327:H390" si="146">REPLACE(G327,1,3, )</f>
        <v xml:space="preserve"> 181</v>
      </c>
      <c r="I327" s="67" t="s">
        <v>768</v>
      </c>
      <c r="J327" s="68">
        <f t="shared" ref="J327:J390" si="147">IF(G327=I327,0,1)</f>
        <v>0</v>
      </c>
      <c r="K327" s="63" t="s">
        <v>382</v>
      </c>
      <c r="L327" s="1" t="s">
        <v>46</v>
      </c>
      <c r="O327" s="88" t="s">
        <v>790</v>
      </c>
      <c r="P327" s="89">
        <v>54000</v>
      </c>
      <c r="Q327" s="90">
        <f t="shared" si="140"/>
        <v>0</v>
      </c>
      <c r="R327" s="71"/>
      <c r="S327" s="72">
        <f t="shared" si="137"/>
        <v>0</v>
      </c>
      <c r="T327" s="68"/>
      <c r="U327" s="73">
        <f t="shared" si="138"/>
        <v>0</v>
      </c>
      <c r="V327" s="73"/>
      <c r="W327" s="2">
        <f t="shared" ref="W327:W390" si="148">Q327-P327</f>
        <v>-54000</v>
      </c>
      <c r="Y327" s="81">
        <f t="shared" ref="Y327:Y390" si="149">Q327</f>
        <v>0</v>
      </c>
      <c r="Z327" s="96">
        <v>0</v>
      </c>
      <c r="AA327" s="97">
        <f t="shared" si="144"/>
        <v>0</v>
      </c>
      <c r="AB327" s="98" t="e">
        <f t="shared" si="145"/>
        <v>#DIV/0!</v>
      </c>
      <c r="AE327" s="2">
        <v>89000</v>
      </c>
      <c r="AF327" s="28">
        <f t="shared" si="143"/>
        <v>0</v>
      </c>
      <c r="AG327" s="55" t="s">
        <v>125</v>
      </c>
      <c r="AI327" s="20" t="s">
        <v>206</v>
      </c>
      <c r="AJ327" s="2">
        <f t="shared" ref="AJ327:AJ390" si="150">AF327-Y327</f>
        <v>0</v>
      </c>
      <c r="AN327" s="29" t="e">
        <f t="shared" ref="AN327:AN390" si="151">AJ327/AF327</f>
        <v>#DIV/0!</v>
      </c>
      <c r="AP327" s="3" t="s">
        <v>140</v>
      </c>
      <c r="AQ327" s="1" t="s">
        <v>199</v>
      </c>
      <c r="AR327" s="31">
        <f t="shared" ref="AR327:AR390" si="152">IF(BN327&lt;&gt;"", AF327-BN327, 0)</f>
        <v>0</v>
      </c>
      <c r="AS327" s="31">
        <f t="shared" ref="AS327:AS390" si="153">IF(CV327&lt;&gt;"", AF327-CV327, 0)</f>
        <v>0</v>
      </c>
      <c r="AT327" s="31">
        <f>IF(BZ327&lt;&gt;"", AF327-BZ327, 0)</f>
        <v>0</v>
      </c>
      <c r="AU327" s="31">
        <f t="shared" ref="AU327:AU390" si="154">IF(DD327&lt;&gt;"", AF327-DD327, 0)</f>
        <v>0</v>
      </c>
      <c r="AV327" s="31">
        <f t="shared" ref="AV327:AV390" si="155">IF(CL327&lt;&gt;"", AF327-CL327, 0)</f>
        <v>0</v>
      </c>
      <c r="AW327" s="31">
        <f t="shared" ref="AW327:AW390" si="156">IF(DL327&lt;&gt;"", AF327-DL327, 0)</f>
        <v>0</v>
      </c>
      <c r="AX327" s="31">
        <f t="shared" ref="AX327:AX390" si="157">IF(DV327&lt;&gt;"",AF327-DV327, 0)</f>
        <v>0</v>
      </c>
      <c r="AY327" s="31">
        <f t="shared" ref="AY327:AY390" si="158">IF(EH327&lt;&gt;"",AF327-EH327, 0)</f>
        <v>0</v>
      </c>
      <c r="AZ327" s="31">
        <f t="shared" ref="AZ327:AZ390" si="159">IF(ER327&lt;&gt;"", AF327-ER327, 0)</f>
        <v>0</v>
      </c>
      <c r="BA327" s="31">
        <f t="shared" ref="BA327:BA390" si="160">IF(EZ327&lt;&gt;"", AF327-EZ327, 0)</f>
        <v>0</v>
      </c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35"/>
      <c r="CW327" s="35"/>
      <c r="CX327" s="35"/>
      <c r="CY327" s="35"/>
      <c r="CZ327" s="35"/>
      <c r="DA327" s="35"/>
      <c r="DB327" s="35"/>
      <c r="DC327" s="35"/>
      <c r="DD327" s="40"/>
      <c r="DE327" s="40"/>
      <c r="DF327" s="40"/>
      <c r="DG327" s="40"/>
      <c r="DH327" s="40"/>
      <c r="DI327" s="40"/>
      <c r="DJ327" s="40"/>
      <c r="DK327" s="40"/>
      <c r="DL327" s="35"/>
      <c r="DM327" s="35"/>
      <c r="DN327" s="35"/>
      <c r="DO327" s="35"/>
      <c r="DP327" s="35"/>
      <c r="DQ327" s="35"/>
      <c r="DR327" s="35"/>
      <c r="DS327" s="35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40"/>
      <c r="ES327" s="40"/>
      <c r="ET327" s="40"/>
      <c r="EU327" s="40"/>
      <c r="EV327" s="40"/>
      <c r="EW327" s="40"/>
      <c r="EX327" s="40"/>
      <c r="EY327" s="40"/>
      <c r="EZ327" s="35"/>
      <c r="FA327" s="35"/>
      <c r="FB327" s="35"/>
      <c r="FC327" s="35"/>
      <c r="FD327" s="35"/>
      <c r="FE327" s="35"/>
      <c r="FF327" s="35"/>
      <c r="FG327" s="35"/>
    </row>
    <row r="328" spans="1:163">
      <c r="A328" s="62">
        <v>402</v>
      </c>
      <c r="E328" s="63" t="s">
        <v>235</v>
      </c>
      <c r="F328" s="56" t="s">
        <v>88</v>
      </c>
      <c r="G328" s="70" t="s">
        <v>770</v>
      </c>
      <c r="H328" s="66" t="str">
        <f t="shared" si="146"/>
        <v xml:space="preserve"> 325</v>
      </c>
      <c r="I328" s="67" t="s">
        <v>770</v>
      </c>
      <c r="J328" s="68">
        <f t="shared" si="147"/>
        <v>0</v>
      </c>
      <c r="K328" s="63" t="s">
        <v>382</v>
      </c>
      <c r="L328" s="1" t="s">
        <v>46</v>
      </c>
      <c r="O328" s="88" t="s">
        <v>790</v>
      </c>
      <c r="P328" s="89">
        <v>57000</v>
      </c>
      <c r="Q328" s="90">
        <f t="shared" ref="Q328:Q359" si="161">U328+V328</f>
        <v>0</v>
      </c>
      <c r="R328" s="71"/>
      <c r="S328" s="72">
        <f t="shared" si="137"/>
        <v>0</v>
      </c>
      <c r="T328" s="68"/>
      <c r="U328" s="73">
        <f t="shared" si="138"/>
        <v>0</v>
      </c>
      <c r="V328" s="73"/>
      <c r="W328" s="2">
        <f t="shared" si="148"/>
        <v>-57000</v>
      </c>
      <c r="Y328" s="81">
        <f t="shared" si="149"/>
        <v>0</v>
      </c>
      <c r="Z328" s="96">
        <v>0</v>
      </c>
      <c r="AA328" s="97">
        <f t="shared" si="144"/>
        <v>0</v>
      </c>
      <c r="AB328" s="98" t="e">
        <f t="shared" si="145"/>
        <v>#DIV/0!</v>
      </c>
      <c r="AC328" s="2">
        <v>3500</v>
      </c>
      <c r="AD328" s="2">
        <f>Z328+AC328</f>
        <v>3500</v>
      </c>
      <c r="AF328" s="28">
        <f t="shared" si="143"/>
        <v>3500</v>
      </c>
      <c r="AG328" s="55" t="s">
        <v>125</v>
      </c>
      <c r="AH328" s="2"/>
      <c r="AI328" s="20" t="s">
        <v>206</v>
      </c>
      <c r="AJ328" s="2">
        <f t="shared" si="150"/>
        <v>3500</v>
      </c>
      <c r="AN328" s="29">
        <f t="shared" si="151"/>
        <v>1</v>
      </c>
      <c r="AO328" s="29" t="e">
        <f>AN328-AB328</f>
        <v>#DIV/0!</v>
      </c>
      <c r="AP328" s="3" t="s">
        <v>140</v>
      </c>
      <c r="AQ328" s="1" t="s">
        <v>199</v>
      </c>
      <c r="AR328" s="31">
        <f t="shared" si="152"/>
        <v>0</v>
      </c>
      <c r="AS328" s="31">
        <f t="shared" si="153"/>
        <v>0</v>
      </c>
      <c r="AT328" s="31">
        <f>IF(BZ328&lt;&gt;"", AF328-BZ328, 0)</f>
        <v>0</v>
      </c>
      <c r="AU328" s="31">
        <f t="shared" si="154"/>
        <v>0</v>
      </c>
      <c r="AV328" s="31">
        <f t="shared" si="155"/>
        <v>-92200</v>
      </c>
      <c r="AW328" s="31">
        <f t="shared" si="156"/>
        <v>0</v>
      </c>
      <c r="AX328" s="31">
        <f t="shared" si="157"/>
        <v>0</v>
      </c>
      <c r="AY328" s="31">
        <f t="shared" si="158"/>
        <v>0</v>
      </c>
      <c r="AZ328" s="31">
        <f t="shared" si="159"/>
        <v>0</v>
      </c>
      <c r="BA328" s="31">
        <f t="shared" si="160"/>
        <v>0</v>
      </c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41">
        <v>92700</v>
      </c>
      <c r="CK328" s="41">
        <v>3000</v>
      </c>
      <c r="CL328" s="37">
        <f>CJ328+CK328</f>
        <v>95700</v>
      </c>
      <c r="CM328" s="37">
        <f>CL328-Y328</f>
        <v>95700</v>
      </c>
      <c r="CN328" s="38">
        <f>CM328/CJ328</f>
        <v>1.0323624595469256</v>
      </c>
      <c r="CO328" s="37">
        <f>AF328-CL328</f>
        <v>-92200</v>
      </c>
      <c r="CP328" s="40" t="s">
        <v>137</v>
      </c>
      <c r="CQ328" s="40"/>
      <c r="CR328" s="40"/>
      <c r="CS328" s="40"/>
      <c r="CT328" s="40"/>
      <c r="CU328" s="40"/>
      <c r="CV328" s="35"/>
      <c r="CW328" s="35"/>
      <c r="CX328" s="35"/>
      <c r="CY328" s="35"/>
      <c r="CZ328" s="35"/>
      <c r="DA328" s="35"/>
      <c r="DB328" s="35"/>
      <c r="DC328" s="35"/>
      <c r="DD328" s="40"/>
      <c r="DE328" s="40"/>
      <c r="DF328" s="40"/>
      <c r="DG328" s="40"/>
      <c r="DH328" s="40"/>
      <c r="DI328" s="40"/>
      <c r="DJ328" s="40"/>
      <c r="DK328" s="40"/>
      <c r="DL328" s="35"/>
      <c r="DM328" s="35"/>
      <c r="DN328" s="35"/>
      <c r="DO328" s="35"/>
      <c r="DP328" s="35"/>
      <c r="DQ328" s="35"/>
      <c r="DR328" s="35"/>
      <c r="DS328" s="35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40"/>
      <c r="ES328" s="40"/>
      <c r="ET328" s="40"/>
      <c r="EU328" s="40"/>
      <c r="EV328" s="40"/>
      <c r="EW328" s="40"/>
      <c r="EX328" s="40"/>
      <c r="EY328" s="40"/>
      <c r="EZ328" s="35"/>
      <c r="FA328" s="35"/>
      <c r="FB328" s="35"/>
      <c r="FC328" s="35"/>
      <c r="FD328" s="35"/>
      <c r="FE328" s="35"/>
      <c r="FF328" s="35"/>
      <c r="FG328" s="35"/>
    </row>
    <row r="329" spans="1:163">
      <c r="A329" s="62">
        <v>408</v>
      </c>
      <c r="E329" s="63" t="s">
        <v>233</v>
      </c>
      <c r="F329" s="56" t="s">
        <v>88</v>
      </c>
      <c r="G329" s="70" t="s">
        <v>776</v>
      </c>
      <c r="H329" s="66" t="str">
        <f t="shared" si="146"/>
        <v xml:space="preserve"> 488</v>
      </c>
      <c r="I329" s="67" t="s">
        <v>776</v>
      </c>
      <c r="J329" s="68">
        <f t="shared" si="147"/>
        <v>0</v>
      </c>
      <c r="K329" s="63" t="s">
        <v>382</v>
      </c>
      <c r="L329" s="1" t="s">
        <v>46</v>
      </c>
      <c r="O329" s="88" t="s">
        <v>790</v>
      </c>
      <c r="P329" s="89">
        <v>55000</v>
      </c>
      <c r="Q329" s="90">
        <f t="shared" si="161"/>
        <v>0</v>
      </c>
      <c r="R329" s="71"/>
      <c r="S329" s="72">
        <f t="shared" si="137"/>
        <v>0</v>
      </c>
      <c r="T329" s="68"/>
      <c r="U329" s="73">
        <f t="shared" si="138"/>
        <v>0</v>
      </c>
      <c r="V329" s="73"/>
      <c r="W329" s="2">
        <f t="shared" si="148"/>
        <v>-55000</v>
      </c>
      <c r="Y329" s="81">
        <f t="shared" si="149"/>
        <v>0</v>
      </c>
      <c r="Z329" s="96">
        <v>0</v>
      </c>
      <c r="AA329" s="97">
        <f t="shared" si="144"/>
        <v>0</v>
      </c>
      <c r="AB329" s="98" t="e">
        <f t="shared" si="145"/>
        <v>#DIV/0!</v>
      </c>
      <c r="AE329" s="2">
        <v>84000</v>
      </c>
      <c r="AF329" s="28">
        <f t="shared" si="143"/>
        <v>0</v>
      </c>
      <c r="AG329" s="55" t="s">
        <v>125</v>
      </c>
      <c r="AI329" s="20" t="s">
        <v>206</v>
      </c>
      <c r="AJ329" s="2">
        <f t="shared" si="150"/>
        <v>0</v>
      </c>
      <c r="AK329" s="2" t="e">
        <f>AVERAGE(AF329,AF328,AF327,AF326,AF325,AF324,AF323,AF322,AF321,AF320,AF319,AF318,#REF!,#REF!,#REF!,#REF!,#REF!,#REF!,#REF!,#REF!,#REF!,#REF!,#REF!,#REF!)</f>
        <v>#REF!</v>
      </c>
      <c r="AL329" s="2" t="e">
        <f>MIN(AF329,AF328,AF327,AF326,AF325,AF324,AF323,AF322,AF321,AF320,AF319,AF318,#REF!,#REF!,#REF!,#REF!,#REF!,#REF!,#REF!,#REF!,#REF!,#REF!,#REF!,#REF!)</f>
        <v>#REF!</v>
      </c>
      <c r="AM329" s="2" t="e">
        <f>MAX(AF329,AF328,AF327,AF326,AF325,AF324,AF323,AF322,AF321,AF320,AF319,AF318,#REF!,#REF!,#REF!,#REF!,#REF!,#REF!,#REF!,#REF!,#REF!,#REF!,#REF!,#REF!)</f>
        <v>#REF!</v>
      </c>
      <c r="AN329" s="29" t="e">
        <f t="shared" si="151"/>
        <v>#DIV/0!</v>
      </c>
      <c r="AP329" s="3" t="s">
        <v>140</v>
      </c>
      <c r="AQ329" s="1" t="s">
        <v>199</v>
      </c>
      <c r="AR329" s="31">
        <f t="shared" si="152"/>
        <v>0</v>
      </c>
      <c r="AS329" s="31">
        <f t="shared" si="153"/>
        <v>0</v>
      </c>
      <c r="AT329" s="31">
        <f>IF(BZ329&lt;&gt;"", AF329-BZ329, 0)</f>
        <v>0</v>
      </c>
      <c r="AU329" s="31">
        <f t="shared" si="154"/>
        <v>0</v>
      </c>
      <c r="AV329" s="31">
        <f t="shared" si="155"/>
        <v>0</v>
      </c>
      <c r="AW329" s="31">
        <f t="shared" si="156"/>
        <v>0</v>
      </c>
      <c r="AX329" s="31">
        <f t="shared" si="157"/>
        <v>0</v>
      </c>
      <c r="AY329" s="31">
        <f t="shared" si="158"/>
        <v>0</v>
      </c>
      <c r="AZ329" s="31">
        <f t="shared" si="159"/>
        <v>0</v>
      </c>
      <c r="BA329" s="31">
        <f t="shared" si="160"/>
        <v>0</v>
      </c>
      <c r="BB329" s="32">
        <f>IF(BS329&lt;&gt;"", AK329-BS329, 0)</f>
        <v>0</v>
      </c>
      <c r="BC329" s="32" t="e">
        <f>IF(DA329&lt;&gt;"", AK329-DA329, 0)</f>
        <v>#REF!</v>
      </c>
      <c r="BD329" s="32">
        <f>IF(CE329&lt;&gt;"", AK329-CE329, )</f>
        <v>0</v>
      </c>
      <c r="BE329" s="32" t="e">
        <f>IF(DI329&lt;&gt;"", AK329-DI329, 0)</f>
        <v>#REF!</v>
      </c>
      <c r="BF329" s="32" t="e">
        <f>IF(CQ329&lt;&gt;"",AK329-CQ329, 0)</f>
        <v>#REF!</v>
      </c>
      <c r="BG329" s="32" t="e">
        <f>IF(DQ329&lt;&gt;"", AK329-DQ329, 0)</f>
        <v>#REF!</v>
      </c>
      <c r="BH329" s="32" t="e">
        <f>IF(EA329&lt;&gt;"", AK329-EA329, 0)</f>
        <v>#REF!</v>
      </c>
      <c r="BI329" s="32" t="e">
        <f>IF(EM329&lt;&gt;"", AK329-EM329, 0)</f>
        <v>#REF!</v>
      </c>
      <c r="BJ329" s="32" t="e">
        <f>IF(EW329&lt;&gt;"", AK329-EW329, 0)</f>
        <v>#REF!</v>
      </c>
      <c r="BK329" s="32">
        <f>IF(FE329&lt;&gt;"", AK329-FE329, 0)</f>
        <v>0</v>
      </c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40"/>
      <c r="CK329" s="40"/>
      <c r="CL329" s="40"/>
      <c r="CM329" s="40"/>
      <c r="CN329" s="40"/>
      <c r="CO329" s="40"/>
      <c r="CP329" s="40"/>
      <c r="CQ329" s="41">
        <f>CS329+CR329</f>
        <v>87885</v>
      </c>
      <c r="CR329" s="41">
        <v>2500</v>
      </c>
      <c r="CS329" s="41">
        <v>85385</v>
      </c>
      <c r="CT329" s="41">
        <v>109350</v>
      </c>
      <c r="CU329" s="41">
        <v>70200</v>
      </c>
      <c r="CV329" s="35"/>
      <c r="CW329" s="35"/>
      <c r="CX329" s="35"/>
      <c r="CY329" s="35"/>
      <c r="CZ329" s="35"/>
      <c r="DA329" s="36">
        <v>95400</v>
      </c>
      <c r="DB329" s="36">
        <v>108000</v>
      </c>
      <c r="DC329" s="36">
        <v>76950</v>
      </c>
      <c r="DD329" s="40"/>
      <c r="DE329" s="40"/>
      <c r="DF329" s="40"/>
      <c r="DG329" s="40"/>
      <c r="DH329" s="40"/>
      <c r="DI329" s="41">
        <v>93462</v>
      </c>
      <c r="DJ329" s="41">
        <v>111726</v>
      </c>
      <c r="DK329" s="41">
        <v>70146</v>
      </c>
      <c r="DL329" s="35"/>
      <c r="DM329" s="35"/>
      <c r="DN329" s="35"/>
      <c r="DO329" s="35"/>
      <c r="DP329" s="35"/>
      <c r="DQ329" s="36">
        <v>91192</v>
      </c>
      <c r="DR329" s="36">
        <v>104212</v>
      </c>
      <c r="DS329" s="36">
        <v>71925</v>
      </c>
      <c r="DT329" s="39"/>
      <c r="DU329" s="39"/>
      <c r="DV329" s="39"/>
      <c r="DW329" s="39"/>
      <c r="DX329" s="39"/>
      <c r="DY329" s="39"/>
      <c r="DZ329" s="39"/>
      <c r="EA329" s="41">
        <f>EC329+EB329</f>
        <v>91008</v>
      </c>
      <c r="EB329" s="41">
        <v>2500</v>
      </c>
      <c r="EC329" s="41">
        <v>88508</v>
      </c>
      <c r="ED329" s="41">
        <v>97755</v>
      </c>
      <c r="EE329" s="41">
        <v>67987</v>
      </c>
      <c r="EF329" s="35"/>
      <c r="EG329" s="35"/>
      <c r="EH329" s="35"/>
      <c r="EI329" s="35"/>
      <c r="EJ329" s="35"/>
      <c r="EK329" s="35"/>
      <c r="EL329" s="35"/>
      <c r="EM329" s="49">
        <f>EO329+EN329</f>
        <v>90913</v>
      </c>
      <c r="EN329" s="36">
        <v>2500</v>
      </c>
      <c r="EO329" s="36">
        <v>88413</v>
      </c>
      <c r="EP329" s="36">
        <v>97755</v>
      </c>
      <c r="EQ329" s="36">
        <v>66412</v>
      </c>
      <c r="ER329" s="40"/>
      <c r="ES329" s="40"/>
      <c r="ET329" s="40"/>
      <c r="EU329" s="40"/>
      <c r="EV329" s="40"/>
      <c r="EW329" s="41">
        <v>107187</v>
      </c>
      <c r="EX329" s="41">
        <v>141000</v>
      </c>
      <c r="EY329" s="41">
        <v>72000</v>
      </c>
      <c r="EZ329" s="35"/>
      <c r="FA329" s="35"/>
      <c r="FB329" s="35"/>
      <c r="FC329" s="35"/>
      <c r="FD329" s="35"/>
      <c r="FE329" s="35"/>
      <c r="FF329" s="35"/>
      <c r="FG329" s="35"/>
    </row>
    <row r="330" spans="1:163">
      <c r="A330" s="62">
        <v>405</v>
      </c>
      <c r="E330" s="63" t="s">
        <v>233</v>
      </c>
      <c r="F330" s="56" t="s">
        <v>88</v>
      </c>
      <c r="G330" s="70" t="s">
        <v>773</v>
      </c>
      <c r="H330" s="66" t="str">
        <f t="shared" si="146"/>
        <v xml:space="preserve"> 808</v>
      </c>
      <c r="I330" s="67" t="s">
        <v>773</v>
      </c>
      <c r="J330" s="68">
        <f t="shared" si="147"/>
        <v>0</v>
      </c>
      <c r="K330" s="63" t="s">
        <v>382</v>
      </c>
      <c r="L330" s="1" t="s">
        <v>46</v>
      </c>
      <c r="O330" s="88" t="s">
        <v>790</v>
      </c>
      <c r="P330" s="89">
        <v>55000</v>
      </c>
      <c r="Q330" s="90">
        <f t="shared" si="161"/>
        <v>0</v>
      </c>
      <c r="R330" s="71"/>
      <c r="S330" s="72">
        <f t="shared" si="137"/>
        <v>0</v>
      </c>
      <c r="T330" s="68"/>
      <c r="U330" s="73">
        <f t="shared" si="138"/>
        <v>0</v>
      </c>
      <c r="V330" s="73"/>
      <c r="W330" s="2">
        <f t="shared" si="148"/>
        <v>-55000</v>
      </c>
      <c r="Y330" s="81">
        <f t="shared" si="149"/>
        <v>0</v>
      </c>
      <c r="Z330" s="96">
        <v>0</v>
      </c>
      <c r="AA330" s="97">
        <f t="shared" si="144"/>
        <v>0</v>
      </c>
      <c r="AB330" s="98" t="e">
        <f t="shared" si="145"/>
        <v>#DIV/0!</v>
      </c>
      <c r="AE330" s="2">
        <v>89000</v>
      </c>
      <c r="AF330" s="28">
        <f t="shared" si="143"/>
        <v>0</v>
      </c>
      <c r="AG330" s="55" t="s">
        <v>125</v>
      </c>
      <c r="AI330" s="20" t="s">
        <v>206</v>
      </c>
      <c r="AJ330" s="2">
        <f t="shared" si="150"/>
        <v>0</v>
      </c>
      <c r="AN330" s="29" t="e">
        <f t="shared" si="151"/>
        <v>#DIV/0!</v>
      </c>
      <c r="AP330" s="3" t="s">
        <v>140</v>
      </c>
      <c r="AQ330" s="1" t="s">
        <v>199</v>
      </c>
      <c r="AR330" s="31">
        <f t="shared" si="152"/>
        <v>0</v>
      </c>
      <c r="AS330" s="31">
        <f t="shared" si="153"/>
        <v>0</v>
      </c>
      <c r="AT330" s="31">
        <f>IF(BZ330&lt;&gt;"", AF330-BZ330, 0)</f>
        <v>0</v>
      </c>
      <c r="AU330" s="31">
        <f t="shared" si="154"/>
        <v>0</v>
      </c>
      <c r="AV330" s="31">
        <f t="shared" si="155"/>
        <v>0</v>
      </c>
      <c r="AW330" s="31">
        <f t="shared" si="156"/>
        <v>0</v>
      </c>
      <c r="AX330" s="31">
        <f t="shared" si="157"/>
        <v>0</v>
      </c>
      <c r="AY330" s="31">
        <f t="shared" si="158"/>
        <v>0</v>
      </c>
      <c r="AZ330" s="31">
        <f t="shared" si="159"/>
        <v>0</v>
      </c>
      <c r="BA330" s="31">
        <f t="shared" si="160"/>
        <v>0</v>
      </c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35"/>
      <c r="CW330" s="35"/>
      <c r="CX330" s="35"/>
      <c r="CY330" s="35"/>
      <c r="CZ330" s="35"/>
      <c r="DA330" s="35"/>
      <c r="DB330" s="35"/>
      <c r="DC330" s="35"/>
      <c r="DD330" s="40"/>
      <c r="DE330" s="40"/>
      <c r="DF330" s="40"/>
      <c r="DG330" s="40"/>
      <c r="DH330" s="40"/>
      <c r="DI330" s="40"/>
      <c r="DJ330" s="40"/>
      <c r="DK330" s="40"/>
      <c r="DL330" s="35"/>
      <c r="DM330" s="35"/>
      <c r="DN330" s="35"/>
      <c r="DO330" s="35"/>
      <c r="DP330" s="35"/>
      <c r="DQ330" s="35"/>
      <c r="DR330" s="35"/>
      <c r="DS330" s="35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40"/>
      <c r="ES330" s="40"/>
      <c r="ET330" s="40"/>
      <c r="EU330" s="40"/>
      <c r="EV330" s="40"/>
      <c r="EW330" s="40"/>
      <c r="EX330" s="40"/>
      <c r="EY330" s="40"/>
      <c r="EZ330" s="35"/>
      <c r="FA330" s="35"/>
      <c r="FB330" s="35"/>
      <c r="FC330" s="35"/>
      <c r="FD330" s="35"/>
      <c r="FE330" s="35"/>
      <c r="FF330" s="35"/>
      <c r="FG330" s="35"/>
    </row>
    <row r="331" spans="1:163">
      <c r="A331" s="62">
        <v>307</v>
      </c>
      <c r="E331" s="63" t="s">
        <v>75</v>
      </c>
      <c r="F331" s="56" t="s">
        <v>74</v>
      </c>
      <c r="G331" s="70" t="s">
        <v>678</v>
      </c>
      <c r="H331" s="66" t="str">
        <f t="shared" si="146"/>
        <v xml:space="preserve"> 580</v>
      </c>
      <c r="I331" s="67" t="s">
        <v>678</v>
      </c>
      <c r="J331" s="68">
        <f t="shared" si="147"/>
        <v>0</v>
      </c>
      <c r="K331" s="63" t="s">
        <v>356</v>
      </c>
      <c r="L331" s="1" t="s">
        <v>46</v>
      </c>
      <c r="O331" s="88" t="s">
        <v>790</v>
      </c>
      <c r="P331" s="89">
        <v>78500</v>
      </c>
      <c r="Q331" s="90">
        <f t="shared" si="161"/>
        <v>0</v>
      </c>
      <c r="R331" s="71"/>
      <c r="S331" s="72">
        <f t="shared" si="137"/>
        <v>0</v>
      </c>
      <c r="T331" s="68"/>
      <c r="U331" s="73">
        <f t="shared" si="138"/>
        <v>0</v>
      </c>
      <c r="V331" s="75"/>
      <c r="W331" s="2">
        <f t="shared" si="148"/>
        <v>-78500</v>
      </c>
      <c r="Y331" s="81">
        <f t="shared" si="149"/>
        <v>0</v>
      </c>
      <c r="Z331" s="96">
        <v>0</v>
      </c>
      <c r="AA331" s="97">
        <f t="shared" si="144"/>
        <v>0</v>
      </c>
      <c r="AB331" s="98" t="e">
        <f t="shared" si="145"/>
        <v>#DIV/0!</v>
      </c>
      <c r="AE331" s="2">
        <v>104000</v>
      </c>
      <c r="AF331" s="28">
        <f t="shared" si="143"/>
        <v>0</v>
      </c>
      <c r="AG331" s="55" t="s">
        <v>125</v>
      </c>
      <c r="AI331" s="20" t="s">
        <v>45</v>
      </c>
      <c r="AJ331" s="2">
        <f t="shared" si="150"/>
        <v>0</v>
      </c>
      <c r="AN331" s="29" t="e">
        <f t="shared" si="151"/>
        <v>#DIV/0!</v>
      </c>
      <c r="AP331" s="3" t="s">
        <v>29</v>
      </c>
      <c r="AQ331" s="1" t="s">
        <v>185</v>
      </c>
      <c r="AR331" s="31">
        <f t="shared" si="152"/>
        <v>0</v>
      </c>
      <c r="AS331" s="31">
        <f t="shared" si="153"/>
        <v>0</v>
      </c>
      <c r="AT331" s="31">
        <f>IF(BZ331&lt;&gt;"", AF331-BZ331, 0)</f>
        <v>0</v>
      </c>
      <c r="AU331" s="31">
        <f t="shared" si="154"/>
        <v>0</v>
      </c>
      <c r="AV331" s="31">
        <f t="shared" si="155"/>
        <v>0</v>
      </c>
      <c r="AW331" s="31">
        <f t="shared" si="156"/>
        <v>0</v>
      </c>
      <c r="AX331" s="31">
        <f t="shared" si="157"/>
        <v>0</v>
      </c>
      <c r="AY331" s="31">
        <f t="shared" si="158"/>
        <v>0</v>
      </c>
      <c r="AZ331" s="31">
        <f t="shared" si="159"/>
        <v>0</v>
      </c>
      <c r="BA331" s="31">
        <f t="shared" si="160"/>
        <v>0</v>
      </c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41"/>
      <c r="BM331" s="41"/>
      <c r="BN331" s="41"/>
      <c r="BO331" s="37"/>
      <c r="BP331" s="38"/>
      <c r="BQ331" s="37"/>
      <c r="BR331" s="40"/>
      <c r="BS331" s="39"/>
      <c r="BT331" s="39"/>
      <c r="BU331" s="39"/>
      <c r="BV331" s="39"/>
      <c r="BW331" s="39"/>
      <c r="BX331" s="36"/>
      <c r="BY331" s="33"/>
      <c r="BZ331" s="33"/>
      <c r="CA331" s="33"/>
      <c r="CB331" s="34"/>
      <c r="CC331" s="33"/>
      <c r="CD331" s="35"/>
      <c r="CE331" s="48"/>
      <c r="CF331" s="48"/>
      <c r="CG331" s="48"/>
      <c r="CH331" s="48"/>
      <c r="CI331" s="48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35"/>
      <c r="CW331" s="35"/>
      <c r="CX331" s="35"/>
      <c r="CY331" s="35"/>
      <c r="CZ331" s="35"/>
      <c r="DA331" s="35"/>
      <c r="DB331" s="35"/>
      <c r="DC331" s="35"/>
      <c r="DD331" s="40"/>
      <c r="DE331" s="40"/>
      <c r="DF331" s="40"/>
      <c r="DG331" s="40"/>
      <c r="DH331" s="40"/>
      <c r="DI331" s="40"/>
      <c r="DJ331" s="40"/>
      <c r="DK331" s="40"/>
      <c r="DL331" s="35"/>
      <c r="DM331" s="35"/>
      <c r="DN331" s="35"/>
      <c r="DO331" s="35"/>
      <c r="DP331" s="35"/>
      <c r="DQ331" s="35"/>
      <c r="DR331" s="35"/>
      <c r="DS331" s="35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40"/>
      <c r="ES331" s="40"/>
      <c r="ET331" s="40"/>
      <c r="EU331" s="40"/>
      <c r="EV331" s="40"/>
      <c r="EW331" s="40"/>
      <c r="EX331" s="40"/>
      <c r="EY331" s="40"/>
      <c r="EZ331" s="35"/>
      <c r="FA331" s="35"/>
      <c r="FB331" s="35"/>
      <c r="FC331" s="35"/>
      <c r="FD331" s="35"/>
      <c r="FE331" s="35"/>
      <c r="FF331" s="35"/>
      <c r="FG331" s="35"/>
    </row>
    <row r="332" spans="1:163">
      <c r="A332" s="62">
        <v>199</v>
      </c>
      <c r="E332" s="63" t="s">
        <v>216</v>
      </c>
      <c r="F332" s="56" t="s">
        <v>65</v>
      </c>
      <c r="G332" s="70" t="s">
        <v>579</v>
      </c>
      <c r="H332" s="66" t="str">
        <f t="shared" si="146"/>
        <v xml:space="preserve"> 269</v>
      </c>
      <c r="I332" s="67" t="s">
        <v>579</v>
      </c>
      <c r="J332" s="68">
        <f t="shared" si="147"/>
        <v>0</v>
      </c>
      <c r="K332" s="63" t="s">
        <v>317</v>
      </c>
      <c r="L332" s="1" t="s">
        <v>46</v>
      </c>
      <c r="O332" s="64" t="s">
        <v>789</v>
      </c>
      <c r="P332" s="82">
        <v>0</v>
      </c>
      <c r="Q332" s="74">
        <f t="shared" si="161"/>
        <v>80000</v>
      </c>
      <c r="R332" s="71">
        <v>80000</v>
      </c>
      <c r="S332" s="72">
        <f t="shared" si="137"/>
        <v>8250</v>
      </c>
      <c r="T332" s="68" t="s">
        <v>791</v>
      </c>
      <c r="U332" s="73">
        <f t="shared" si="138"/>
        <v>71750</v>
      </c>
      <c r="V332" s="75">
        <f>2000+5200+600+200+250</f>
        <v>8250</v>
      </c>
      <c r="W332" s="2">
        <f t="shared" si="148"/>
        <v>80000</v>
      </c>
      <c r="Y332" s="80">
        <f t="shared" si="149"/>
        <v>80000</v>
      </c>
      <c r="Z332" s="93"/>
      <c r="AA332" s="93"/>
      <c r="AB332" s="94"/>
      <c r="AE332" s="2">
        <v>122000</v>
      </c>
      <c r="AF332" s="28">
        <f t="shared" si="143"/>
        <v>122000</v>
      </c>
      <c r="AJ332" s="2">
        <f t="shared" si="150"/>
        <v>42000</v>
      </c>
      <c r="AN332" s="29">
        <f t="shared" si="151"/>
        <v>0.34426229508196721</v>
      </c>
      <c r="AP332" s="3" t="s">
        <v>140</v>
      </c>
      <c r="AQ332" s="1" t="s">
        <v>159</v>
      </c>
      <c r="AR332" s="31">
        <f t="shared" si="152"/>
        <v>0</v>
      </c>
      <c r="AS332" s="31">
        <f t="shared" si="153"/>
        <v>-3280</v>
      </c>
      <c r="AT332" s="31">
        <f>IF(BX332&lt;&gt;"", AF332-BX332, 0)</f>
        <v>0</v>
      </c>
      <c r="AU332" s="31">
        <f t="shared" si="154"/>
        <v>0</v>
      </c>
      <c r="AV332" s="31">
        <f t="shared" si="155"/>
        <v>0</v>
      </c>
      <c r="AW332" s="31">
        <f t="shared" si="156"/>
        <v>0</v>
      </c>
      <c r="AX332" s="31">
        <f t="shared" si="157"/>
        <v>0</v>
      </c>
      <c r="AY332" s="31">
        <f t="shared" si="158"/>
        <v>0</v>
      </c>
      <c r="AZ332" s="31">
        <f t="shared" si="159"/>
        <v>0</v>
      </c>
      <c r="BA332" s="31">
        <f t="shared" si="160"/>
        <v>0</v>
      </c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41"/>
      <c r="BM332" s="41"/>
      <c r="BN332" s="41"/>
      <c r="BO332" s="37"/>
      <c r="BP332" s="38"/>
      <c r="BQ332" s="37"/>
      <c r="BR332" s="40"/>
      <c r="BS332" s="39"/>
      <c r="BT332" s="39"/>
      <c r="BU332" s="39"/>
      <c r="BV332" s="39"/>
      <c r="BW332" s="39"/>
      <c r="BX332" s="36"/>
      <c r="BY332" s="33"/>
      <c r="BZ332" s="33"/>
      <c r="CA332" s="33"/>
      <c r="CB332" s="34"/>
      <c r="CC332" s="33"/>
      <c r="CD332" s="35"/>
      <c r="CE332" s="48"/>
      <c r="CF332" s="48"/>
      <c r="CG332" s="48"/>
      <c r="CH332" s="48"/>
      <c r="CI332" s="48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36">
        <v>125280</v>
      </c>
      <c r="CW332" s="36">
        <f>CV332-Y332</f>
        <v>45280</v>
      </c>
      <c r="CX332" s="46">
        <f>CW332/CV332</f>
        <v>0.36143039591315451</v>
      </c>
      <c r="CY332" s="36">
        <f>AF332-CV332</f>
        <v>-3280</v>
      </c>
      <c r="CZ332" s="35" t="s">
        <v>119</v>
      </c>
      <c r="DA332" s="35"/>
      <c r="DB332" s="35"/>
      <c r="DC332" s="35"/>
      <c r="DD332" s="40"/>
      <c r="DE332" s="40"/>
      <c r="DF332" s="40"/>
      <c r="DG332" s="40"/>
      <c r="DH332" s="40"/>
      <c r="DI332" s="40"/>
      <c r="DJ332" s="40"/>
      <c r="DK332" s="40"/>
      <c r="DL332" s="35"/>
      <c r="DM332" s="35"/>
      <c r="DN332" s="35"/>
      <c r="DO332" s="35"/>
      <c r="DP332" s="35"/>
      <c r="DQ332" s="35"/>
      <c r="DR332" s="35"/>
      <c r="DS332" s="35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40"/>
      <c r="ES332" s="40"/>
      <c r="ET332" s="40"/>
      <c r="EU332" s="40"/>
      <c r="EV332" s="40"/>
      <c r="EW332" s="40"/>
      <c r="EX332" s="40"/>
      <c r="EY332" s="40"/>
      <c r="EZ332" s="35"/>
      <c r="FA332" s="35"/>
      <c r="FB332" s="35"/>
      <c r="FC332" s="35"/>
      <c r="FD332" s="35"/>
      <c r="FE332" s="35"/>
      <c r="FF332" s="35"/>
      <c r="FG332" s="35"/>
    </row>
    <row r="333" spans="1:163">
      <c r="A333" s="62">
        <v>222</v>
      </c>
      <c r="E333" s="63" t="s">
        <v>71</v>
      </c>
      <c r="F333" s="56" t="s">
        <v>95</v>
      </c>
      <c r="G333" s="65" t="s">
        <v>602</v>
      </c>
      <c r="H333" s="66" t="str">
        <f t="shared" si="146"/>
        <v xml:space="preserve"> 322</v>
      </c>
      <c r="I333" s="67" t="s">
        <v>602</v>
      </c>
      <c r="J333" s="68">
        <f t="shared" si="147"/>
        <v>0</v>
      </c>
      <c r="K333" s="63" t="s">
        <v>328</v>
      </c>
      <c r="L333" s="1" t="s">
        <v>46</v>
      </c>
      <c r="O333" s="64" t="s">
        <v>789</v>
      </c>
      <c r="P333" s="82">
        <v>0</v>
      </c>
      <c r="Q333" s="74">
        <f t="shared" si="161"/>
        <v>122000</v>
      </c>
      <c r="R333" s="71">
        <v>122000</v>
      </c>
      <c r="S333" s="72">
        <f t="shared" si="137"/>
        <v>8450</v>
      </c>
      <c r="T333" s="68" t="s">
        <v>791</v>
      </c>
      <c r="U333" s="73">
        <f t="shared" si="138"/>
        <v>113550</v>
      </c>
      <c r="V333" s="73">
        <f>2000+5500+200+250+500</f>
        <v>8450</v>
      </c>
      <c r="W333" s="2">
        <f t="shared" si="148"/>
        <v>122000</v>
      </c>
      <c r="Y333" s="80">
        <f t="shared" si="149"/>
        <v>122000</v>
      </c>
      <c r="Z333" s="93"/>
      <c r="AA333" s="93"/>
      <c r="AB333" s="94"/>
      <c r="AE333" s="2">
        <v>127000</v>
      </c>
      <c r="AF333" s="28">
        <f t="shared" si="143"/>
        <v>127000</v>
      </c>
      <c r="AG333" s="55" t="s">
        <v>125</v>
      </c>
      <c r="AI333" s="20" t="s">
        <v>45</v>
      </c>
      <c r="AJ333" s="2">
        <f t="shared" si="150"/>
        <v>5000</v>
      </c>
      <c r="AN333" s="29">
        <f t="shared" si="151"/>
        <v>3.937007874015748E-2</v>
      </c>
      <c r="AP333" s="3" t="s">
        <v>29</v>
      </c>
      <c r="AQ333" s="1" t="s">
        <v>190</v>
      </c>
      <c r="AR333" s="31">
        <f t="shared" si="152"/>
        <v>0</v>
      </c>
      <c r="AS333" s="31">
        <f t="shared" si="153"/>
        <v>0</v>
      </c>
      <c r="AT333" s="31">
        <f t="shared" ref="AT333:AT345" si="162">IF(BZ333&lt;&gt;"", AF333-BZ333, 0)</f>
        <v>0</v>
      </c>
      <c r="AU333" s="31">
        <f t="shared" si="154"/>
        <v>0</v>
      </c>
      <c r="AV333" s="31">
        <f t="shared" si="155"/>
        <v>0</v>
      </c>
      <c r="AW333" s="31">
        <f t="shared" si="156"/>
        <v>0</v>
      </c>
      <c r="AX333" s="31">
        <f t="shared" si="157"/>
        <v>0</v>
      </c>
      <c r="AY333" s="31">
        <f t="shared" si="158"/>
        <v>0</v>
      </c>
      <c r="AZ333" s="31">
        <f t="shared" si="159"/>
        <v>0</v>
      </c>
      <c r="BA333" s="31">
        <f t="shared" si="160"/>
        <v>0</v>
      </c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35"/>
      <c r="CW333" s="35"/>
      <c r="CX333" s="35"/>
      <c r="CY333" s="35"/>
      <c r="CZ333" s="35"/>
      <c r="DA333" s="35"/>
      <c r="DB333" s="35"/>
      <c r="DC333" s="35"/>
      <c r="DD333" s="40"/>
      <c r="DE333" s="40"/>
      <c r="DF333" s="40"/>
      <c r="DG333" s="40"/>
      <c r="DH333" s="40"/>
      <c r="DI333" s="40"/>
      <c r="DJ333" s="40"/>
      <c r="DK333" s="40"/>
      <c r="DL333" s="35"/>
      <c r="DM333" s="35"/>
      <c r="DN333" s="35"/>
      <c r="DO333" s="35"/>
      <c r="DP333" s="35"/>
      <c r="DQ333" s="35"/>
      <c r="DR333" s="35"/>
      <c r="DS333" s="35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40"/>
      <c r="ES333" s="40"/>
      <c r="ET333" s="40"/>
      <c r="EU333" s="40"/>
      <c r="EV333" s="40"/>
      <c r="EW333" s="40"/>
      <c r="EX333" s="40"/>
      <c r="EY333" s="40"/>
      <c r="EZ333" s="35"/>
      <c r="FA333" s="35"/>
      <c r="FB333" s="35"/>
      <c r="FC333" s="35"/>
      <c r="FD333" s="35"/>
      <c r="FE333" s="35"/>
      <c r="FF333" s="35"/>
      <c r="FG333" s="35"/>
    </row>
    <row r="334" spans="1:163">
      <c r="A334" s="62">
        <v>224</v>
      </c>
      <c r="E334" s="63" t="s">
        <v>71</v>
      </c>
      <c r="F334" s="56" t="s">
        <v>95</v>
      </c>
      <c r="G334" s="65" t="s">
        <v>604</v>
      </c>
      <c r="H334" s="66" t="str">
        <f t="shared" si="146"/>
        <v xml:space="preserve"> 640</v>
      </c>
      <c r="I334" s="67" t="s">
        <v>604</v>
      </c>
      <c r="J334" s="68">
        <f t="shared" si="147"/>
        <v>0</v>
      </c>
      <c r="K334" s="63" t="s">
        <v>328</v>
      </c>
      <c r="L334" s="1" t="s">
        <v>46</v>
      </c>
      <c r="O334" s="64" t="s">
        <v>789</v>
      </c>
      <c r="P334" s="82">
        <v>0</v>
      </c>
      <c r="Q334" s="74">
        <f t="shared" si="161"/>
        <v>122000</v>
      </c>
      <c r="R334" s="71">
        <v>122000</v>
      </c>
      <c r="S334" s="72">
        <f t="shared" si="137"/>
        <v>8450</v>
      </c>
      <c r="T334" s="68" t="s">
        <v>791</v>
      </c>
      <c r="U334" s="73">
        <f t="shared" si="138"/>
        <v>113550</v>
      </c>
      <c r="V334" s="73">
        <f>2000+5500+200+250+500</f>
        <v>8450</v>
      </c>
      <c r="W334" s="2">
        <f t="shared" si="148"/>
        <v>122000</v>
      </c>
      <c r="Y334" s="80">
        <f t="shared" si="149"/>
        <v>122000</v>
      </c>
      <c r="Z334" s="93"/>
      <c r="AA334" s="93"/>
      <c r="AB334" s="94"/>
      <c r="AC334" s="2">
        <v>3000</v>
      </c>
      <c r="AD334" s="2">
        <f>Z334+AC334</f>
        <v>3000</v>
      </c>
      <c r="AF334" s="28">
        <f t="shared" si="143"/>
        <v>0</v>
      </c>
      <c r="AG334" s="55" t="s">
        <v>125</v>
      </c>
      <c r="AI334" s="20" t="s">
        <v>45</v>
      </c>
      <c r="AJ334" s="2">
        <f t="shared" si="150"/>
        <v>-122000</v>
      </c>
      <c r="AN334" s="29" t="e">
        <f t="shared" si="151"/>
        <v>#DIV/0!</v>
      </c>
      <c r="AO334" s="29" t="e">
        <f>AN334-AB334</f>
        <v>#DIV/0!</v>
      </c>
      <c r="AP334" s="3" t="s">
        <v>29</v>
      </c>
      <c r="AQ334" s="1" t="s">
        <v>190</v>
      </c>
      <c r="AR334" s="31">
        <f t="shared" si="152"/>
        <v>0</v>
      </c>
      <c r="AS334" s="31">
        <f t="shared" si="153"/>
        <v>0</v>
      </c>
      <c r="AT334" s="31">
        <f t="shared" si="162"/>
        <v>0</v>
      </c>
      <c r="AU334" s="31">
        <f t="shared" si="154"/>
        <v>0</v>
      </c>
      <c r="AV334" s="31">
        <f t="shared" si="155"/>
        <v>0</v>
      </c>
      <c r="AW334" s="31">
        <f t="shared" si="156"/>
        <v>0</v>
      </c>
      <c r="AX334" s="31">
        <f t="shared" si="157"/>
        <v>0</v>
      </c>
      <c r="AY334" s="31">
        <f t="shared" si="158"/>
        <v>0</v>
      </c>
      <c r="AZ334" s="31">
        <f t="shared" si="159"/>
        <v>0</v>
      </c>
      <c r="BA334" s="31">
        <f t="shared" si="160"/>
        <v>0</v>
      </c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35"/>
      <c r="CW334" s="35"/>
      <c r="CX334" s="35"/>
      <c r="CY334" s="35"/>
      <c r="CZ334" s="35"/>
      <c r="DA334" s="35"/>
      <c r="DB334" s="35"/>
      <c r="DC334" s="35"/>
      <c r="DD334" s="40"/>
      <c r="DE334" s="40"/>
      <c r="DF334" s="40"/>
      <c r="DG334" s="40"/>
      <c r="DH334" s="40"/>
      <c r="DI334" s="40"/>
      <c r="DJ334" s="40"/>
      <c r="DK334" s="40"/>
      <c r="DL334" s="35"/>
      <c r="DM334" s="35"/>
      <c r="DN334" s="35"/>
      <c r="DO334" s="35"/>
      <c r="DP334" s="35"/>
      <c r="DQ334" s="35"/>
      <c r="DR334" s="35"/>
      <c r="DS334" s="35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40"/>
      <c r="ES334" s="40"/>
      <c r="ET334" s="40"/>
      <c r="EU334" s="40"/>
      <c r="EV334" s="40"/>
      <c r="EW334" s="40"/>
      <c r="EX334" s="40"/>
      <c r="EY334" s="40"/>
      <c r="EZ334" s="35"/>
      <c r="FA334" s="35"/>
      <c r="FB334" s="35"/>
      <c r="FC334" s="35"/>
      <c r="FD334" s="35"/>
      <c r="FE334" s="35"/>
      <c r="FF334" s="35"/>
      <c r="FG334" s="35"/>
    </row>
    <row r="335" spans="1:163">
      <c r="A335" s="62">
        <v>261</v>
      </c>
      <c r="E335" s="63" t="s">
        <v>218</v>
      </c>
      <c r="F335" s="56" t="s">
        <v>95</v>
      </c>
      <c r="G335" s="65" t="s">
        <v>635</v>
      </c>
      <c r="H335" s="66" t="str">
        <f t="shared" si="146"/>
        <v xml:space="preserve"> 848</v>
      </c>
      <c r="I335" s="67" t="s">
        <v>635</v>
      </c>
      <c r="J335" s="68">
        <f t="shared" si="147"/>
        <v>0</v>
      </c>
      <c r="K335" s="63" t="s">
        <v>328</v>
      </c>
      <c r="L335" s="1" t="s">
        <v>46</v>
      </c>
      <c r="O335" s="64" t="s">
        <v>789</v>
      </c>
      <c r="P335" s="82">
        <v>0</v>
      </c>
      <c r="Q335" s="74">
        <f t="shared" si="161"/>
        <v>122000</v>
      </c>
      <c r="R335" s="71">
        <v>122000</v>
      </c>
      <c r="S335" s="72">
        <f t="shared" si="137"/>
        <v>8450</v>
      </c>
      <c r="T335" s="68" t="s">
        <v>791</v>
      </c>
      <c r="U335" s="73">
        <f t="shared" si="138"/>
        <v>113550</v>
      </c>
      <c r="V335" s="73">
        <f>2000+5500+200+250+500</f>
        <v>8450</v>
      </c>
      <c r="W335" s="2">
        <f t="shared" si="148"/>
        <v>122000</v>
      </c>
      <c r="Y335" s="80">
        <f t="shared" si="149"/>
        <v>122000</v>
      </c>
      <c r="Z335" s="93"/>
      <c r="AA335" s="93"/>
      <c r="AB335" s="94"/>
      <c r="AE335" s="2">
        <v>115000</v>
      </c>
      <c r="AF335" s="28">
        <f t="shared" si="143"/>
        <v>115000</v>
      </c>
      <c r="AG335" s="55" t="s">
        <v>125</v>
      </c>
      <c r="AI335" s="20" t="s">
        <v>45</v>
      </c>
      <c r="AJ335" s="2">
        <f t="shared" si="150"/>
        <v>-7000</v>
      </c>
      <c r="AN335" s="29">
        <f t="shared" si="151"/>
        <v>-6.0869565217391307E-2</v>
      </c>
      <c r="AP335" s="3" t="s">
        <v>29</v>
      </c>
      <c r="AQ335" s="1" t="s">
        <v>190</v>
      </c>
      <c r="AR335" s="31">
        <f t="shared" si="152"/>
        <v>0</v>
      </c>
      <c r="AS335" s="31">
        <f t="shared" si="153"/>
        <v>0</v>
      </c>
      <c r="AT335" s="31">
        <f t="shared" si="162"/>
        <v>0</v>
      </c>
      <c r="AU335" s="31">
        <f t="shared" si="154"/>
        <v>0</v>
      </c>
      <c r="AV335" s="31">
        <f t="shared" si="155"/>
        <v>0</v>
      </c>
      <c r="AW335" s="31">
        <f t="shared" si="156"/>
        <v>0</v>
      </c>
      <c r="AX335" s="31">
        <f t="shared" si="157"/>
        <v>0</v>
      </c>
      <c r="AY335" s="31">
        <f t="shared" si="158"/>
        <v>0</v>
      </c>
      <c r="AZ335" s="31">
        <f t="shared" si="159"/>
        <v>0</v>
      </c>
      <c r="BA335" s="31">
        <f t="shared" si="160"/>
        <v>0</v>
      </c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35"/>
      <c r="CW335" s="35"/>
      <c r="CX335" s="35"/>
      <c r="CY335" s="35"/>
      <c r="CZ335" s="35"/>
      <c r="DA335" s="35"/>
      <c r="DB335" s="35"/>
      <c r="DC335" s="35"/>
      <c r="DD335" s="40"/>
      <c r="DE335" s="40"/>
      <c r="DF335" s="40"/>
      <c r="DG335" s="40"/>
      <c r="DH335" s="40"/>
      <c r="DI335" s="40"/>
      <c r="DJ335" s="40"/>
      <c r="DK335" s="40"/>
      <c r="DL335" s="35"/>
      <c r="DM335" s="35"/>
      <c r="DN335" s="35"/>
      <c r="DO335" s="35"/>
      <c r="DP335" s="35"/>
      <c r="DQ335" s="35"/>
      <c r="DR335" s="35"/>
      <c r="DS335" s="35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40"/>
      <c r="ES335" s="40"/>
      <c r="ET335" s="40"/>
      <c r="EU335" s="40"/>
      <c r="EV335" s="40"/>
      <c r="EW335" s="40"/>
      <c r="EX335" s="40"/>
      <c r="EY335" s="40"/>
      <c r="EZ335" s="35"/>
      <c r="FA335" s="35"/>
      <c r="FB335" s="35"/>
      <c r="FC335" s="35"/>
      <c r="FD335" s="35"/>
      <c r="FE335" s="35"/>
      <c r="FF335" s="35"/>
      <c r="FG335" s="35"/>
    </row>
    <row r="336" spans="1:163">
      <c r="A336" s="62">
        <v>265</v>
      </c>
      <c r="E336" s="63" t="s">
        <v>71</v>
      </c>
      <c r="F336" s="56" t="s">
        <v>95</v>
      </c>
      <c r="G336" s="65" t="s">
        <v>639</v>
      </c>
      <c r="H336" s="66" t="str">
        <f t="shared" si="146"/>
        <v xml:space="preserve"> 364</v>
      </c>
      <c r="I336" s="67" t="s">
        <v>639</v>
      </c>
      <c r="J336" s="68">
        <f t="shared" si="147"/>
        <v>0</v>
      </c>
      <c r="K336" s="63" t="s">
        <v>328</v>
      </c>
      <c r="L336" s="1" t="s">
        <v>46</v>
      </c>
      <c r="O336" s="64" t="s">
        <v>789</v>
      </c>
      <c r="P336" s="82">
        <v>0</v>
      </c>
      <c r="Q336" s="74">
        <f t="shared" si="161"/>
        <v>122000</v>
      </c>
      <c r="R336" s="71">
        <v>122000</v>
      </c>
      <c r="S336" s="72">
        <f t="shared" si="137"/>
        <v>8450</v>
      </c>
      <c r="T336" s="68" t="s">
        <v>791</v>
      </c>
      <c r="U336" s="73">
        <f t="shared" si="138"/>
        <v>113550</v>
      </c>
      <c r="V336" s="73">
        <f>2000+5500+200+250+500</f>
        <v>8450</v>
      </c>
      <c r="W336" s="2">
        <f t="shared" si="148"/>
        <v>122000</v>
      </c>
      <c r="Y336" s="80">
        <f t="shared" si="149"/>
        <v>122000</v>
      </c>
      <c r="Z336" s="93"/>
      <c r="AA336" s="93"/>
      <c r="AB336" s="94"/>
      <c r="AE336" s="2">
        <v>115000</v>
      </c>
      <c r="AF336" s="28">
        <f t="shared" si="143"/>
        <v>115000</v>
      </c>
      <c r="AG336" s="55" t="s">
        <v>125</v>
      </c>
      <c r="AI336" s="20" t="s">
        <v>45</v>
      </c>
      <c r="AJ336" s="2">
        <f t="shared" si="150"/>
        <v>-7000</v>
      </c>
      <c r="AN336" s="29">
        <f t="shared" si="151"/>
        <v>-6.0869565217391307E-2</v>
      </c>
      <c r="AP336" s="3" t="s">
        <v>29</v>
      </c>
      <c r="AQ336" s="1" t="s">
        <v>190</v>
      </c>
      <c r="AR336" s="31">
        <f t="shared" si="152"/>
        <v>0</v>
      </c>
      <c r="AS336" s="31">
        <f t="shared" si="153"/>
        <v>0</v>
      </c>
      <c r="AT336" s="31">
        <f t="shared" si="162"/>
        <v>0</v>
      </c>
      <c r="AU336" s="31">
        <f t="shared" si="154"/>
        <v>0</v>
      </c>
      <c r="AV336" s="31">
        <f t="shared" si="155"/>
        <v>0</v>
      </c>
      <c r="AW336" s="31">
        <f t="shared" si="156"/>
        <v>0</v>
      </c>
      <c r="AX336" s="31">
        <f t="shared" si="157"/>
        <v>0</v>
      </c>
      <c r="AY336" s="31">
        <f t="shared" si="158"/>
        <v>0</v>
      </c>
      <c r="AZ336" s="31">
        <f t="shared" si="159"/>
        <v>0</v>
      </c>
      <c r="BA336" s="31">
        <f t="shared" si="160"/>
        <v>0</v>
      </c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35"/>
      <c r="CW336" s="35"/>
      <c r="CX336" s="35"/>
      <c r="CY336" s="35"/>
      <c r="CZ336" s="35"/>
      <c r="DA336" s="35"/>
      <c r="DB336" s="35"/>
      <c r="DC336" s="35"/>
      <c r="DD336" s="40"/>
      <c r="DE336" s="40"/>
      <c r="DF336" s="40"/>
      <c r="DG336" s="40"/>
      <c r="DH336" s="40"/>
      <c r="DI336" s="40"/>
      <c r="DJ336" s="40"/>
      <c r="DK336" s="40"/>
      <c r="DL336" s="35"/>
      <c r="DM336" s="35"/>
      <c r="DN336" s="35"/>
      <c r="DO336" s="35"/>
      <c r="DP336" s="35"/>
      <c r="DQ336" s="35"/>
      <c r="DR336" s="35"/>
      <c r="DS336" s="35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40"/>
      <c r="ES336" s="40"/>
      <c r="ET336" s="40"/>
      <c r="EU336" s="40"/>
      <c r="EV336" s="40"/>
      <c r="EW336" s="40"/>
      <c r="EX336" s="40"/>
      <c r="EY336" s="40"/>
      <c r="EZ336" s="35"/>
      <c r="FA336" s="35"/>
      <c r="FB336" s="35"/>
      <c r="FC336" s="35"/>
      <c r="FD336" s="35"/>
      <c r="FE336" s="35"/>
      <c r="FF336" s="35"/>
      <c r="FG336" s="35"/>
    </row>
    <row r="337" spans="1:163">
      <c r="A337" s="62">
        <v>272</v>
      </c>
      <c r="E337" s="63" t="s">
        <v>71</v>
      </c>
      <c r="F337" s="56" t="s">
        <v>95</v>
      </c>
      <c r="G337" s="65" t="s">
        <v>646</v>
      </c>
      <c r="H337" s="66" t="str">
        <f t="shared" si="146"/>
        <v xml:space="preserve"> 874</v>
      </c>
      <c r="I337" s="67" t="s">
        <v>646</v>
      </c>
      <c r="J337" s="68">
        <f t="shared" si="147"/>
        <v>0</v>
      </c>
      <c r="K337" s="63" t="s">
        <v>328</v>
      </c>
      <c r="L337" s="1" t="s">
        <v>46</v>
      </c>
      <c r="O337" s="64" t="s">
        <v>789</v>
      </c>
      <c r="P337" s="82">
        <v>0</v>
      </c>
      <c r="Q337" s="74">
        <f t="shared" si="161"/>
        <v>122000</v>
      </c>
      <c r="R337" s="71">
        <v>122000</v>
      </c>
      <c r="S337" s="72">
        <f t="shared" si="137"/>
        <v>8450</v>
      </c>
      <c r="T337" s="68" t="s">
        <v>791</v>
      </c>
      <c r="U337" s="73">
        <f t="shared" si="138"/>
        <v>113550</v>
      </c>
      <c r="V337" s="73">
        <f>2000+5500+200+250+500</f>
        <v>8450</v>
      </c>
      <c r="W337" s="2">
        <f t="shared" si="148"/>
        <v>122000</v>
      </c>
      <c r="Y337" s="80">
        <f t="shared" si="149"/>
        <v>122000</v>
      </c>
      <c r="Z337" s="93"/>
      <c r="AA337" s="93"/>
      <c r="AB337" s="94"/>
      <c r="AC337" s="2">
        <v>3000</v>
      </c>
      <c r="AD337" s="2">
        <f>Z337+AC337</f>
        <v>3000</v>
      </c>
      <c r="AF337" s="28">
        <f t="shared" si="143"/>
        <v>0</v>
      </c>
      <c r="AG337" s="55" t="s">
        <v>125</v>
      </c>
      <c r="AI337" s="20" t="s">
        <v>45</v>
      </c>
      <c r="AJ337" s="2">
        <f t="shared" si="150"/>
        <v>-122000</v>
      </c>
      <c r="AN337" s="29" t="e">
        <f t="shared" si="151"/>
        <v>#DIV/0!</v>
      </c>
      <c r="AO337" s="29" t="e">
        <f>AN337-AB337</f>
        <v>#DIV/0!</v>
      </c>
      <c r="AP337" s="3" t="s">
        <v>29</v>
      </c>
      <c r="AQ337" s="1" t="s">
        <v>190</v>
      </c>
      <c r="AR337" s="31">
        <f t="shared" si="152"/>
        <v>0</v>
      </c>
      <c r="AS337" s="31">
        <f t="shared" si="153"/>
        <v>0</v>
      </c>
      <c r="AT337" s="31">
        <f t="shared" si="162"/>
        <v>0</v>
      </c>
      <c r="AU337" s="31">
        <f t="shared" si="154"/>
        <v>0</v>
      </c>
      <c r="AV337" s="31">
        <f t="shared" si="155"/>
        <v>0</v>
      </c>
      <c r="AW337" s="31">
        <f t="shared" si="156"/>
        <v>0</v>
      </c>
      <c r="AX337" s="31">
        <f t="shared" si="157"/>
        <v>0</v>
      </c>
      <c r="AY337" s="31">
        <f t="shared" si="158"/>
        <v>0</v>
      </c>
      <c r="AZ337" s="31">
        <f t="shared" si="159"/>
        <v>0</v>
      </c>
      <c r="BA337" s="31">
        <f t="shared" si="160"/>
        <v>0</v>
      </c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35"/>
      <c r="CW337" s="35"/>
      <c r="CX337" s="35"/>
      <c r="CY337" s="35"/>
      <c r="CZ337" s="35"/>
      <c r="DA337" s="35"/>
      <c r="DB337" s="35"/>
      <c r="DC337" s="35"/>
      <c r="DD337" s="40"/>
      <c r="DE337" s="40"/>
      <c r="DF337" s="40"/>
      <c r="DG337" s="40"/>
      <c r="DH337" s="40"/>
      <c r="DI337" s="40"/>
      <c r="DJ337" s="40"/>
      <c r="DK337" s="40"/>
      <c r="DL337" s="35"/>
      <c r="DM337" s="35"/>
      <c r="DN337" s="35"/>
      <c r="DO337" s="35"/>
      <c r="DP337" s="35"/>
      <c r="DQ337" s="35"/>
      <c r="DR337" s="35"/>
      <c r="DS337" s="35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40"/>
      <c r="ES337" s="40"/>
      <c r="ET337" s="40"/>
      <c r="EU337" s="40"/>
      <c r="EV337" s="40"/>
      <c r="EW337" s="40"/>
      <c r="EX337" s="40"/>
      <c r="EY337" s="40"/>
      <c r="EZ337" s="35"/>
      <c r="FA337" s="35"/>
      <c r="FB337" s="35"/>
      <c r="FC337" s="35"/>
      <c r="FD337" s="35"/>
      <c r="FE337" s="35"/>
      <c r="FF337" s="35"/>
      <c r="FG337" s="35"/>
    </row>
    <row r="338" spans="1:163">
      <c r="A338" s="62">
        <v>296</v>
      </c>
      <c r="E338" s="63" t="s">
        <v>214</v>
      </c>
      <c r="F338" s="56" t="s">
        <v>95</v>
      </c>
      <c r="G338" s="65" t="s">
        <v>670</v>
      </c>
      <c r="H338" s="66" t="str">
        <f t="shared" si="146"/>
        <v xml:space="preserve"> 484</v>
      </c>
      <c r="I338" s="67" t="s">
        <v>670</v>
      </c>
      <c r="J338" s="68">
        <f t="shared" si="147"/>
        <v>0</v>
      </c>
      <c r="K338" s="63" t="s">
        <v>328</v>
      </c>
      <c r="L338" s="1" t="s">
        <v>46</v>
      </c>
      <c r="O338" s="64" t="s">
        <v>789</v>
      </c>
      <c r="P338" s="82">
        <v>0</v>
      </c>
      <c r="Q338" s="74">
        <f t="shared" si="161"/>
        <v>92000</v>
      </c>
      <c r="R338" s="71">
        <v>92000</v>
      </c>
      <c r="S338" s="72">
        <f t="shared" si="137"/>
        <v>8950</v>
      </c>
      <c r="T338" s="68" t="s">
        <v>791</v>
      </c>
      <c r="U338" s="73">
        <f t="shared" si="138"/>
        <v>83050</v>
      </c>
      <c r="V338" s="73">
        <f>2000+5500+200+250+1000</f>
        <v>8950</v>
      </c>
      <c r="W338" s="2">
        <f t="shared" si="148"/>
        <v>92000</v>
      </c>
      <c r="Y338" s="80">
        <f t="shared" si="149"/>
        <v>92000</v>
      </c>
      <c r="Z338" s="93"/>
      <c r="AA338" s="93"/>
      <c r="AB338" s="94"/>
      <c r="AE338" s="2">
        <v>124000</v>
      </c>
      <c r="AF338" s="28">
        <f t="shared" si="143"/>
        <v>124000</v>
      </c>
      <c r="AG338" s="55" t="s">
        <v>125</v>
      </c>
      <c r="AI338" s="20" t="s">
        <v>45</v>
      </c>
      <c r="AJ338" s="2">
        <f t="shared" si="150"/>
        <v>32000</v>
      </c>
      <c r="AN338" s="29">
        <f t="shared" si="151"/>
        <v>0.25806451612903225</v>
      </c>
      <c r="AP338" s="3" t="s">
        <v>29</v>
      </c>
      <c r="AQ338" s="1" t="s">
        <v>190</v>
      </c>
      <c r="AR338" s="31">
        <f t="shared" si="152"/>
        <v>0</v>
      </c>
      <c r="AS338" s="31">
        <f t="shared" si="153"/>
        <v>0</v>
      </c>
      <c r="AT338" s="31">
        <f t="shared" si="162"/>
        <v>0</v>
      </c>
      <c r="AU338" s="31">
        <f t="shared" si="154"/>
        <v>0</v>
      </c>
      <c r="AV338" s="31">
        <f t="shared" si="155"/>
        <v>0</v>
      </c>
      <c r="AW338" s="31">
        <f t="shared" si="156"/>
        <v>0</v>
      </c>
      <c r="AX338" s="31">
        <f t="shared" si="157"/>
        <v>0</v>
      </c>
      <c r="AY338" s="31">
        <f t="shared" si="158"/>
        <v>0</v>
      </c>
      <c r="AZ338" s="31">
        <f t="shared" si="159"/>
        <v>0</v>
      </c>
      <c r="BA338" s="31">
        <f t="shared" si="160"/>
        <v>0</v>
      </c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35"/>
      <c r="CW338" s="35"/>
      <c r="CX338" s="35"/>
      <c r="CY338" s="35"/>
      <c r="CZ338" s="35"/>
      <c r="DA338" s="35"/>
      <c r="DB338" s="35"/>
      <c r="DC338" s="35"/>
      <c r="DD338" s="40"/>
      <c r="DE338" s="40"/>
      <c r="DF338" s="40"/>
      <c r="DG338" s="40"/>
      <c r="DH338" s="40"/>
      <c r="DI338" s="40"/>
      <c r="DJ338" s="40"/>
      <c r="DK338" s="40"/>
      <c r="DL338" s="35"/>
      <c r="DM338" s="35"/>
      <c r="DN338" s="35"/>
      <c r="DO338" s="35"/>
      <c r="DP338" s="35"/>
      <c r="DQ338" s="35"/>
      <c r="DR338" s="35"/>
      <c r="DS338" s="35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40"/>
      <c r="ES338" s="40"/>
      <c r="ET338" s="40"/>
      <c r="EU338" s="40"/>
      <c r="EV338" s="40"/>
      <c r="EW338" s="40"/>
      <c r="EX338" s="40"/>
      <c r="EY338" s="40"/>
      <c r="EZ338" s="35"/>
      <c r="FA338" s="35"/>
      <c r="FB338" s="35"/>
      <c r="FC338" s="35"/>
      <c r="FD338" s="35"/>
      <c r="FE338" s="35"/>
      <c r="FF338" s="35"/>
      <c r="FG338" s="35"/>
    </row>
    <row r="339" spans="1:163">
      <c r="A339" s="62">
        <v>270</v>
      </c>
      <c r="E339" s="63" t="s">
        <v>218</v>
      </c>
      <c r="F339" s="56" t="s">
        <v>95</v>
      </c>
      <c r="G339" s="65" t="s">
        <v>644</v>
      </c>
      <c r="H339" s="66" t="str">
        <f t="shared" si="146"/>
        <v xml:space="preserve"> 705</v>
      </c>
      <c r="I339" s="67" t="s">
        <v>644</v>
      </c>
      <c r="J339" s="68">
        <f t="shared" si="147"/>
        <v>0</v>
      </c>
      <c r="K339" s="63" t="s">
        <v>335</v>
      </c>
      <c r="L339" s="1" t="s">
        <v>46</v>
      </c>
      <c r="O339" s="64" t="s">
        <v>789</v>
      </c>
      <c r="P339" s="82">
        <v>0</v>
      </c>
      <c r="Q339" s="74">
        <f t="shared" si="161"/>
        <v>84000</v>
      </c>
      <c r="R339" s="71">
        <v>84000</v>
      </c>
      <c r="S339" s="72">
        <f t="shared" si="137"/>
        <v>9050</v>
      </c>
      <c r="T339" s="68" t="s">
        <v>791</v>
      </c>
      <c r="U339" s="73">
        <f t="shared" si="138"/>
        <v>74950</v>
      </c>
      <c r="V339" s="75">
        <f>2000+5500+600+200+250+500</f>
        <v>9050</v>
      </c>
      <c r="W339" s="2">
        <f t="shared" si="148"/>
        <v>84000</v>
      </c>
      <c r="Y339" s="80">
        <f t="shared" si="149"/>
        <v>84000</v>
      </c>
      <c r="Z339" s="93"/>
      <c r="AA339" s="93"/>
      <c r="AB339" s="94"/>
      <c r="AE339" s="2">
        <v>160000</v>
      </c>
      <c r="AF339" s="28">
        <f t="shared" si="143"/>
        <v>160000</v>
      </c>
      <c r="AG339" s="55" t="s">
        <v>125</v>
      </c>
      <c r="AI339" s="20" t="s">
        <v>45</v>
      </c>
      <c r="AJ339" s="2">
        <f t="shared" si="150"/>
        <v>76000</v>
      </c>
      <c r="AN339" s="29">
        <f t="shared" si="151"/>
        <v>0.47499999999999998</v>
      </c>
      <c r="AP339" s="3" t="s">
        <v>29</v>
      </c>
      <c r="AQ339" s="1" t="s">
        <v>190</v>
      </c>
      <c r="AR339" s="31">
        <f t="shared" si="152"/>
        <v>0</v>
      </c>
      <c r="AS339" s="31">
        <f t="shared" si="153"/>
        <v>0</v>
      </c>
      <c r="AT339" s="31">
        <f t="shared" si="162"/>
        <v>0</v>
      </c>
      <c r="AU339" s="31">
        <f t="shared" si="154"/>
        <v>0</v>
      </c>
      <c r="AV339" s="31">
        <f t="shared" si="155"/>
        <v>0</v>
      </c>
      <c r="AW339" s="31">
        <f t="shared" si="156"/>
        <v>0</v>
      </c>
      <c r="AX339" s="31">
        <f t="shared" si="157"/>
        <v>0</v>
      </c>
      <c r="AY339" s="31">
        <f t="shared" si="158"/>
        <v>0</v>
      </c>
      <c r="AZ339" s="31">
        <f t="shared" si="159"/>
        <v>0</v>
      </c>
      <c r="BA339" s="31">
        <f t="shared" si="160"/>
        <v>0</v>
      </c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35"/>
      <c r="CW339" s="35"/>
      <c r="CX339" s="35"/>
      <c r="CY339" s="35"/>
      <c r="CZ339" s="35"/>
      <c r="DA339" s="35"/>
      <c r="DB339" s="35"/>
      <c r="DC339" s="35"/>
      <c r="DD339" s="40"/>
      <c r="DE339" s="40"/>
      <c r="DF339" s="40"/>
      <c r="DG339" s="40"/>
      <c r="DH339" s="40"/>
      <c r="DI339" s="40"/>
      <c r="DJ339" s="40"/>
      <c r="DK339" s="40"/>
      <c r="DL339" s="35"/>
      <c r="DM339" s="35"/>
      <c r="DN339" s="35"/>
      <c r="DO339" s="35"/>
      <c r="DP339" s="35"/>
      <c r="DQ339" s="35"/>
      <c r="DR339" s="35"/>
      <c r="DS339" s="35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40"/>
      <c r="ES339" s="40"/>
      <c r="ET339" s="40"/>
      <c r="EU339" s="40"/>
      <c r="EV339" s="40"/>
      <c r="EW339" s="40"/>
      <c r="EX339" s="40"/>
      <c r="EY339" s="40"/>
      <c r="EZ339" s="35"/>
      <c r="FA339" s="35"/>
      <c r="FB339" s="35"/>
      <c r="FC339" s="35"/>
      <c r="FD339" s="35"/>
      <c r="FE339" s="35"/>
      <c r="FF339" s="35"/>
      <c r="FG339" s="35"/>
    </row>
    <row r="340" spans="1:163">
      <c r="A340" s="62">
        <v>281</v>
      </c>
      <c r="E340" s="63" t="s">
        <v>76</v>
      </c>
      <c r="F340" s="56" t="s">
        <v>95</v>
      </c>
      <c r="G340" s="65" t="s">
        <v>656</v>
      </c>
      <c r="H340" s="66" t="str">
        <f t="shared" si="146"/>
        <v xml:space="preserve"> 788</v>
      </c>
      <c r="I340" s="67" t="s">
        <v>656</v>
      </c>
      <c r="J340" s="68">
        <f t="shared" si="147"/>
        <v>0</v>
      </c>
      <c r="K340" s="63" t="s">
        <v>335</v>
      </c>
      <c r="L340" s="1" t="s">
        <v>46</v>
      </c>
      <c r="O340" s="64" t="s">
        <v>789</v>
      </c>
      <c r="P340" s="82">
        <v>0</v>
      </c>
      <c r="Q340" s="74">
        <f t="shared" si="161"/>
        <v>84000</v>
      </c>
      <c r="R340" s="71">
        <v>84000</v>
      </c>
      <c r="S340" s="72">
        <f t="shared" si="137"/>
        <v>9550</v>
      </c>
      <c r="T340" s="68" t="s">
        <v>791</v>
      </c>
      <c r="U340" s="73">
        <f t="shared" si="138"/>
        <v>74450</v>
      </c>
      <c r="V340" s="75">
        <f>2000+5500+600+200+250+1000</f>
        <v>9550</v>
      </c>
      <c r="W340" s="2">
        <f t="shared" si="148"/>
        <v>84000</v>
      </c>
      <c r="Y340" s="80">
        <f t="shared" si="149"/>
        <v>84000</v>
      </c>
      <c r="Z340" s="93"/>
      <c r="AA340" s="93"/>
      <c r="AB340" s="94"/>
      <c r="AE340" s="2">
        <v>115000</v>
      </c>
      <c r="AF340" s="28">
        <f t="shared" si="143"/>
        <v>115000</v>
      </c>
      <c r="AG340" s="55" t="s">
        <v>125</v>
      </c>
      <c r="AI340" s="20" t="s">
        <v>45</v>
      </c>
      <c r="AJ340" s="2">
        <f t="shared" si="150"/>
        <v>31000</v>
      </c>
      <c r="AN340" s="29">
        <f t="shared" si="151"/>
        <v>0.26956521739130435</v>
      </c>
      <c r="AP340" s="3" t="s">
        <v>29</v>
      </c>
      <c r="AQ340" s="1" t="s">
        <v>190</v>
      </c>
      <c r="AR340" s="31">
        <f t="shared" si="152"/>
        <v>0</v>
      </c>
      <c r="AS340" s="31">
        <f t="shared" si="153"/>
        <v>0</v>
      </c>
      <c r="AT340" s="31">
        <f t="shared" si="162"/>
        <v>0</v>
      </c>
      <c r="AU340" s="31">
        <f t="shared" si="154"/>
        <v>0</v>
      </c>
      <c r="AV340" s="31">
        <f t="shared" si="155"/>
        <v>0</v>
      </c>
      <c r="AW340" s="31">
        <f t="shared" si="156"/>
        <v>0</v>
      </c>
      <c r="AX340" s="31">
        <f t="shared" si="157"/>
        <v>0</v>
      </c>
      <c r="AY340" s="31">
        <f t="shared" si="158"/>
        <v>0</v>
      </c>
      <c r="AZ340" s="31">
        <f t="shared" si="159"/>
        <v>0</v>
      </c>
      <c r="BA340" s="31">
        <f t="shared" si="160"/>
        <v>0</v>
      </c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35"/>
      <c r="CW340" s="35"/>
      <c r="CX340" s="35"/>
      <c r="CY340" s="35"/>
      <c r="CZ340" s="35"/>
      <c r="DA340" s="35"/>
      <c r="DB340" s="35"/>
      <c r="DC340" s="35"/>
      <c r="DD340" s="40"/>
      <c r="DE340" s="40"/>
      <c r="DF340" s="40"/>
      <c r="DG340" s="40"/>
      <c r="DH340" s="40"/>
      <c r="DI340" s="40"/>
      <c r="DJ340" s="40"/>
      <c r="DK340" s="40"/>
      <c r="DL340" s="35"/>
      <c r="DM340" s="35"/>
      <c r="DN340" s="35"/>
      <c r="DO340" s="35"/>
      <c r="DP340" s="35"/>
      <c r="DQ340" s="35"/>
      <c r="DR340" s="35"/>
      <c r="DS340" s="35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40"/>
      <c r="ES340" s="40"/>
      <c r="ET340" s="40"/>
      <c r="EU340" s="40"/>
      <c r="EV340" s="40"/>
      <c r="EW340" s="40"/>
      <c r="EX340" s="40"/>
      <c r="EY340" s="40"/>
      <c r="EZ340" s="35"/>
      <c r="FA340" s="35"/>
      <c r="FB340" s="35"/>
      <c r="FC340" s="35"/>
      <c r="FD340" s="35"/>
      <c r="FE340" s="35"/>
      <c r="FF340" s="35"/>
      <c r="FG340" s="35"/>
    </row>
    <row r="341" spans="1:163">
      <c r="A341" s="62">
        <v>346</v>
      </c>
      <c r="E341" s="63" t="s">
        <v>226</v>
      </c>
      <c r="F341" s="56" t="s">
        <v>77</v>
      </c>
      <c r="G341" s="65" t="s">
        <v>716</v>
      </c>
      <c r="H341" s="66" t="str">
        <f t="shared" si="146"/>
        <v xml:space="preserve"> 279</v>
      </c>
      <c r="I341" s="67" t="s">
        <v>716</v>
      </c>
      <c r="J341" s="68">
        <f t="shared" si="147"/>
        <v>0</v>
      </c>
      <c r="K341" s="63" t="s">
        <v>335</v>
      </c>
      <c r="L341" s="1" t="s">
        <v>46</v>
      </c>
      <c r="O341" s="64" t="s">
        <v>789</v>
      </c>
      <c r="P341" s="82">
        <v>0</v>
      </c>
      <c r="Q341" s="74">
        <f t="shared" si="161"/>
        <v>72000</v>
      </c>
      <c r="R341" s="71">
        <v>72000</v>
      </c>
      <c r="S341" s="72">
        <f t="shared" si="137"/>
        <v>8650</v>
      </c>
      <c r="T341" s="68" t="s">
        <v>791</v>
      </c>
      <c r="U341" s="73">
        <f t="shared" si="138"/>
        <v>63350</v>
      </c>
      <c r="V341" s="75">
        <f>2000+5100+600+200+250+500</f>
        <v>8650</v>
      </c>
      <c r="W341" s="2">
        <f t="shared" si="148"/>
        <v>72000</v>
      </c>
      <c r="Y341" s="80">
        <f t="shared" si="149"/>
        <v>72000</v>
      </c>
      <c r="Z341" s="93"/>
      <c r="AA341" s="93"/>
      <c r="AB341" s="94"/>
      <c r="AC341" s="2">
        <v>4000</v>
      </c>
      <c r="AD341" s="2">
        <f>Z341+AC341</f>
        <v>4000</v>
      </c>
      <c r="AF341" s="28">
        <f t="shared" si="143"/>
        <v>0</v>
      </c>
      <c r="AG341" s="55" t="s">
        <v>125</v>
      </c>
      <c r="AI341" s="20" t="s">
        <v>45</v>
      </c>
      <c r="AJ341" s="2">
        <f t="shared" si="150"/>
        <v>-72000</v>
      </c>
      <c r="AN341" s="29" t="e">
        <f t="shared" si="151"/>
        <v>#DIV/0!</v>
      </c>
      <c r="AO341" s="29" t="e">
        <f>AN341-AB341</f>
        <v>#DIV/0!</v>
      </c>
      <c r="AP341" s="3" t="s">
        <v>29</v>
      </c>
      <c r="AQ341" s="1" t="s">
        <v>176</v>
      </c>
      <c r="AR341" s="31">
        <f t="shared" si="152"/>
        <v>0</v>
      </c>
      <c r="AS341" s="31">
        <f t="shared" si="153"/>
        <v>0</v>
      </c>
      <c r="AT341" s="31">
        <f t="shared" si="162"/>
        <v>0</v>
      </c>
      <c r="AU341" s="31">
        <f t="shared" si="154"/>
        <v>0</v>
      </c>
      <c r="AV341" s="31">
        <f t="shared" si="155"/>
        <v>0</v>
      </c>
      <c r="AW341" s="31">
        <f t="shared" si="156"/>
        <v>0</v>
      </c>
      <c r="AX341" s="31">
        <f t="shared" si="157"/>
        <v>0</v>
      </c>
      <c r="AY341" s="31">
        <f t="shared" si="158"/>
        <v>0</v>
      </c>
      <c r="AZ341" s="31">
        <f t="shared" si="159"/>
        <v>0</v>
      </c>
      <c r="BA341" s="31">
        <f t="shared" si="160"/>
        <v>0</v>
      </c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35"/>
      <c r="CW341" s="35"/>
      <c r="CX341" s="35"/>
      <c r="CY341" s="35"/>
      <c r="CZ341" s="35"/>
      <c r="DA341" s="35"/>
      <c r="DB341" s="35"/>
      <c r="DC341" s="35"/>
      <c r="DD341" s="40"/>
      <c r="DE341" s="40"/>
      <c r="DF341" s="40"/>
      <c r="DG341" s="40"/>
      <c r="DH341" s="40"/>
      <c r="DI341" s="40"/>
      <c r="DJ341" s="40"/>
      <c r="DK341" s="40"/>
      <c r="DL341" s="35"/>
      <c r="DM341" s="35"/>
      <c r="DN341" s="35"/>
      <c r="DO341" s="35"/>
      <c r="DP341" s="35"/>
      <c r="DQ341" s="35"/>
      <c r="DR341" s="35"/>
      <c r="DS341" s="35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40"/>
      <c r="ES341" s="40"/>
      <c r="ET341" s="40"/>
      <c r="EU341" s="40"/>
      <c r="EV341" s="40"/>
      <c r="EW341" s="40"/>
      <c r="EX341" s="40"/>
      <c r="EY341" s="40"/>
      <c r="EZ341" s="35"/>
      <c r="FA341" s="35"/>
      <c r="FB341" s="35"/>
      <c r="FC341" s="35"/>
      <c r="FD341" s="35"/>
      <c r="FE341" s="35"/>
      <c r="FF341" s="35"/>
      <c r="FG341" s="35"/>
    </row>
    <row r="342" spans="1:163">
      <c r="A342" s="62">
        <v>238</v>
      </c>
      <c r="E342" s="63" t="s">
        <v>71</v>
      </c>
      <c r="F342" s="56" t="s">
        <v>92</v>
      </c>
      <c r="G342" s="65" t="s">
        <v>614</v>
      </c>
      <c r="H342" s="66" t="str">
        <f t="shared" si="146"/>
        <v xml:space="preserve"> 210</v>
      </c>
      <c r="I342" s="67" t="s">
        <v>614</v>
      </c>
      <c r="J342" s="68">
        <f t="shared" si="147"/>
        <v>0</v>
      </c>
      <c r="K342" s="63" t="s">
        <v>335</v>
      </c>
      <c r="L342" s="1" t="s">
        <v>46</v>
      </c>
      <c r="O342" s="88" t="s">
        <v>790</v>
      </c>
      <c r="P342" s="89">
        <v>0</v>
      </c>
      <c r="Q342" s="90">
        <f t="shared" si="161"/>
        <v>90000</v>
      </c>
      <c r="R342" s="71">
        <v>90000</v>
      </c>
      <c r="S342" s="72">
        <f t="shared" si="137"/>
        <v>8550</v>
      </c>
      <c r="T342" s="68" t="s">
        <v>791</v>
      </c>
      <c r="U342" s="73">
        <f t="shared" si="138"/>
        <v>81450</v>
      </c>
      <c r="V342" s="73">
        <f>2000+5500+600+200+250</f>
        <v>8550</v>
      </c>
      <c r="W342" s="2">
        <f t="shared" si="148"/>
        <v>90000</v>
      </c>
      <c r="Y342" s="81">
        <f t="shared" si="149"/>
        <v>90000</v>
      </c>
      <c r="Z342" s="96">
        <v>0</v>
      </c>
      <c r="AA342" s="97">
        <f>U342-Z342</f>
        <v>81450</v>
      </c>
      <c r="AB342" s="98" t="e">
        <f>AA342/Z342</f>
        <v>#DIV/0!</v>
      </c>
      <c r="AE342" s="2">
        <v>130000</v>
      </c>
      <c r="AF342" s="28">
        <f t="shared" si="143"/>
        <v>0</v>
      </c>
      <c r="AG342" s="55" t="s">
        <v>125</v>
      </c>
      <c r="AI342" s="20" t="s">
        <v>45</v>
      </c>
      <c r="AJ342" s="2">
        <f t="shared" si="150"/>
        <v>-90000</v>
      </c>
      <c r="AN342" s="29" t="e">
        <f t="shared" si="151"/>
        <v>#DIV/0!</v>
      </c>
      <c r="AP342" s="3" t="s">
        <v>29</v>
      </c>
      <c r="AQ342" s="1" t="s">
        <v>190</v>
      </c>
      <c r="AR342" s="31">
        <f t="shared" si="152"/>
        <v>0</v>
      </c>
      <c r="AS342" s="31">
        <f t="shared" si="153"/>
        <v>0</v>
      </c>
      <c r="AT342" s="31">
        <f t="shared" si="162"/>
        <v>0</v>
      </c>
      <c r="AU342" s="31">
        <f t="shared" si="154"/>
        <v>0</v>
      </c>
      <c r="AV342" s="31">
        <f t="shared" si="155"/>
        <v>0</v>
      </c>
      <c r="AW342" s="31">
        <f t="shared" si="156"/>
        <v>0</v>
      </c>
      <c r="AX342" s="31">
        <f t="shared" si="157"/>
        <v>0</v>
      </c>
      <c r="AY342" s="31">
        <f t="shared" si="158"/>
        <v>0</v>
      </c>
      <c r="AZ342" s="31">
        <f t="shared" si="159"/>
        <v>0</v>
      </c>
      <c r="BA342" s="31">
        <f t="shared" si="160"/>
        <v>0</v>
      </c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35"/>
      <c r="CW342" s="35"/>
      <c r="CX342" s="35"/>
      <c r="CY342" s="35"/>
      <c r="CZ342" s="35"/>
      <c r="DA342" s="35"/>
      <c r="DB342" s="35"/>
      <c r="DC342" s="35"/>
      <c r="DD342" s="40"/>
      <c r="DE342" s="40"/>
      <c r="DF342" s="40"/>
      <c r="DG342" s="40"/>
      <c r="DH342" s="40"/>
      <c r="DI342" s="40"/>
      <c r="DJ342" s="40"/>
      <c r="DK342" s="40"/>
      <c r="DL342" s="35"/>
      <c r="DM342" s="35"/>
      <c r="DN342" s="35"/>
      <c r="DO342" s="35"/>
      <c r="DP342" s="35"/>
      <c r="DQ342" s="35"/>
      <c r="DR342" s="35"/>
      <c r="DS342" s="35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40"/>
      <c r="ES342" s="40"/>
      <c r="ET342" s="40"/>
      <c r="EU342" s="40"/>
      <c r="EV342" s="40"/>
      <c r="EW342" s="40"/>
      <c r="EX342" s="40"/>
      <c r="EY342" s="40"/>
      <c r="EZ342" s="35"/>
      <c r="FA342" s="35"/>
      <c r="FB342" s="35"/>
      <c r="FC342" s="35"/>
      <c r="FD342" s="35"/>
      <c r="FE342" s="35"/>
      <c r="FF342" s="35"/>
      <c r="FG342" s="35"/>
    </row>
    <row r="343" spans="1:163">
      <c r="A343" s="62">
        <v>269</v>
      </c>
      <c r="E343" s="63" t="s">
        <v>218</v>
      </c>
      <c r="F343" s="56" t="s">
        <v>95</v>
      </c>
      <c r="G343" s="65" t="s">
        <v>643</v>
      </c>
      <c r="H343" s="66" t="str">
        <f t="shared" si="146"/>
        <v xml:space="preserve"> 453</v>
      </c>
      <c r="I343" s="67" t="s">
        <v>643</v>
      </c>
      <c r="J343" s="68">
        <f t="shared" si="147"/>
        <v>0</v>
      </c>
      <c r="K343" s="63" t="s">
        <v>335</v>
      </c>
      <c r="L343" s="1" t="s">
        <v>46</v>
      </c>
      <c r="O343" s="88" t="s">
        <v>790</v>
      </c>
      <c r="P343" s="89">
        <v>0</v>
      </c>
      <c r="Q343" s="90">
        <f t="shared" si="161"/>
        <v>87000</v>
      </c>
      <c r="R343" s="71">
        <v>87000</v>
      </c>
      <c r="S343" s="72">
        <f t="shared" ref="S343:S406" si="163">R343-U343</f>
        <v>9550</v>
      </c>
      <c r="T343" s="68" t="s">
        <v>791</v>
      </c>
      <c r="U343" s="73">
        <f t="shared" ref="U343:U406" si="164">R343-V343</f>
        <v>77450</v>
      </c>
      <c r="V343" s="73">
        <f>2000+5500+600+200+250+1000</f>
        <v>9550</v>
      </c>
      <c r="W343" s="2">
        <f t="shared" si="148"/>
        <v>87000</v>
      </c>
      <c r="Y343" s="81">
        <f t="shared" si="149"/>
        <v>87000</v>
      </c>
      <c r="Z343" s="96">
        <v>0</v>
      </c>
      <c r="AA343" s="97">
        <f>U343-Z343</f>
        <v>77450</v>
      </c>
      <c r="AB343" s="98" t="e">
        <f>AA343/Z343</f>
        <v>#DIV/0!</v>
      </c>
      <c r="AE343" s="2">
        <v>125000</v>
      </c>
      <c r="AF343" s="28">
        <f t="shared" si="143"/>
        <v>0</v>
      </c>
      <c r="AG343" s="55" t="s">
        <v>125</v>
      </c>
      <c r="AI343" s="20" t="s">
        <v>45</v>
      </c>
      <c r="AJ343" s="2">
        <f t="shared" si="150"/>
        <v>-87000</v>
      </c>
      <c r="AN343" s="29" t="e">
        <f t="shared" si="151"/>
        <v>#DIV/0!</v>
      </c>
      <c r="AP343" s="3" t="s">
        <v>29</v>
      </c>
      <c r="AQ343" s="1" t="s">
        <v>190</v>
      </c>
      <c r="AR343" s="31">
        <f t="shared" si="152"/>
        <v>0</v>
      </c>
      <c r="AS343" s="31">
        <f t="shared" si="153"/>
        <v>0</v>
      </c>
      <c r="AT343" s="31">
        <f t="shared" si="162"/>
        <v>0</v>
      </c>
      <c r="AU343" s="31">
        <f t="shared" si="154"/>
        <v>0</v>
      </c>
      <c r="AV343" s="31">
        <f t="shared" si="155"/>
        <v>0</v>
      </c>
      <c r="AW343" s="31">
        <f t="shared" si="156"/>
        <v>0</v>
      </c>
      <c r="AX343" s="31">
        <f t="shared" si="157"/>
        <v>0</v>
      </c>
      <c r="AY343" s="31">
        <f t="shared" si="158"/>
        <v>0</v>
      </c>
      <c r="AZ343" s="31">
        <f t="shared" si="159"/>
        <v>0</v>
      </c>
      <c r="BA343" s="31">
        <f t="shared" si="160"/>
        <v>0</v>
      </c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35"/>
      <c r="CW343" s="35"/>
      <c r="CX343" s="35"/>
      <c r="CY343" s="35"/>
      <c r="CZ343" s="35"/>
      <c r="DA343" s="35"/>
      <c r="DB343" s="35"/>
      <c r="DC343" s="35"/>
      <c r="DD343" s="40"/>
      <c r="DE343" s="40"/>
      <c r="DF343" s="40"/>
      <c r="DG343" s="40"/>
      <c r="DH343" s="40"/>
      <c r="DI343" s="40"/>
      <c r="DJ343" s="40"/>
      <c r="DK343" s="40"/>
      <c r="DL343" s="35"/>
      <c r="DM343" s="35"/>
      <c r="DN343" s="35"/>
      <c r="DO343" s="35"/>
      <c r="DP343" s="35"/>
      <c r="DQ343" s="35"/>
      <c r="DR343" s="35"/>
      <c r="DS343" s="35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40"/>
      <c r="ES343" s="40"/>
      <c r="ET343" s="40"/>
      <c r="EU343" s="40"/>
      <c r="EV343" s="40"/>
      <c r="EW343" s="40"/>
      <c r="EX343" s="40"/>
      <c r="EY343" s="40"/>
      <c r="EZ343" s="35"/>
      <c r="FA343" s="35"/>
      <c r="FB343" s="35"/>
      <c r="FC343" s="35"/>
      <c r="FD343" s="35"/>
      <c r="FE343" s="35"/>
      <c r="FF343" s="35"/>
      <c r="FG343" s="35"/>
    </row>
    <row r="344" spans="1:163">
      <c r="A344" s="62">
        <v>242</v>
      </c>
      <c r="E344" s="63" t="s">
        <v>71</v>
      </c>
      <c r="F344" s="56" t="s">
        <v>92</v>
      </c>
      <c r="G344" s="65" t="s">
        <v>618</v>
      </c>
      <c r="H344" s="66" t="str">
        <f t="shared" si="146"/>
        <v xml:space="preserve"> 690</v>
      </c>
      <c r="I344" s="67" t="s">
        <v>618</v>
      </c>
      <c r="J344" s="68">
        <f t="shared" si="147"/>
        <v>0</v>
      </c>
      <c r="K344" s="63" t="s">
        <v>335</v>
      </c>
      <c r="L344" s="1" t="s">
        <v>46</v>
      </c>
      <c r="O344" s="88" t="s">
        <v>790</v>
      </c>
      <c r="P344" s="89">
        <v>0</v>
      </c>
      <c r="Q344" s="90">
        <f t="shared" si="161"/>
        <v>87000</v>
      </c>
      <c r="R344" s="71">
        <v>87000</v>
      </c>
      <c r="S344" s="72">
        <f t="shared" si="163"/>
        <v>9050</v>
      </c>
      <c r="T344" s="68" t="s">
        <v>791</v>
      </c>
      <c r="U344" s="73">
        <f t="shared" si="164"/>
        <v>77950</v>
      </c>
      <c r="V344" s="73">
        <f>2000+5500+600+200+250+500</f>
        <v>9050</v>
      </c>
      <c r="W344" s="2">
        <f t="shared" si="148"/>
        <v>87000</v>
      </c>
      <c r="Y344" s="81">
        <f t="shared" si="149"/>
        <v>87000</v>
      </c>
      <c r="Z344" s="96">
        <v>0</v>
      </c>
      <c r="AA344" s="97">
        <f>U344-Z344</f>
        <v>77950</v>
      </c>
      <c r="AB344" s="98" t="e">
        <f>AA344/Z344</f>
        <v>#DIV/0!</v>
      </c>
      <c r="AC344" s="2">
        <v>3000</v>
      </c>
      <c r="AD344" s="2">
        <f>Z344+AC344</f>
        <v>3000</v>
      </c>
      <c r="AF344" s="28">
        <f t="shared" si="143"/>
        <v>3000</v>
      </c>
      <c r="AG344" s="55" t="s">
        <v>125</v>
      </c>
      <c r="AI344" s="20" t="s">
        <v>45</v>
      </c>
      <c r="AJ344" s="2">
        <f t="shared" si="150"/>
        <v>-84000</v>
      </c>
      <c r="AN344" s="29">
        <f t="shared" si="151"/>
        <v>-28</v>
      </c>
      <c r="AO344" s="29" t="e">
        <f>AN344-AB344</f>
        <v>#DIV/0!</v>
      </c>
      <c r="AP344" s="3" t="s">
        <v>29</v>
      </c>
      <c r="AQ344" s="1" t="s">
        <v>190</v>
      </c>
      <c r="AR344" s="31">
        <f t="shared" si="152"/>
        <v>0</v>
      </c>
      <c r="AS344" s="31">
        <f t="shared" si="153"/>
        <v>0</v>
      </c>
      <c r="AT344" s="31">
        <f t="shared" si="162"/>
        <v>0</v>
      </c>
      <c r="AU344" s="31">
        <f t="shared" si="154"/>
        <v>0</v>
      </c>
      <c r="AV344" s="31">
        <f t="shared" si="155"/>
        <v>0</v>
      </c>
      <c r="AW344" s="31">
        <f t="shared" si="156"/>
        <v>0</v>
      </c>
      <c r="AX344" s="31">
        <f t="shared" si="157"/>
        <v>0</v>
      </c>
      <c r="AY344" s="31">
        <f t="shared" si="158"/>
        <v>0</v>
      </c>
      <c r="AZ344" s="31">
        <f t="shared" si="159"/>
        <v>0</v>
      </c>
      <c r="BA344" s="31">
        <f t="shared" si="160"/>
        <v>0</v>
      </c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35"/>
      <c r="CW344" s="35"/>
      <c r="CX344" s="35"/>
      <c r="CY344" s="35"/>
      <c r="CZ344" s="35"/>
      <c r="DA344" s="35"/>
      <c r="DB344" s="35"/>
      <c r="DC344" s="35"/>
      <c r="DD344" s="40"/>
      <c r="DE344" s="40"/>
      <c r="DF344" s="40"/>
      <c r="DG344" s="40"/>
      <c r="DH344" s="40"/>
      <c r="DI344" s="40"/>
      <c r="DJ344" s="40"/>
      <c r="DK344" s="40"/>
      <c r="DL344" s="35"/>
      <c r="DM344" s="35"/>
      <c r="DN344" s="35"/>
      <c r="DO344" s="35"/>
      <c r="DP344" s="35"/>
      <c r="DQ344" s="35"/>
      <c r="DR344" s="35"/>
      <c r="DS344" s="35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40"/>
      <c r="ES344" s="40"/>
      <c r="ET344" s="40"/>
      <c r="EU344" s="40"/>
      <c r="EV344" s="40"/>
      <c r="EW344" s="40"/>
      <c r="EX344" s="40"/>
      <c r="EY344" s="40"/>
      <c r="EZ344" s="35"/>
      <c r="FA344" s="35"/>
      <c r="FB344" s="35"/>
      <c r="FC344" s="35"/>
      <c r="FD344" s="35"/>
      <c r="FE344" s="35"/>
      <c r="FF344" s="35"/>
      <c r="FG344" s="35"/>
    </row>
    <row r="345" spans="1:163">
      <c r="A345" s="62">
        <v>393</v>
      </c>
      <c r="E345" s="63" t="s">
        <v>234</v>
      </c>
      <c r="F345" s="56" t="s">
        <v>87</v>
      </c>
      <c r="G345" s="65" t="s">
        <v>761</v>
      </c>
      <c r="H345" s="66" t="str">
        <f t="shared" si="146"/>
        <v xml:space="preserve"> 836</v>
      </c>
      <c r="I345" s="67" t="s">
        <v>761</v>
      </c>
      <c r="J345" s="68">
        <f t="shared" si="147"/>
        <v>0</v>
      </c>
      <c r="K345" s="63" t="s">
        <v>335</v>
      </c>
      <c r="L345" s="1" t="s">
        <v>46</v>
      </c>
      <c r="O345" s="88" t="s">
        <v>790</v>
      </c>
      <c r="P345" s="89">
        <v>0</v>
      </c>
      <c r="Q345" s="90">
        <f t="shared" si="161"/>
        <v>72000</v>
      </c>
      <c r="R345" s="71">
        <v>72000</v>
      </c>
      <c r="S345" s="72">
        <f t="shared" si="163"/>
        <v>8750</v>
      </c>
      <c r="T345" s="68" t="s">
        <v>791</v>
      </c>
      <c r="U345" s="73">
        <f t="shared" si="164"/>
        <v>63250</v>
      </c>
      <c r="V345" s="73">
        <f>2000+5200+600+200+250+500</f>
        <v>8750</v>
      </c>
      <c r="W345" s="2">
        <f t="shared" si="148"/>
        <v>72000</v>
      </c>
      <c r="Y345" s="81">
        <f t="shared" si="149"/>
        <v>72000</v>
      </c>
      <c r="Z345" s="96">
        <v>0</v>
      </c>
      <c r="AA345" s="97">
        <f>U345-Z345</f>
        <v>63250</v>
      </c>
      <c r="AB345" s="98" t="e">
        <f>AA345/Z345</f>
        <v>#DIV/0!</v>
      </c>
      <c r="AE345" s="2">
        <v>94000</v>
      </c>
      <c r="AF345" s="28">
        <f t="shared" si="143"/>
        <v>0</v>
      </c>
      <c r="AG345" s="55" t="s">
        <v>125</v>
      </c>
      <c r="AI345" s="20" t="s">
        <v>206</v>
      </c>
      <c r="AJ345" s="2">
        <f t="shared" si="150"/>
        <v>-72000</v>
      </c>
      <c r="AN345" s="29" t="e">
        <f t="shared" si="151"/>
        <v>#DIV/0!</v>
      </c>
      <c r="AP345" s="3" t="s">
        <v>140</v>
      </c>
      <c r="AQ345" s="1" t="s">
        <v>199</v>
      </c>
      <c r="AR345" s="31">
        <f t="shared" si="152"/>
        <v>0</v>
      </c>
      <c r="AS345" s="31">
        <f t="shared" si="153"/>
        <v>0</v>
      </c>
      <c r="AT345" s="31">
        <f t="shared" si="162"/>
        <v>0</v>
      </c>
      <c r="AU345" s="31">
        <f t="shared" si="154"/>
        <v>0</v>
      </c>
      <c r="AV345" s="31">
        <f t="shared" si="155"/>
        <v>0</v>
      </c>
      <c r="AW345" s="31">
        <f t="shared" si="156"/>
        <v>0</v>
      </c>
      <c r="AX345" s="31">
        <f t="shared" si="157"/>
        <v>0</v>
      </c>
      <c r="AY345" s="31">
        <f t="shared" si="158"/>
        <v>0</v>
      </c>
      <c r="AZ345" s="31">
        <f t="shared" si="159"/>
        <v>0</v>
      </c>
      <c r="BA345" s="31">
        <f t="shared" si="160"/>
        <v>0</v>
      </c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35"/>
      <c r="CW345" s="35"/>
      <c r="CX345" s="35"/>
      <c r="CY345" s="35"/>
      <c r="CZ345" s="35"/>
      <c r="DA345" s="35"/>
      <c r="DB345" s="35"/>
      <c r="DC345" s="35"/>
      <c r="DD345" s="40"/>
      <c r="DE345" s="40"/>
      <c r="DF345" s="40"/>
      <c r="DG345" s="40"/>
      <c r="DH345" s="40"/>
      <c r="DI345" s="40"/>
      <c r="DJ345" s="40"/>
      <c r="DK345" s="40"/>
      <c r="DL345" s="35"/>
      <c r="DM345" s="35"/>
      <c r="DN345" s="35"/>
      <c r="DO345" s="35"/>
      <c r="DP345" s="35"/>
      <c r="DQ345" s="35"/>
      <c r="DR345" s="35"/>
      <c r="DS345" s="35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40"/>
      <c r="ES345" s="40"/>
      <c r="ET345" s="40"/>
      <c r="EU345" s="40"/>
      <c r="EV345" s="40"/>
      <c r="EW345" s="40"/>
      <c r="EX345" s="40"/>
      <c r="EY345" s="40"/>
      <c r="EZ345" s="35"/>
      <c r="FA345" s="35"/>
      <c r="FB345" s="35"/>
      <c r="FC345" s="35"/>
      <c r="FD345" s="35"/>
      <c r="FE345" s="35"/>
      <c r="FF345" s="35"/>
      <c r="FG345" s="35"/>
    </row>
    <row r="346" spans="1:163">
      <c r="A346" s="62">
        <v>209</v>
      </c>
      <c r="E346" s="63" t="s">
        <v>173</v>
      </c>
      <c r="F346" s="56" t="s">
        <v>67</v>
      </c>
      <c r="G346" s="70" t="s">
        <v>589</v>
      </c>
      <c r="H346" s="66" t="str">
        <f t="shared" si="146"/>
        <v xml:space="preserve"> 780</v>
      </c>
      <c r="I346" s="67" t="s">
        <v>589</v>
      </c>
      <c r="J346" s="68">
        <f t="shared" si="147"/>
        <v>0</v>
      </c>
      <c r="K346" s="63" t="s">
        <v>322</v>
      </c>
      <c r="L346" s="1" t="s">
        <v>46</v>
      </c>
      <c r="O346" s="88" t="s">
        <v>790</v>
      </c>
      <c r="P346" s="89">
        <v>132500</v>
      </c>
      <c r="Q346" s="90">
        <f t="shared" si="161"/>
        <v>0</v>
      </c>
      <c r="R346" s="71"/>
      <c r="S346" s="72">
        <f t="shared" si="163"/>
        <v>0</v>
      </c>
      <c r="T346" s="68"/>
      <c r="U346" s="73">
        <f t="shared" si="164"/>
        <v>0</v>
      </c>
      <c r="V346" s="73"/>
      <c r="W346" s="2">
        <f t="shared" si="148"/>
        <v>-132500</v>
      </c>
      <c r="Y346" s="81">
        <f t="shared" si="149"/>
        <v>0</v>
      </c>
      <c r="Z346" s="96">
        <v>0</v>
      </c>
      <c r="AA346" s="97">
        <f>U346-Z346</f>
        <v>0</v>
      </c>
      <c r="AB346" s="98" t="e">
        <f>AA346/Z346</f>
        <v>#DIV/0!</v>
      </c>
      <c r="AC346" s="2">
        <v>5000</v>
      </c>
      <c r="AD346" s="2">
        <f>Z346+AC346</f>
        <v>5000</v>
      </c>
      <c r="AF346" s="28">
        <f t="shared" si="143"/>
        <v>5000</v>
      </c>
      <c r="AG346" s="55" t="s">
        <v>125</v>
      </c>
      <c r="AI346" s="20" t="s">
        <v>206</v>
      </c>
      <c r="AJ346" s="2">
        <f t="shared" si="150"/>
        <v>5000</v>
      </c>
      <c r="AN346" s="29">
        <f t="shared" si="151"/>
        <v>1</v>
      </c>
      <c r="AO346" s="29" t="e">
        <f>AN346-AB346</f>
        <v>#DIV/0!</v>
      </c>
      <c r="AP346" s="3" t="s">
        <v>140</v>
      </c>
      <c r="AQ346" s="1" t="s">
        <v>193</v>
      </c>
      <c r="AR346" s="31">
        <f t="shared" si="152"/>
        <v>-191350</v>
      </c>
      <c r="AS346" s="31">
        <f t="shared" si="153"/>
        <v>-162508</v>
      </c>
      <c r="AT346" s="31">
        <f>IF(BX346&lt;&gt;"", AF346-BX346, 0)</f>
        <v>-162850</v>
      </c>
      <c r="AU346" s="31">
        <f t="shared" si="154"/>
        <v>-188320</v>
      </c>
      <c r="AV346" s="31">
        <f t="shared" si="155"/>
        <v>0</v>
      </c>
      <c r="AW346" s="31">
        <f t="shared" si="156"/>
        <v>0</v>
      </c>
      <c r="AX346" s="31">
        <f t="shared" si="157"/>
        <v>0</v>
      </c>
      <c r="AY346" s="31">
        <f t="shared" si="158"/>
        <v>0</v>
      </c>
      <c r="AZ346" s="31">
        <f t="shared" si="159"/>
        <v>0</v>
      </c>
      <c r="BA346" s="31">
        <f t="shared" si="160"/>
        <v>0</v>
      </c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41">
        <v>190350</v>
      </c>
      <c r="BM346" s="41">
        <v>6000</v>
      </c>
      <c r="BN346" s="41">
        <f>BL346+BM346</f>
        <v>196350</v>
      </c>
      <c r="BO346" s="37">
        <f>BN346-Y346</f>
        <v>196350</v>
      </c>
      <c r="BP346" s="38">
        <f>BO346/BL346</f>
        <v>1.0315208825847124</v>
      </c>
      <c r="BQ346" s="37">
        <f>AF346-BN346</f>
        <v>-191350</v>
      </c>
      <c r="BR346" s="40" t="s">
        <v>29</v>
      </c>
      <c r="BS346" s="39"/>
      <c r="BT346" s="39"/>
      <c r="BU346" s="39"/>
      <c r="BV346" s="39"/>
      <c r="BW346" s="39"/>
      <c r="BX346" s="36">
        <v>167850</v>
      </c>
      <c r="BY346" s="33">
        <v>6000</v>
      </c>
      <c r="BZ346" s="33">
        <f>BX346+BY346</f>
        <v>173850</v>
      </c>
      <c r="CA346" s="33">
        <f>BZ346-Y346</f>
        <v>173850</v>
      </c>
      <c r="CB346" s="34">
        <f>CA346/BX346</f>
        <v>1.0357462019660411</v>
      </c>
      <c r="CC346" s="33">
        <f>AF346-BZ346</f>
        <v>-168850</v>
      </c>
      <c r="CD346" s="35" t="s">
        <v>111</v>
      </c>
      <c r="CE346" s="48"/>
      <c r="CF346" s="48"/>
      <c r="CG346" s="48"/>
      <c r="CH346" s="48"/>
      <c r="CI346" s="48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36">
        <v>167508</v>
      </c>
      <c r="CW346" s="36">
        <f>CV346-Y346</f>
        <v>167508</v>
      </c>
      <c r="CX346" s="46">
        <f>CW346/CV346</f>
        <v>1</v>
      </c>
      <c r="CY346" s="36">
        <f>AF346-CV346</f>
        <v>-162508</v>
      </c>
      <c r="CZ346" s="35" t="s">
        <v>29</v>
      </c>
      <c r="DA346" s="35"/>
      <c r="DB346" s="35"/>
      <c r="DC346" s="35"/>
      <c r="DD346" s="41">
        <v>193320</v>
      </c>
      <c r="DE346" s="37">
        <f>DD346-Y346</f>
        <v>193320</v>
      </c>
      <c r="DF346" s="38">
        <f>DE346/DD346</f>
        <v>1</v>
      </c>
      <c r="DG346" s="37">
        <f>AF346-DD346</f>
        <v>-188320</v>
      </c>
      <c r="DH346" s="40" t="s">
        <v>112</v>
      </c>
      <c r="DI346" s="40"/>
      <c r="DJ346" s="40"/>
      <c r="DK346" s="40"/>
      <c r="DL346" s="35"/>
      <c r="DM346" s="35"/>
      <c r="DN346" s="35"/>
      <c r="DO346" s="35"/>
      <c r="DP346" s="35"/>
      <c r="DQ346" s="35"/>
      <c r="DR346" s="35"/>
      <c r="DS346" s="35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40"/>
      <c r="ES346" s="40"/>
      <c r="ET346" s="40"/>
      <c r="EU346" s="40"/>
      <c r="EV346" s="40"/>
      <c r="EW346" s="40"/>
      <c r="EX346" s="40"/>
      <c r="EY346" s="40"/>
      <c r="EZ346" s="35"/>
      <c r="FA346" s="35"/>
      <c r="FB346" s="35"/>
      <c r="FC346" s="35"/>
      <c r="FD346" s="35"/>
      <c r="FE346" s="35"/>
      <c r="FF346" s="35"/>
      <c r="FG346" s="35"/>
    </row>
    <row r="347" spans="1:163">
      <c r="A347" s="60">
        <v>148</v>
      </c>
      <c r="E347" s="63" t="s">
        <v>63</v>
      </c>
      <c r="F347" s="56" t="s">
        <v>62</v>
      </c>
      <c r="G347" s="65" t="s">
        <v>527</v>
      </c>
      <c r="H347" s="66" t="str">
        <f t="shared" si="146"/>
        <v xml:space="preserve"> 688</v>
      </c>
      <c r="I347" s="67" t="s">
        <v>527</v>
      </c>
      <c r="J347" s="68">
        <f t="shared" si="147"/>
        <v>0</v>
      </c>
      <c r="K347" s="63" t="s">
        <v>294</v>
      </c>
      <c r="L347" s="1" t="s">
        <v>46</v>
      </c>
      <c r="O347" s="64" t="s">
        <v>789</v>
      </c>
      <c r="P347" s="82">
        <v>0</v>
      </c>
      <c r="Q347" s="74">
        <f t="shared" si="161"/>
        <v>77000</v>
      </c>
      <c r="R347" s="71">
        <v>77000</v>
      </c>
      <c r="S347" s="72">
        <f t="shared" si="163"/>
        <v>8650</v>
      </c>
      <c r="T347" s="68" t="s">
        <v>791</v>
      </c>
      <c r="U347" s="73">
        <f t="shared" si="164"/>
        <v>68350</v>
      </c>
      <c r="V347" s="75">
        <f>2000+5100+600+200+250+500</f>
        <v>8650</v>
      </c>
      <c r="W347" s="2">
        <f t="shared" si="148"/>
        <v>77000</v>
      </c>
      <c r="Y347" s="80">
        <f t="shared" si="149"/>
        <v>77000</v>
      </c>
      <c r="Z347" s="93"/>
      <c r="AA347" s="93"/>
      <c r="AB347" s="94"/>
      <c r="AE347" s="2">
        <v>97000</v>
      </c>
      <c r="AF347" s="28">
        <f t="shared" si="143"/>
        <v>97000</v>
      </c>
      <c r="AG347" s="55" t="s">
        <v>125</v>
      </c>
      <c r="AI347" s="20" t="s">
        <v>45</v>
      </c>
      <c r="AJ347" s="2">
        <f t="shared" si="150"/>
        <v>20000</v>
      </c>
      <c r="AN347" s="29">
        <f t="shared" si="151"/>
        <v>0.20618556701030927</v>
      </c>
      <c r="AP347" s="3" t="s">
        <v>29</v>
      </c>
      <c r="AQ347" s="1" t="s">
        <v>155</v>
      </c>
      <c r="AR347" s="31">
        <f t="shared" si="152"/>
        <v>0</v>
      </c>
      <c r="AS347" s="31">
        <f t="shared" si="153"/>
        <v>0</v>
      </c>
      <c r="AT347" s="31">
        <f t="shared" ref="AT347:AT378" si="165">IF(BZ347&lt;&gt;"", AF347-BZ347, 0)</f>
        <v>0</v>
      </c>
      <c r="AU347" s="31">
        <f t="shared" si="154"/>
        <v>0</v>
      </c>
      <c r="AV347" s="31">
        <f t="shared" si="155"/>
        <v>0</v>
      </c>
      <c r="AW347" s="31">
        <f t="shared" si="156"/>
        <v>0</v>
      </c>
      <c r="AX347" s="31">
        <f t="shared" si="157"/>
        <v>0</v>
      </c>
      <c r="AY347" s="31">
        <f t="shared" si="158"/>
        <v>0</v>
      </c>
      <c r="AZ347" s="31">
        <f t="shared" si="159"/>
        <v>0</v>
      </c>
      <c r="BA347" s="31">
        <f t="shared" si="160"/>
        <v>0</v>
      </c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35"/>
      <c r="CW347" s="35"/>
      <c r="CX347" s="35"/>
      <c r="CY347" s="35"/>
      <c r="CZ347" s="35"/>
      <c r="DA347" s="35"/>
      <c r="DB347" s="35"/>
      <c r="DC347" s="35"/>
      <c r="DD347" s="40"/>
      <c r="DE347" s="40"/>
      <c r="DF347" s="40"/>
      <c r="DG347" s="40"/>
      <c r="DH347" s="40"/>
      <c r="DI347" s="40"/>
      <c r="DJ347" s="40"/>
      <c r="DK347" s="40"/>
      <c r="DL347" s="35"/>
      <c r="DM347" s="35"/>
      <c r="DN347" s="35"/>
      <c r="DO347" s="35"/>
      <c r="DP347" s="35"/>
      <c r="DQ347" s="35"/>
      <c r="DR347" s="35"/>
      <c r="DS347" s="35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40"/>
      <c r="ES347" s="40"/>
      <c r="ET347" s="40"/>
      <c r="EU347" s="40"/>
      <c r="EV347" s="40"/>
      <c r="EW347" s="40"/>
      <c r="EX347" s="40"/>
      <c r="EY347" s="40"/>
      <c r="EZ347" s="35"/>
      <c r="FA347" s="35"/>
      <c r="FB347" s="35"/>
      <c r="FC347" s="35"/>
      <c r="FD347" s="35"/>
      <c r="FE347" s="35"/>
      <c r="FF347" s="35"/>
      <c r="FG347" s="35"/>
    </row>
    <row r="348" spans="1:163">
      <c r="A348" s="60">
        <v>150</v>
      </c>
      <c r="E348" s="63" t="s">
        <v>63</v>
      </c>
      <c r="F348" s="56" t="s">
        <v>62</v>
      </c>
      <c r="G348" s="65" t="s">
        <v>529</v>
      </c>
      <c r="H348" s="66" t="str">
        <f t="shared" si="146"/>
        <v xml:space="preserve"> 820</v>
      </c>
      <c r="I348" s="67" t="s">
        <v>529</v>
      </c>
      <c r="J348" s="68">
        <f t="shared" si="147"/>
        <v>0</v>
      </c>
      <c r="K348" s="63" t="s">
        <v>294</v>
      </c>
      <c r="L348" s="1" t="s">
        <v>46</v>
      </c>
      <c r="O348" s="64" t="s">
        <v>789</v>
      </c>
      <c r="P348" s="82">
        <v>0</v>
      </c>
      <c r="Q348" s="74">
        <f t="shared" si="161"/>
        <v>68150</v>
      </c>
      <c r="R348" s="71">
        <v>68150</v>
      </c>
      <c r="S348" s="72">
        <f t="shared" si="163"/>
        <v>8150</v>
      </c>
      <c r="T348" s="68" t="s">
        <v>791</v>
      </c>
      <c r="U348" s="73">
        <f t="shared" si="164"/>
        <v>60000</v>
      </c>
      <c r="V348" s="75">
        <f>2000+5100+600+200+250</f>
        <v>8150</v>
      </c>
      <c r="W348" s="2">
        <f t="shared" si="148"/>
        <v>68150</v>
      </c>
      <c r="Y348" s="80">
        <f t="shared" si="149"/>
        <v>68150</v>
      </c>
      <c r="Z348" s="93"/>
      <c r="AA348" s="93"/>
      <c r="AB348" s="94"/>
      <c r="AE348" s="2">
        <v>97000</v>
      </c>
      <c r="AF348" s="28">
        <f t="shared" si="143"/>
        <v>97000</v>
      </c>
      <c r="AG348" s="55" t="s">
        <v>125</v>
      </c>
      <c r="AI348" s="20" t="s">
        <v>45</v>
      </c>
      <c r="AJ348" s="2">
        <f t="shared" si="150"/>
        <v>28850</v>
      </c>
      <c r="AN348" s="29">
        <f t="shared" si="151"/>
        <v>0.29742268041237113</v>
      </c>
      <c r="AP348" s="3" t="s">
        <v>29</v>
      </c>
      <c r="AQ348" s="1" t="s">
        <v>155</v>
      </c>
      <c r="AR348" s="31">
        <f t="shared" si="152"/>
        <v>0</v>
      </c>
      <c r="AS348" s="31">
        <f t="shared" si="153"/>
        <v>0</v>
      </c>
      <c r="AT348" s="31">
        <f t="shared" si="165"/>
        <v>0</v>
      </c>
      <c r="AU348" s="31">
        <f t="shared" si="154"/>
        <v>0</v>
      </c>
      <c r="AV348" s="31">
        <f t="shared" si="155"/>
        <v>0</v>
      </c>
      <c r="AW348" s="31">
        <f t="shared" si="156"/>
        <v>0</v>
      </c>
      <c r="AX348" s="31">
        <f t="shared" si="157"/>
        <v>0</v>
      </c>
      <c r="AY348" s="31">
        <f t="shared" si="158"/>
        <v>0</v>
      </c>
      <c r="AZ348" s="31">
        <f t="shared" si="159"/>
        <v>0</v>
      </c>
      <c r="BA348" s="31">
        <f t="shared" si="160"/>
        <v>0</v>
      </c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35"/>
      <c r="CW348" s="35"/>
      <c r="CX348" s="35"/>
      <c r="CY348" s="35"/>
      <c r="CZ348" s="35"/>
      <c r="DA348" s="35"/>
      <c r="DB348" s="35"/>
      <c r="DC348" s="35"/>
      <c r="DD348" s="40"/>
      <c r="DE348" s="40"/>
      <c r="DF348" s="40"/>
      <c r="DG348" s="40"/>
      <c r="DH348" s="40"/>
      <c r="DI348" s="40"/>
      <c r="DJ348" s="40"/>
      <c r="DK348" s="40"/>
      <c r="DL348" s="35"/>
      <c r="DM348" s="35"/>
      <c r="DN348" s="35"/>
      <c r="DO348" s="35"/>
      <c r="DP348" s="35"/>
      <c r="DQ348" s="35"/>
      <c r="DR348" s="35"/>
      <c r="DS348" s="35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40"/>
      <c r="ES348" s="40"/>
      <c r="ET348" s="40"/>
      <c r="EU348" s="40"/>
      <c r="EV348" s="40"/>
      <c r="EW348" s="40"/>
      <c r="EX348" s="40"/>
      <c r="EY348" s="40"/>
      <c r="EZ348" s="35"/>
      <c r="FA348" s="35"/>
      <c r="FB348" s="35"/>
      <c r="FC348" s="35"/>
      <c r="FD348" s="35"/>
      <c r="FE348" s="35"/>
      <c r="FF348" s="35"/>
      <c r="FG348" s="35"/>
    </row>
    <row r="349" spans="1:163">
      <c r="A349" s="62">
        <v>243</v>
      </c>
      <c r="E349" s="63" t="s">
        <v>218</v>
      </c>
      <c r="F349" s="56" t="s">
        <v>94</v>
      </c>
      <c r="G349" s="65" t="s">
        <v>619</v>
      </c>
      <c r="H349" s="66" t="str">
        <f t="shared" si="146"/>
        <v xml:space="preserve"> 299</v>
      </c>
      <c r="I349" s="67" t="s">
        <v>619</v>
      </c>
      <c r="J349" s="68">
        <f t="shared" si="147"/>
        <v>0</v>
      </c>
      <c r="K349" s="63" t="s">
        <v>294</v>
      </c>
      <c r="L349" s="1" t="s">
        <v>46</v>
      </c>
      <c r="O349" s="64" t="s">
        <v>789</v>
      </c>
      <c r="P349" s="82">
        <v>0</v>
      </c>
      <c r="Q349" s="74">
        <f t="shared" si="161"/>
        <v>79050</v>
      </c>
      <c r="R349" s="71">
        <v>79050</v>
      </c>
      <c r="S349" s="72">
        <f t="shared" si="163"/>
        <v>9050</v>
      </c>
      <c r="T349" s="68" t="s">
        <v>791</v>
      </c>
      <c r="U349" s="73">
        <f t="shared" si="164"/>
        <v>70000</v>
      </c>
      <c r="V349" s="75">
        <f>2000+5500+600+200+250+500</f>
        <v>9050</v>
      </c>
      <c r="W349" s="2">
        <f t="shared" si="148"/>
        <v>79050</v>
      </c>
      <c r="Y349" s="80">
        <f t="shared" si="149"/>
        <v>79050</v>
      </c>
      <c r="Z349" s="93"/>
      <c r="AA349" s="93"/>
      <c r="AB349" s="94"/>
      <c r="AE349" s="2">
        <v>237000</v>
      </c>
      <c r="AF349" s="28">
        <f t="shared" si="143"/>
        <v>237000</v>
      </c>
      <c r="AG349" s="55" t="s">
        <v>125</v>
      </c>
      <c r="AI349" s="20" t="s">
        <v>45</v>
      </c>
      <c r="AJ349" s="2">
        <f t="shared" si="150"/>
        <v>157950</v>
      </c>
      <c r="AN349" s="29">
        <f t="shared" si="151"/>
        <v>0.66645569620253164</v>
      </c>
      <c r="AP349" s="3" t="s">
        <v>158</v>
      </c>
      <c r="AR349" s="31">
        <f t="shared" si="152"/>
        <v>0</v>
      </c>
      <c r="AS349" s="31">
        <f t="shared" si="153"/>
        <v>0</v>
      </c>
      <c r="AT349" s="31">
        <f t="shared" si="165"/>
        <v>0</v>
      </c>
      <c r="AU349" s="31">
        <f t="shared" si="154"/>
        <v>0</v>
      </c>
      <c r="AV349" s="31">
        <f t="shared" si="155"/>
        <v>0</v>
      </c>
      <c r="AW349" s="31">
        <f t="shared" si="156"/>
        <v>0</v>
      </c>
      <c r="AX349" s="31">
        <f t="shared" si="157"/>
        <v>0</v>
      </c>
      <c r="AY349" s="31">
        <f t="shared" si="158"/>
        <v>0</v>
      </c>
      <c r="AZ349" s="31">
        <f t="shared" si="159"/>
        <v>0</v>
      </c>
      <c r="BA349" s="31">
        <f t="shared" si="160"/>
        <v>0</v>
      </c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41"/>
      <c r="BM349" s="41"/>
      <c r="BN349" s="41"/>
      <c r="BO349" s="37"/>
      <c r="BP349" s="38"/>
      <c r="BQ349" s="37"/>
      <c r="BR349" s="40"/>
      <c r="BS349" s="39"/>
      <c r="BT349" s="39"/>
      <c r="BU349" s="39"/>
      <c r="BV349" s="39"/>
      <c r="BW349" s="39"/>
      <c r="BX349" s="36"/>
      <c r="BY349" s="33"/>
      <c r="BZ349" s="33"/>
      <c r="CA349" s="33"/>
      <c r="CB349" s="34"/>
      <c r="CC349" s="33"/>
      <c r="CD349" s="35"/>
      <c r="CE349" s="48"/>
      <c r="CF349" s="48"/>
      <c r="CG349" s="48"/>
      <c r="CH349" s="48"/>
      <c r="CI349" s="48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35"/>
      <c r="CW349" s="35"/>
      <c r="CX349" s="35"/>
      <c r="CY349" s="35"/>
      <c r="CZ349" s="35"/>
      <c r="DA349" s="35"/>
      <c r="DB349" s="35"/>
      <c r="DC349" s="35"/>
      <c r="DD349" s="40"/>
      <c r="DE349" s="40"/>
      <c r="DF349" s="40"/>
      <c r="DG349" s="40"/>
      <c r="DH349" s="40"/>
      <c r="DI349" s="40"/>
      <c r="DJ349" s="40"/>
      <c r="DK349" s="40"/>
      <c r="DL349" s="35"/>
      <c r="DM349" s="35"/>
      <c r="DN349" s="35"/>
      <c r="DO349" s="35"/>
      <c r="DP349" s="35"/>
      <c r="DQ349" s="35"/>
      <c r="DR349" s="35"/>
      <c r="DS349" s="35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40"/>
      <c r="ES349" s="40"/>
      <c r="ET349" s="40"/>
      <c r="EU349" s="40"/>
      <c r="EV349" s="40"/>
      <c r="EW349" s="40"/>
      <c r="EX349" s="40"/>
      <c r="EY349" s="40"/>
      <c r="EZ349" s="35"/>
      <c r="FA349" s="35"/>
      <c r="FB349" s="35"/>
      <c r="FC349" s="35"/>
      <c r="FD349" s="35"/>
      <c r="FE349" s="35"/>
      <c r="FF349" s="35"/>
      <c r="FG349" s="35"/>
    </row>
    <row r="350" spans="1:163">
      <c r="A350" s="62">
        <v>259</v>
      </c>
      <c r="E350" s="63" t="s">
        <v>218</v>
      </c>
      <c r="F350" s="56" t="s">
        <v>95</v>
      </c>
      <c r="G350" s="65" t="s">
        <v>633</v>
      </c>
      <c r="H350" s="66" t="str">
        <f t="shared" si="146"/>
        <v xml:space="preserve"> 841</v>
      </c>
      <c r="I350" s="67" t="s">
        <v>633</v>
      </c>
      <c r="J350" s="68">
        <f t="shared" si="147"/>
        <v>0</v>
      </c>
      <c r="K350" s="63" t="s">
        <v>294</v>
      </c>
      <c r="L350" s="1" t="s">
        <v>46</v>
      </c>
      <c r="O350" s="64" t="s">
        <v>789</v>
      </c>
      <c r="P350" s="82">
        <v>0</v>
      </c>
      <c r="Q350" s="74">
        <f t="shared" si="161"/>
        <v>78550</v>
      </c>
      <c r="R350" s="71">
        <v>78550</v>
      </c>
      <c r="S350" s="72">
        <f t="shared" si="163"/>
        <v>8550</v>
      </c>
      <c r="T350" s="68" t="s">
        <v>791</v>
      </c>
      <c r="U350" s="73">
        <f t="shared" si="164"/>
        <v>70000</v>
      </c>
      <c r="V350" s="75">
        <f>2000+5500+600+200+250</f>
        <v>8550</v>
      </c>
      <c r="W350" s="2">
        <f t="shared" si="148"/>
        <v>78550</v>
      </c>
      <c r="Y350" s="80">
        <f t="shared" si="149"/>
        <v>78550</v>
      </c>
      <c r="Z350" s="93"/>
      <c r="AA350" s="93"/>
      <c r="AB350" s="94"/>
      <c r="AE350" s="2">
        <v>116000</v>
      </c>
      <c r="AF350" s="28">
        <f t="shared" si="143"/>
        <v>116000</v>
      </c>
      <c r="AG350" s="55" t="s">
        <v>125</v>
      </c>
      <c r="AI350" s="20" t="s">
        <v>45</v>
      </c>
      <c r="AJ350" s="2">
        <f t="shared" si="150"/>
        <v>37450</v>
      </c>
      <c r="AN350" s="29">
        <f t="shared" si="151"/>
        <v>0.32284482758620692</v>
      </c>
      <c r="AP350" s="3" t="s">
        <v>29</v>
      </c>
      <c r="AQ350" s="1" t="s">
        <v>190</v>
      </c>
      <c r="AR350" s="31">
        <f t="shared" si="152"/>
        <v>0</v>
      </c>
      <c r="AS350" s="31">
        <f t="shared" si="153"/>
        <v>0</v>
      </c>
      <c r="AT350" s="31">
        <f t="shared" si="165"/>
        <v>0</v>
      </c>
      <c r="AU350" s="31">
        <f t="shared" si="154"/>
        <v>0</v>
      </c>
      <c r="AV350" s="31">
        <f t="shared" si="155"/>
        <v>0</v>
      </c>
      <c r="AW350" s="31">
        <f t="shared" si="156"/>
        <v>0</v>
      </c>
      <c r="AX350" s="31">
        <f t="shared" si="157"/>
        <v>0</v>
      </c>
      <c r="AY350" s="31">
        <f t="shared" si="158"/>
        <v>0</v>
      </c>
      <c r="AZ350" s="31">
        <f t="shared" si="159"/>
        <v>0</v>
      </c>
      <c r="BA350" s="31">
        <f t="shared" si="160"/>
        <v>0</v>
      </c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35"/>
      <c r="CW350" s="35"/>
      <c r="CX350" s="35"/>
      <c r="CY350" s="35"/>
      <c r="CZ350" s="35"/>
      <c r="DA350" s="35"/>
      <c r="DB350" s="35"/>
      <c r="DC350" s="35"/>
      <c r="DD350" s="40"/>
      <c r="DE350" s="40"/>
      <c r="DF350" s="40"/>
      <c r="DG350" s="40"/>
      <c r="DH350" s="40"/>
      <c r="DI350" s="40"/>
      <c r="DJ350" s="40"/>
      <c r="DK350" s="40"/>
      <c r="DL350" s="35"/>
      <c r="DM350" s="35"/>
      <c r="DN350" s="35"/>
      <c r="DO350" s="35"/>
      <c r="DP350" s="35"/>
      <c r="DQ350" s="35"/>
      <c r="DR350" s="35"/>
      <c r="DS350" s="35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40"/>
      <c r="ES350" s="40"/>
      <c r="ET350" s="40"/>
      <c r="EU350" s="40"/>
      <c r="EV350" s="40"/>
      <c r="EW350" s="40"/>
      <c r="EX350" s="40"/>
      <c r="EY350" s="40"/>
      <c r="EZ350" s="35"/>
      <c r="FA350" s="35"/>
      <c r="FB350" s="35"/>
      <c r="FC350" s="35"/>
      <c r="FD350" s="35"/>
      <c r="FE350" s="35"/>
      <c r="FF350" s="35"/>
      <c r="FG350" s="35"/>
    </row>
    <row r="351" spans="1:163">
      <c r="A351" s="62">
        <v>263</v>
      </c>
      <c r="E351" s="63" t="s">
        <v>218</v>
      </c>
      <c r="F351" s="56" t="s">
        <v>95</v>
      </c>
      <c r="G351" s="65" t="s">
        <v>637</v>
      </c>
      <c r="H351" s="66" t="str">
        <f t="shared" si="146"/>
        <v xml:space="preserve"> 897</v>
      </c>
      <c r="I351" s="67" t="s">
        <v>637</v>
      </c>
      <c r="J351" s="68">
        <f t="shared" si="147"/>
        <v>0</v>
      </c>
      <c r="K351" s="63" t="s">
        <v>294</v>
      </c>
      <c r="L351" s="1" t="s">
        <v>46</v>
      </c>
      <c r="O351" s="64" t="s">
        <v>789</v>
      </c>
      <c r="P351" s="82">
        <v>0</v>
      </c>
      <c r="Q351" s="74">
        <f t="shared" si="161"/>
        <v>77050</v>
      </c>
      <c r="R351" s="71">
        <v>77050</v>
      </c>
      <c r="S351" s="72">
        <f t="shared" si="163"/>
        <v>9550</v>
      </c>
      <c r="T351" s="68" t="s">
        <v>791</v>
      </c>
      <c r="U351" s="73">
        <f t="shared" si="164"/>
        <v>67500</v>
      </c>
      <c r="V351" s="75">
        <f>2000+5500+600+200+250+1000</f>
        <v>9550</v>
      </c>
      <c r="W351" s="2">
        <f t="shared" si="148"/>
        <v>77050</v>
      </c>
      <c r="Y351" s="80">
        <f t="shared" si="149"/>
        <v>77050</v>
      </c>
      <c r="Z351" s="93"/>
      <c r="AA351" s="93"/>
      <c r="AB351" s="94"/>
      <c r="AE351" s="2">
        <v>120000</v>
      </c>
      <c r="AF351" s="28">
        <f t="shared" si="143"/>
        <v>120000</v>
      </c>
      <c r="AG351" s="55" t="s">
        <v>125</v>
      </c>
      <c r="AI351" s="20" t="s">
        <v>45</v>
      </c>
      <c r="AJ351" s="2">
        <f t="shared" si="150"/>
        <v>42950</v>
      </c>
      <c r="AN351" s="29">
        <f t="shared" si="151"/>
        <v>0.35791666666666666</v>
      </c>
      <c r="AP351" s="3" t="s">
        <v>29</v>
      </c>
      <c r="AQ351" s="1" t="s">
        <v>190</v>
      </c>
      <c r="AR351" s="31">
        <f t="shared" si="152"/>
        <v>0</v>
      </c>
      <c r="AS351" s="31">
        <f t="shared" si="153"/>
        <v>0</v>
      </c>
      <c r="AT351" s="31">
        <f t="shared" si="165"/>
        <v>0</v>
      </c>
      <c r="AU351" s="31">
        <f t="shared" si="154"/>
        <v>0</v>
      </c>
      <c r="AV351" s="31">
        <f t="shared" si="155"/>
        <v>0</v>
      </c>
      <c r="AW351" s="31">
        <f t="shared" si="156"/>
        <v>0</v>
      </c>
      <c r="AX351" s="31">
        <f t="shared" si="157"/>
        <v>0</v>
      </c>
      <c r="AY351" s="31">
        <f t="shared" si="158"/>
        <v>0</v>
      </c>
      <c r="AZ351" s="31">
        <f t="shared" si="159"/>
        <v>0</v>
      </c>
      <c r="BA351" s="31">
        <f t="shared" si="160"/>
        <v>0</v>
      </c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35"/>
      <c r="CW351" s="35"/>
      <c r="CX351" s="35"/>
      <c r="CY351" s="35"/>
      <c r="CZ351" s="35"/>
      <c r="DA351" s="35"/>
      <c r="DB351" s="35"/>
      <c r="DC351" s="35"/>
      <c r="DD351" s="40"/>
      <c r="DE351" s="40"/>
      <c r="DF351" s="40"/>
      <c r="DG351" s="40"/>
      <c r="DH351" s="40"/>
      <c r="DI351" s="40"/>
      <c r="DJ351" s="40"/>
      <c r="DK351" s="40"/>
      <c r="DL351" s="35"/>
      <c r="DM351" s="35"/>
      <c r="DN351" s="35"/>
      <c r="DO351" s="35"/>
      <c r="DP351" s="35"/>
      <c r="DQ351" s="35"/>
      <c r="DR351" s="35"/>
      <c r="DS351" s="35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40"/>
      <c r="ES351" s="40"/>
      <c r="ET351" s="40"/>
      <c r="EU351" s="40"/>
      <c r="EV351" s="40"/>
      <c r="EW351" s="40"/>
      <c r="EX351" s="40"/>
      <c r="EY351" s="40"/>
      <c r="EZ351" s="35"/>
      <c r="FA351" s="35"/>
      <c r="FB351" s="35"/>
      <c r="FC351" s="35"/>
      <c r="FD351" s="35"/>
      <c r="FE351" s="35"/>
      <c r="FF351" s="35"/>
      <c r="FG351" s="35"/>
    </row>
    <row r="352" spans="1:163">
      <c r="A352" s="62">
        <v>291</v>
      </c>
      <c r="E352" s="63" t="s">
        <v>218</v>
      </c>
      <c r="F352" s="56" t="s">
        <v>95</v>
      </c>
      <c r="G352" s="65" t="s">
        <v>665</v>
      </c>
      <c r="H352" s="66" t="str">
        <f t="shared" si="146"/>
        <v xml:space="preserve"> 633</v>
      </c>
      <c r="I352" s="67" t="s">
        <v>665</v>
      </c>
      <c r="J352" s="68">
        <f t="shared" si="147"/>
        <v>0</v>
      </c>
      <c r="K352" s="63" t="s">
        <v>294</v>
      </c>
      <c r="L352" s="1" t="s">
        <v>46</v>
      </c>
      <c r="O352" s="64" t="s">
        <v>789</v>
      </c>
      <c r="P352" s="82">
        <v>0</v>
      </c>
      <c r="Q352" s="74">
        <f t="shared" si="161"/>
        <v>78550</v>
      </c>
      <c r="R352" s="71">
        <v>78550</v>
      </c>
      <c r="S352" s="72">
        <f t="shared" si="163"/>
        <v>8550</v>
      </c>
      <c r="T352" s="68" t="s">
        <v>791</v>
      </c>
      <c r="U352" s="73">
        <f t="shared" si="164"/>
        <v>70000</v>
      </c>
      <c r="V352" s="75">
        <f>2000+5500+600+200+250</f>
        <v>8550</v>
      </c>
      <c r="W352" s="2">
        <f t="shared" si="148"/>
        <v>78550</v>
      </c>
      <c r="Y352" s="80">
        <f t="shared" si="149"/>
        <v>78550</v>
      </c>
      <c r="Z352" s="93"/>
      <c r="AA352" s="93"/>
      <c r="AB352" s="94"/>
      <c r="AE352" s="2">
        <v>124000</v>
      </c>
      <c r="AF352" s="28">
        <f t="shared" si="143"/>
        <v>124000</v>
      </c>
      <c r="AG352" s="55" t="s">
        <v>125</v>
      </c>
      <c r="AI352" s="20" t="s">
        <v>45</v>
      </c>
      <c r="AJ352" s="2">
        <f t="shared" si="150"/>
        <v>45450</v>
      </c>
      <c r="AN352" s="29">
        <f t="shared" si="151"/>
        <v>0.36653225806451611</v>
      </c>
      <c r="AP352" s="3" t="s">
        <v>29</v>
      </c>
      <c r="AQ352" s="1" t="s">
        <v>190</v>
      </c>
      <c r="AR352" s="31">
        <f t="shared" si="152"/>
        <v>0</v>
      </c>
      <c r="AS352" s="31">
        <f t="shared" si="153"/>
        <v>0</v>
      </c>
      <c r="AT352" s="31">
        <f t="shared" si="165"/>
        <v>0</v>
      </c>
      <c r="AU352" s="31">
        <f t="shared" si="154"/>
        <v>0</v>
      </c>
      <c r="AV352" s="31">
        <f t="shared" si="155"/>
        <v>0</v>
      </c>
      <c r="AW352" s="31">
        <f t="shared" si="156"/>
        <v>0</v>
      </c>
      <c r="AX352" s="31">
        <f t="shared" si="157"/>
        <v>0</v>
      </c>
      <c r="AY352" s="31">
        <f t="shared" si="158"/>
        <v>0</v>
      </c>
      <c r="AZ352" s="31">
        <f t="shared" si="159"/>
        <v>0</v>
      </c>
      <c r="BA352" s="31">
        <f t="shared" si="160"/>
        <v>0</v>
      </c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35"/>
      <c r="CW352" s="35"/>
      <c r="CX352" s="35"/>
      <c r="CY352" s="35"/>
      <c r="CZ352" s="35"/>
      <c r="DA352" s="35"/>
      <c r="DB352" s="35"/>
      <c r="DC352" s="35"/>
      <c r="DD352" s="40"/>
      <c r="DE352" s="40"/>
      <c r="DF352" s="40"/>
      <c r="DG352" s="40"/>
      <c r="DH352" s="40"/>
      <c r="DI352" s="40"/>
      <c r="DJ352" s="40"/>
      <c r="DK352" s="40"/>
      <c r="DL352" s="35"/>
      <c r="DM352" s="35"/>
      <c r="DN352" s="35"/>
      <c r="DO352" s="35"/>
      <c r="DP352" s="35"/>
      <c r="DQ352" s="35"/>
      <c r="DR352" s="35"/>
      <c r="DS352" s="35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40"/>
      <c r="ES352" s="40"/>
      <c r="ET352" s="40"/>
      <c r="EU352" s="40"/>
      <c r="EV352" s="40"/>
      <c r="EW352" s="40"/>
      <c r="EX352" s="40"/>
      <c r="EY352" s="40"/>
      <c r="EZ352" s="35"/>
      <c r="FA352" s="35"/>
      <c r="FB352" s="35"/>
      <c r="FC352" s="35"/>
      <c r="FD352" s="35"/>
      <c r="FE352" s="35"/>
      <c r="FF352" s="35"/>
      <c r="FG352" s="35"/>
    </row>
    <row r="353" spans="1:163">
      <c r="A353" s="62">
        <v>293</v>
      </c>
      <c r="E353" s="63" t="s">
        <v>214</v>
      </c>
      <c r="F353" s="56" t="s">
        <v>95</v>
      </c>
      <c r="G353" s="65" t="s">
        <v>667</v>
      </c>
      <c r="H353" s="66" t="str">
        <f t="shared" si="146"/>
        <v xml:space="preserve"> 109</v>
      </c>
      <c r="I353" s="67" t="s">
        <v>667</v>
      </c>
      <c r="J353" s="68">
        <f t="shared" si="147"/>
        <v>0</v>
      </c>
      <c r="K353" s="63" t="s">
        <v>294</v>
      </c>
      <c r="L353" s="1" t="s">
        <v>46</v>
      </c>
      <c r="O353" s="88" t="s">
        <v>790</v>
      </c>
      <c r="P353" s="89">
        <v>0</v>
      </c>
      <c r="Q353" s="90">
        <f t="shared" si="161"/>
        <v>0</v>
      </c>
      <c r="R353" s="71"/>
      <c r="S353" s="72">
        <f t="shared" si="163"/>
        <v>0</v>
      </c>
      <c r="T353" s="68"/>
      <c r="U353" s="73">
        <f t="shared" si="164"/>
        <v>0</v>
      </c>
      <c r="V353" s="75"/>
      <c r="W353" s="2">
        <f t="shared" si="148"/>
        <v>0</v>
      </c>
      <c r="Y353" s="81">
        <f t="shared" si="149"/>
        <v>0</v>
      </c>
      <c r="Z353" s="96">
        <v>0</v>
      </c>
      <c r="AA353" s="97">
        <f>U353-Z353</f>
        <v>0</v>
      </c>
      <c r="AB353" s="98" t="e">
        <f>AA353/Z353</f>
        <v>#DIV/0!</v>
      </c>
      <c r="AE353" s="2">
        <v>124000</v>
      </c>
      <c r="AF353" s="28">
        <f t="shared" si="143"/>
        <v>0</v>
      </c>
      <c r="AG353" s="55" t="s">
        <v>125</v>
      </c>
      <c r="AI353" s="20" t="s">
        <v>45</v>
      </c>
      <c r="AJ353" s="2">
        <f t="shared" si="150"/>
        <v>0</v>
      </c>
      <c r="AN353" s="29" t="e">
        <f t="shared" si="151"/>
        <v>#DIV/0!</v>
      </c>
      <c r="AP353" s="3" t="s">
        <v>29</v>
      </c>
      <c r="AQ353" s="1" t="s">
        <v>190</v>
      </c>
      <c r="AR353" s="31">
        <f t="shared" si="152"/>
        <v>0</v>
      </c>
      <c r="AS353" s="31">
        <f t="shared" si="153"/>
        <v>0</v>
      </c>
      <c r="AT353" s="31">
        <f t="shared" si="165"/>
        <v>0</v>
      </c>
      <c r="AU353" s="31">
        <f t="shared" si="154"/>
        <v>0</v>
      </c>
      <c r="AV353" s="31">
        <f t="shared" si="155"/>
        <v>0</v>
      </c>
      <c r="AW353" s="31">
        <f t="shared" si="156"/>
        <v>0</v>
      </c>
      <c r="AX353" s="31">
        <f t="shared" si="157"/>
        <v>0</v>
      </c>
      <c r="AY353" s="31">
        <f t="shared" si="158"/>
        <v>0</v>
      </c>
      <c r="AZ353" s="31">
        <f t="shared" si="159"/>
        <v>0</v>
      </c>
      <c r="BA353" s="31">
        <f t="shared" si="160"/>
        <v>0</v>
      </c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35"/>
      <c r="CW353" s="35"/>
      <c r="CX353" s="35"/>
      <c r="CY353" s="35"/>
      <c r="CZ353" s="35"/>
      <c r="DA353" s="35"/>
      <c r="DB353" s="35"/>
      <c r="DC353" s="35"/>
      <c r="DD353" s="40"/>
      <c r="DE353" s="40"/>
      <c r="DF353" s="40"/>
      <c r="DG353" s="40"/>
      <c r="DH353" s="40"/>
      <c r="DI353" s="40"/>
      <c r="DJ353" s="40"/>
      <c r="DK353" s="40"/>
      <c r="DL353" s="35"/>
      <c r="DM353" s="35"/>
      <c r="DN353" s="35"/>
      <c r="DO353" s="35"/>
      <c r="DP353" s="35"/>
      <c r="DQ353" s="35"/>
      <c r="DR353" s="35"/>
      <c r="DS353" s="35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40"/>
      <c r="ES353" s="40"/>
      <c r="ET353" s="40"/>
      <c r="EU353" s="40"/>
      <c r="EV353" s="40"/>
      <c r="EW353" s="40"/>
      <c r="EX353" s="40"/>
      <c r="EY353" s="40"/>
      <c r="EZ353" s="35"/>
      <c r="FA353" s="35"/>
      <c r="FB353" s="35"/>
      <c r="FC353" s="35"/>
      <c r="FD353" s="35"/>
      <c r="FE353" s="35"/>
      <c r="FF353" s="35"/>
      <c r="FG353" s="35"/>
    </row>
    <row r="354" spans="1:163">
      <c r="A354" s="62">
        <v>353</v>
      </c>
      <c r="E354" s="63" t="s">
        <v>226</v>
      </c>
      <c r="F354" s="56" t="s">
        <v>85</v>
      </c>
      <c r="G354" s="65" t="s">
        <v>175</v>
      </c>
      <c r="H354" s="66" t="str">
        <f t="shared" si="146"/>
        <v xml:space="preserve"> 201</v>
      </c>
      <c r="I354" s="67" t="s">
        <v>175</v>
      </c>
      <c r="J354" s="68">
        <f t="shared" si="147"/>
        <v>0</v>
      </c>
      <c r="K354" s="63" t="s">
        <v>294</v>
      </c>
      <c r="L354" s="1" t="s">
        <v>46</v>
      </c>
      <c r="O354" s="88" t="s">
        <v>790</v>
      </c>
      <c r="P354" s="89">
        <v>0</v>
      </c>
      <c r="Q354" s="90">
        <f t="shared" si="161"/>
        <v>66500</v>
      </c>
      <c r="R354" s="71">
        <v>66500</v>
      </c>
      <c r="S354" s="72">
        <f t="shared" si="163"/>
        <v>9750</v>
      </c>
      <c r="T354" s="68" t="s">
        <v>791</v>
      </c>
      <c r="U354" s="73">
        <f t="shared" si="164"/>
        <v>56750</v>
      </c>
      <c r="V354" s="75">
        <f>2000+5200+600+200+250+500+1000</f>
        <v>9750</v>
      </c>
      <c r="W354" s="2">
        <f t="shared" si="148"/>
        <v>66500</v>
      </c>
      <c r="Y354" s="81">
        <f t="shared" si="149"/>
        <v>66500</v>
      </c>
      <c r="Z354" s="96">
        <v>0</v>
      </c>
      <c r="AA354" s="97">
        <f>U354-Z354</f>
        <v>56750</v>
      </c>
      <c r="AB354" s="98" t="e">
        <f>AA354/Z354</f>
        <v>#DIV/0!</v>
      </c>
      <c r="AE354" s="2">
        <v>95000</v>
      </c>
      <c r="AF354" s="28">
        <f t="shared" si="143"/>
        <v>0</v>
      </c>
      <c r="AG354" s="55" t="s">
        <v>125</v>
      </c>
      <c r="AI354" s="20" t="s">
        <v>45</v>
      </c>
      <c r="AJ354" s="2">
        <f t="shared" si="150"/>
        <v>-66500</v>
      </c>
      <c r="AN354" s="29" t="e">
        <f t="shared" si="151"/>
        <v>#DIV/0!</v>
      </c>
      <c r="AP354" s="3" t="s">
        <v>29</v>
      </c>
      <c r="AQ354" s="1" t="s">
        <v>203</v>
      </c>
      <c r="AR354" s="31">
        <f t="shared" si="152"/>
        <v>0</v>
      </c>
      <c r="AS354" s="31">
        <f t="shared" si="153"/>
        <v>0</v>
      </c>
      <c r="AT354" s="31">
        <f t="shared" si="165"/>
        <v>0</v>
      </c>
      <c r="AU354" s="31">
        <f t="shared" si="154"/>
        <v>0</v>
      </c>
      <c r="AV354" s="31">
        <f t="shared" si="155"/>
        <v>0</v>
      </c>
      <c r="AW354" s="31">
        <f t="shared" si="156"/>
        <v>0</v>
      </c>
      <c r="AX354" s="31">
        <f t="shared" si="157"/>
        <v>0</v>
      </c>
      <c r="AY354" s="31">
        <f t="shared" si="158"/>
        <v>0</v>
      </c>
      <c r="AZ354" s="31">
        <f t="shared" si="159"/>
        <v>0</v>
      </c>
      <c r="BA354" s="31">
        <f t="shared" si="160"/>
        <v>0</v>
      </c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35"/>
      <c r="CW354" s="35"/>
      <c r="CX354" s="35"/>
      <c r="CY354" s="35"/>
      <c r="CZ354" s="35"/>
      <c r="DA354" s="35"/>
      <c r="DB354" s="35"/>
      <c r="DC354" s="35"/>
      <c r="DD354" s="40"/>
      <c r="DE354" s="40"/>
      <c r="DF354" s="40"/>
      <c r="DG354" s="40"/>
      <c r="DH354" s="40"/>
      <c r="DI354" s="40"/>
      <c r="DJ354" s="40"/>
      <c r="DK354" s="40"/>
      <c r="DL354" s="35"/>
      <c r="DM354" s="35"/>
      <c r="DN354" s="35"/>
      <c r="DO354" s="35"/>
      <c r="DP354" s="35"/>
      <c r="DQ354" s="35"/>
      <c r="DR354" s="35"/>
      <c r="DS354" s="35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40"/>
      <c r="ES354" s="40"/>
      <c r="ET354" s="40"/>
      <c r="EU354" s="40"/>
      <c r="EV354" s="40"/>
      <c r="EW354" s="40"/>
      <c r="EX354" s="40"/>
      <c r="EY354" s="40"/>
    </row>
    <row r="355" spans="1:163">
      <c r="A355" s="62">
        <v>354</v>
      </c>
      <c r="E355" s="63" t="s">
        <v>226</v>
      </c>
      <c r="F355" s="56" t="s">
        <v>85</v>
      </c>
      <c r="G355" s="65" t="s">
        <v>723</v>
      </c>
      <c r="H355" s="66" t="str">
        <f t="shared" si="146"/>
        <v xml:space="preserve"> 725</v>
      </c>
      <c r="I355" s="67" t="s">
        <v>723</v>
      </c>
      <c r="J355" s="68">
        <f t="shared" si="147"/>
        <v>0</v>
      </c>
      <c r="K355" s="63" t="s">
        <v>368</v>
      </c>
      <c r="L355" s="1" t="s">
        <v>46</v>
      </c>
      <c r="O355" s="64" t="s">
        <v>789</v>
      </c>
      <c r="P355" s="82">
        <v>0</v>
      </c>
      <c r="Q355" s="74">
        <f t="shared" si="161"/>
        <v>67000</v>
      </c>
      <c r="R355" s="71">
        <v>67000</v>
      </c>
      <c r="S355" s="72">
        <f t="shared" si="163"/>
        <v>9250</v>
      </c>
      <c r="T355" s="68" t="s">
        <v>791</v>
      </c>
      <c r="U355" s="73">
        <f t="shared" si="164"/>
        <v>57750</v>
      </c>
      <c r="V355" s="73">
        <f>2000+5200+600+200+250+1000</f>
        <v>9250</v>
      </c>
      <c r="W355" s="2">
        <f t="shared" si="148"/>
        <v>67000</v>
      </c>
      <c r="Y355" s="80">
        <f t="shared" si="149"/>
        <v>67000</v>
      </c>
      <c r="Z355" s="93"/>
      <c r="AA355" s="93"/>
      <c r="AB355" s="94"/>
      <c r="AC355" s="2">
        <v>3000</v>
      </c>
      <c r="AD355" s="2">
        <f>Z355+AC355</f>
        <v>3000</v>
      </c>
      <c r="AF355" s="28">
        <f t="shared" si="143"/>
        <v>0</v>
      </c>
      <c r="AG355" s="55" t="s">
        <v>125</v>
      </c>
      <c r="AI355" s="20" t="s">
        <v>45</v>
      </c>
      <c r="AJ355" s="2">
        <f t="shared" si="150"/>
        <v>-67000</v>
      </c>
      <c r="AN355" s="29" t="e">
        <f t="shared" si="151"/>
        <v>#DIV/0!</v>
      </c>
      <c r="AO355" s="29" t="e">
        <f>AN355-AB355</f>
        <v>#DIV/0!</v>
      </c>
      <c r="AP355" s="3" t="s">
        <v>29</v>
      </c>
      <c r="AQ355" s="1" t="s">
        <v>203</v>
      </c>
      <c r="AR355" s="31">
        <f t="shared" si="152"/>
        <v>0</v>
      </c>
      <c r="AS355" s="31">
        <f t="shared" si="153"/>
        <v>0</v>
      </c>
      <c r="AT355" s="31">
        <f t="shared" si="165"/>
        <v>0</v>
      </c>
      <c r="AU355" s="31">
        <f t="shared" si="154"/>
        <v>0</v>
      </c>
      <c r="AV355" s="31">
        <f t="shared" si="155"/>
        <v>0</v>
      </c>
      <c r="AW355" s="31">
        <f t="shared" si="156"/>
        <v>0</v>
      </c>
      <c r="AX355" s="31">
        <f t="shared" si="157"/>
        <v>0</v>
      </c>
      <c r="AY355" s="31">
        <f t="shared" si="158"/>
        <v>0</v>
      </c>
      <c r="AZ355" s="31">
        <f t="shared" si="159"/>
        <v>0</v>
      </c>
      <c r="BA355" s="31">
        <f t="shared" si="160"/>
        <v>0</v>
      </c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35"/>
      <c r="CW355" s="35"/>
      <c r="CX355" s="35"/>
      <c r="CY355" s="35"/>
      <c r="CZ355" s="35"/>
      <c r="DA355" s="35"/>
      <c r="DB355" s="35"/>
      <c r="DC355" s="35"/>
      <c r="DD355" s="40"/>
      <c r="DE355" s="40"/>
      <c r="DF355" s="40"/>
      <c r="DG355" s="40"/>
      <c r="DH355" s="40"/>
      <c r="DI355" s="40"/>
      <c r="DJ355" s="40"/>
      <c r="DK355" s="40"/>
      <c r="DL355" s="35"/>
      <c r="DM355" s="35"/>
      <c r="DN355" s="35"/>
      <c r="DO355" s="35"/>
      <c r="DP355" s="35"/>
      <c r="DQ355" s="35"/>
      <c r="DR355" s="35"/>
      <c r="DS355" s="35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40"/>
      <c r="ES355" s="40"/>
      <c r="ET355" s="40"/>
      <c r="EU355" s="40"/>
      <c r="EV355" s="40"/>
      <c r="EW355" s="40"/>
      <c r="EX355" s="40"/>
      <c r="EY355" s="40"/>
    </row>
    <row r="356" spans="1:163">
      <c r="A356" s="62">
        <v>404</v>
      </c>
      <c r="E356" s="63" t="s">
        <v>233</v>
      </c>
      <c r="F356" s="56" t="s">
        <v>88</v>
      </c>
      <c r="G356" s="70" t="s">
        <v>772</v>
      </c>
      <c r="H356" s="66" t="str">
        <f t="shared" si="146"/>
        <v xml:space="preserve"> 480</v>
      </c>
      <c r="I356" s="67" t="s">
        <v>772</v>
      </c>
      <c r="J356" s="68">
        <f t="shared" si="147"/>
        <v>0</v>
      </c>
      <c r="K356" s="63" t="s">
        <v>383</v>
      </c>
      <c r="L356" s="1" t="s">
        <v>46</v>
      </c>
      <c r="O356" s="64" t="s">
        <v>789</v>
      </c>
      <c r="P356" s="82">
        <v>0</v>
      </c>
      <c r="Q356" s="74">
        <f t="shared" si="161"/>
        <v>60000</v>
      </c>
      <c r="R356" s="71">
        <v>60000</v>
      </c>
      <c r="S356" s="72">
        <f t="shared" si="163"/>
        <v>7900</v>
      </c>
      <c r="T356" s="68" t="s">
        <v>791</v>
      </c>
      <c r="U356" s="73">
        <f t="shared" si="164"/>
        <v>52100</v>
      </c>
      <c r="V356" s="73">
        <f>2000+4850+600+200+250</f>
        <v>7900</v>
      </c>
      <c r="W356" s="2">
        <f t="shared" si="148"/>
        <v>60000</v>
      </c>
      <c r="Y356" s="80">
        <f t="shared" si="149"/>
        <v>60000</v>
      </c>
      <c r="Z356" s="93"/>
      <c r="AA356" s="93"/>
      <c r="AB356" s="94"/>
      <c r="AE356" s="2">
        <v>87000</v>
      </c>
      <c r="AF356" s="28">
        <f t="shared" si="143"/>
        <v>87000</v>
      </c>
      <c r="AG356" s="55" t="s">
        <v>125</v>
      </c>
      <c r="AI356" s="20" t="s">
        <v>206</v>
      </c>
      <c r="AJ356" s="2">
        <f t="shared" si="150"/>
        <v>27000</v>
      </c>
      <c r="AN356" s="29">
        <f t="shared" si="151"/>
        <v>0.31034482758620691</v>
      </c>
      <c r="AP356" s="3" t="s">
        <v>140</v>
      </c>
      <c r="AQ356" s="1" t="s">
        <v>199</v>
      </c>
      <c r="AR356" s="31">
        <f t="shared" si="152"/>
        <v>0</v>
      </c>
      <c r="AS356" s="31">
        <f t="shared" si="153"/>
        <v>0</v>
      </c>
      <c r="AT356" s="31">
        <f t="shared" si="165"/>
        <v>0</v>
      </c>
      <c r="AU356" s="31">
        <f t="shared" si="154"/>
        <v>0</v>
      </c>
      <c r="AV356" s="31">
        <f t="shared" si="155"/>
        <v>0</v>
      </c>
      <c r="AW356" s="31">
        <f t="shared" si="156"/>
        <v>0</v>
      </c>
      <c r="AX356" s="31">
        <f t="shared" si="157"/>
        <v>0</v>
      </c>
      <c r="AY356" s="31">
        <f t="shared" si="158"/>
        <v>0</v>
      </c>
      <c r="AZ356" s="31">
        <f t="shared" si="159"/>
        <v>0</v>
      </c>
      <c r="BA356" s="31">
        <f t="shared" si="160"/>
        <v>0</v>
      </c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35"/>
      <c r="CW356" s="35"/>
      <c r="CX356" s="35"/>
      <c r="CY356" s="35"/>
      <c r="CZ356" s="35"/>
      <c r="DA356" s="35"/>
      <c r="DB356" s="35"/>
      <c r="DC356" s="35"/>
      <c r="DD356" s="40"/>
      <c r="DE356" s="40"/>
      <c r="DF356" s="40"/>
      <c r="DG356" s="40"/>
      <c r="DH356" s="40"/>
      <c r="DI356" s="40"/>
      <c r="DJ356" s="40"/>
      <c r="DK356" s="40"/>
      <c r="DL356" s="35"/>
      <c r="DM356" s="35"/>
      <c r="DN356" s="35"/>
      <c r="DO356" s="35"/>
      <c r="DP356" s="35"/>
      <c r="DQ356" s="35"/>
      <c r="DR356" s="35"/>
      <c r="DS356" s="35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40"/>
      <c r="ES356" s="40"/>
      <c r="ET356" s="40"/>
      <c r="EU356" s="40"/>
      <c r="EV356" s="40"/>
      <c r="EW356" s="40"/>
      <c r="EX356" s="40"/>
      <c r="EY356" s="40"/>
      <c r="EZ356" s="35"/>
      <c r="FA356" s="35"/>
      <c r="FB356" s="35"/>
      <c r="FC356" s="35"/>
      <c r="FD356" s="35"/>
      <c r="FE356" s="35"/>
      <c r="FF356" s="35"/>
      <c r="FG356" s="35"/>
    </row>
    <row r="357" spans="1:163">
      <c r="A357" s="62">
        <v>415</v>
      </c>
      <c r="E357" s="63" t="s">
        <v>233</v>
      </c>
      <c r="F357" s="56" t="s">
        <v>82</v>
      </c>
      <c r="G357" s="70" t="s">
        <v>783</v>
      </c>
      <c r="H357" s="66" t="str">
        <f t="shared" si="146"/>
        <v xml:space="preserve"> 107</v>
      </c>
      <c r="I357" s="67" t="s">
        <v>783</v>
      </c>
      <c r="J357" s="68">
        <f t="shared" si="147"/>
        <v>0</v>
      </c>
      <c r="K357" s="63" t="s">
        <v>383</v>
      </c>
      <c r="L357" s="1" t="s">
        <v>46</v>
      </c>
      <c r="O357" s="88" t="s">
        <v>790</v>
      </c>
      <c r="P357" s="89">
        <v>0</v>
      </c>
      <c r="Q357" s="90">
        <f t="shared" si="161"/>
        <v>58000</v>
      </c>
      <c r="R357" s="71">
        <v>58000</v>
      </c>
      <c r="S357" s="72">
        <f t="shared" si="163"/>
        <v>7900</v>
      </c>
      <c r="T357" s="68" t="s">
        <v>791</v>
      </c>
      <c r="U357" s="73">
        <f t="shared" si="164"/>
        <v>50100</v>
      </c>
      <c r="V357" s="73">
        <f>2000+4850+600+200+250</f>
        <v>7900</v>
      </c>
      <c r="W357" s="2">
        <f t="shared" si="148"/>
        <v>58000</v>
      </c>
      <c r="Y357" s="81">
        <f t="shared" si="149"/>
        <v>58000</v>
      </c>
      <c r="Z357" s="96">
        <v>0</v>
      </c>
      <c r="AA357" s="97">
        <f>U357-Z357</f>
        <v>50100</v>
      </c>
      <c r="AB357" s="98" t="e">
        <f>AA357/Z357</f>
        <v>#DIV/0!</v>
      </c>
      <c r="AE357" s="2">
        <v>77000</v>
      </c>
      <c r="AF357" s="28">
        <f t="shared" si="143"/>
        <v>0</v>
      </c>
      <c r="AG357" s="55" t="s">
        <v>125</v>
      </c>
      <c r="AI357" s="20" t="s">
        <v>205</v>
      </c>
      <c r="AJ357" s="2">
        <f t="shared" si="150"/>
        <v>-58000</v>
      </c>
      <c r="AN357" s="29" t="e">
        <f t="shared" si="151"/>
        <v>#DIV/0!</v>
      </c>
      <c r="AP357" s="3" t="s">
        <v>140</v>
      </c>
      <c r="AQ357" s="1" t="s">
        <v>198</v>
      </c>
      <c r="AR357" s="31">
        <f t="shared" si="152"/>
        <v>0</v>
      </c>
      <c r="AS357" s="31">
        <f t="shared" si="153"/>
        <v>0</v>
      </c>
      <c r="AT357" s="31">
        <f t="shared" si="165"/>
        <v>0</v>
      </c>
      <c r="AU357" s="31">
        <f t="shared" si="154"/>
        <v>0</v>
      </c>
      <c r="AV357" s="31">
        <f t="shared" si="155"/>
        <v>0</v>
      </c>
      <c r="AW357" s="31">
        <f t="shared" si="156"/>
        <v>0</v>
      </c>
      <c r="AX357" s="31">
        <f t="shared" si="157"/>
        <v>0</v>
      </c>
      <c r="AY357" s="31">
        <f t="shared" si="158"/>
        <v>0</v>
      </c>
      <c r="AZ357" s="31">
        <f t="shared" si="159"/>
        <v>0</v>
      </c>
      <c r="BA357" s="31">
        <f t="shared" si="160"/>
        <v>0</v>
      </c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35"/>
      <c r="CW357" s="35"/>
      <c r="CX357" s="35"/>
      <c r="CY357" s="35"/>
      <c r="CZ357" s="35"/>
      <c r="DA357" s="35"/>
      <c r="DB357" s="35"/>
      <c r="DC357" s="35"/>
      <c r="DD357" s="40"/>
      <c r="DE357" s="40"/>
      <c r="DF357" s="40"/>
      <c r="DG357" s="40"/>
      <c r="DH357" s="40"/>
      <c r="DI357" s="40"/>
      <c r="DJ357" s="40"/>
      <c r="DK357" s="40"/>
      <c r="DL357" s="36"/>
      <c r="DM357" s="36"/>
      <c r="DN357" s="36"/>
      <c r="DO357" s="36"/>
      <c r="DP357" s="36"/>
      <c r="DQ357" s="36"/>
      <c r="DR357" s="36"/>
      <c r="DS357" s="36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40"/>
      <c r="ES357" s="40"/>
      <c r="ET357" s="40"/>
      <c r="EU357" s="40"/>
      <c r="EV357" s="40"/>
      <c r="EW357" s="40"/>
      <c r="EX357" s="40"/>
      <c r="EY357" s="40"/>
      <c r="EZ357" s="35"/>
      <c r="FA357" s="35"/>
      <c r="FB357" s="35"/>
      <c r="FC357" s="35"/>
      <c r="FD357" s="35"/>
      <c r="FE357" s="35"/>
      <c r="FF357" s="35"/>
      <c r="FG357" s="35"/>
    </row>
    <row r="358" spans="1:163">
      <c r="A358" s="62">
        <v>414</v>
      </c>
      <c r="E358" s="63" t="s">
        <v>233</v>
      </c>
      <c r="F358" s="56" t="s">
        <v>82</v>
      </c>
      <c r="G358" s="70" t="s">
        <v>782</v>
      </c>
      <c r="H358" s="66" t="str">
        <f t="shared" si="146"/>
        <v xml:space="preserve"> 832</v>
      </c>
      <c r="I358" s="67" t="s">
        <v>782</v>
      </c>
      <c r="J358" s="68">
        <f t="shared" si="147"/>
        <v>0</v>
      </c>
      <c r="K358" s="63" t="s">
        <v>383</v>
      </c>
      <c r="L358" s="1" t="s">
        <v>46</v>
      </c>
      <c r="O358" s="88" t="s">
        <v>790</v>
      </c>
      <c r="P358" s="89">
        <v>0</v>
      </c>
      <c r="Q358" s="90">
        <f t="shared" si="161"/>
        <v>58500</v>
      </c>
      <c r="R358" s="71">
        <v>58500</v>
      </c>
      <c r="S358" s="72">
        <f t="shared" si="163"/>
        <v>7900</v>
      </c>
      <c r="T358" s="68" t="s">
        <v>791</v>
      </c>
      <c r="U358" s="73">
        <f t="shared" si="164"/>
        <v>50600</v>
      </c>
      <c r="V358" s="73">
        <f>2000+4850+600+200+250</f>
        <v>7900</v>
      </c>
      <c r="W358" s="2">
        <f t="shared" si="148"/>
        <v>58500</v>
      </c>
      <c r="Y358" s="81">
        <f t="shared" si="149"/>
        <v>58500</v>
      </c>
      <c r="Z358" s="96">
        <v>0</v>
      </c>
      <c r="AA358" s="97">
        <f>U358-Z358</f>
        <v>50600</v>
      </c>
      <c r="AB358" s="98" t="e">
        <f>AA358/Z358</f>
        <v>#DIV/0!</v>
      </c>
      <c r="AC358" s="2">
        <v>5000</v>
      </c>
      <c r="AD358" s="2">
        <f>Z358+AC358</f>
        <v>5000</v>
      </c>
      <c r="AF358" s="28">
        <f t="shared" si="143"/>
        <v>5000</v>
      </c>
      <c r="AG358" s="55" t="s">
        <v>125</v>
      </c>
      <c r="AI358" s="20" t="s">
        <v>205</v>
      </c>
      <c r="AJ358" s="2">
        <f t="shared" si="150"/>
        <v>-53500</v>
      </c>
      <c r="AN358" s="29">
        <f t="shared" si="151"/>
        <v>-10.7</v>
      </c>
      <c r="AO358" s="29" t="e">
        <f>AN358-AB358</f>
        <v>#DIV/0!</v>
      </c>
      <c r="AP358" s="3" t="s">
        <v>140</v>
      </c>
      <c r="AQ358" s="1" t="s">
        <v>198</v>
      </c>
      <c r="AR358" s="31">
        <f t="shared" si="152"/>
        <v>0</v>
      </c>
      <c r="AS358" s="31">
        <f t="shared" si="153"/>
        <v>0</v>
      </c>
      <c r="AT358" s="31">
        <f t="shared" si="165"/>
        <v>0</v>
      </c>
      <c r="AU358" s="31">
        <f t="shared" si="154"/>
        <v>0</v>
      </c>
      <c r="AV358" s="31">
        <f t="shared" si="155"/>
        <v>0</v>
      </c>
      <c r="AW358" s="31">
        <f t="shared" si="156"/>
        <v>0</v>
      </c>
      <c r="AX358" s="31">
        <f t="shared" si="157"/>
        <v>0</v>
      </c>
      <c r="AY358" s="31">
        <f t="shared" si="158"/>
        <v>0</v>
      </c>
      <c r="AZ358" s="31">
        <f t="shared" si="159"/>
        <v>0</v>
      </c>
      <c r="BA358" s="31">
        <f t="shared" si="160"/>
        <v>0</v>
      </c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35"/>
      <c r="CW358" s="35"/>
      <c r="CX358" s="35"/>
      <c r="CY358" s="35"/>
      <c r="CZ358" s="35"/>
      <c r="DA358" s="35"/>
      <c r="DB358" s="35"/>
      <c r="DC358" s="35"/>
      <c r="DD358" s="40"/>
      <c r="DE358" s="40"/>
      <c r="DF358" s="40"/>
      <c r="DG358" s="40"/>
      <c r="DH358" s="40"/>
      <c r="DI358" s="40"/>
      <c r="DJ358" s="40"/>
      <c r="DK358" s="40"/>
      <c r="DL358" s="36"/>
      <c r="DM358" s="36"/>
      <c r="DN358" s="36"/>
      <c r="DO358" s="36"/>
      <c r="DP358" s="36"/>
      <c r="DQ358" s="36"/>
      <c r="DR358" s="36"/>
      <c r="DS358" s="36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40"/>
      <c r="ES358" s="40"/>
      <c r="ET358" s="40"/>
      <c r="EU358" s="40"/>
      <c r="EV358" s="40"/>
      <c r="EW358" s="40"/>
      <c r="EX358" s="40"/>
      <c r="EY358" s="40"/>
      <c r="EZ358" s="35"/>
      <c r="FA358" s="35"/>
      <c r="FB358" s="35"/>
      <c r="FC358" s="35"/>
      <c r="FD358" s="35"/>
      <c r="FE358" s="35"/>
      <c r="FF358" s="35"/>
      <c r="FG358" s="35"/>
    </row>
    <row r="359" spans="1:163">
      <c r="A359" s="60">
        <v>1</v>
      </c>
      <c r="E359" s="63" t="s">
        <v>113</v>
      </c>
      <c r="F359" s="56" t="s">
        <v>115</v>
      </c>
      <c r="G359" s="65" t="s">
        <v>236</v>
      </c>
      <c r="H359" s="66" t="str">
        <f t="shared" si="146"/>
        <v xml:space="preserve"> 628</v>
      </c>
      <c r="I359" s="67" t="s">
        <v>236</v>
      </c>
      <c r="J359" s="68">
        <f t="shared" si="147"/>
        <v>0</v>
      </c>
      <c r="K359" s="63" t="s">
        <v>240</v>
      </c>
      <c r="L359" s="1" t="s">
        <v>46</v>
      </c>
      <c r="O359" s="64" t="s">
        <v>789</v>
      </c>
      <c r="P359" s="82">
        <v>0</v>
      </c>
      <c r="Q359" s="74">
        <f t="shared" si="161"/>
        <v>76500</v>
      </c>
      <c r="R359" s="71">
        <v>76500</v>
      </c>
      <c r="S359" s="72">
        <f t="shared" si="163"/>
        <v>8250</v>
      </c>
      <c r="T359" s="68" t="s">
        <v>791</v>
      </c>
      <c r="U359" s="73">
        <f t="shared" si="164"/>
        <v>68250</v>
      </c>
      <c r="V359" s="73">
        <f>2000+5200+600+200+250</f>
        <v>8250</v>
      </c>
      <c r="W359" s="2">
        <f t="shared" si="148"/>
        <v>76500</v>
      </c>
      <c r="Y359" s="80">
        <f t="shared" si="149"/>
        <v>76500</v>
      </c>
      <c r="Z359" s="91"/>
      <c r="AA359" s="91"/>
      <c r="AB359" s="91"/>
      <c r="AE359" s="2">
        <v>115000</v>
      </c>
      <c r="AF359" s="28">
        <f t="shared" si="143"/>
        <v>115000</v>
      </c>
      <c r="AG359" s="55" t="s">
        <v>125</v>
      </c>
      <c r="AI359" s="20" t="s">
        <v>45</v>
      </c>
      <c r="AJ359" s="2">
        <f t="shared" si="150"/>
        <v>38500</v>
      </c>
      <c r="AN359" s="29">
        <f t="shared" si="151"/>
        <v>0.33478260869565218</v>
      </c>
      <c r="AP359" s="3" t="s">
        <v>140</v>
      </c>
      <c r="AQ359" s="1" t="s">
        <v>151</v>
      </c>
      <c r="AR359" s="31">
        <f t="shared" si="152"/>
        <v>0</v>
      </c>
      <c r="AS359" s="31">
        <f t="shared" si="153"/>
        <v>0</v>
      </c>
      <c r="AT359" s="31">
        <f t="shared" si="165"/>
        <v>0</v>
      </c>
      <c r="AU359" s="31">
        <f t="shared" si="154"/>
        <v>7540</v>
      </c>
      <c r="AV359" s="31">
        <f t="shared" si="155"/>
        <v>0</v>
      </c>
      <c r="AW359" s="31">
        <f t="shared" si="156"/>
        <v>0</v>
      </c>
      <c r="AX359" s="31">
        <f t="shared" si="157"/>
        <v>9653</v>
      </c>
      <c r="AY359" s="31">
        <f t="shared" si="158"/>
        <v>9153</v>
      </c>
      <c r="AZ359" s="31">
        <f t="shared" si="159"/>
        <v>0</v>
      </c>
      <c r="BA359" s="31">
        <f t="shared" si="160"/>
        <v>0</v>
      </c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41"/>
      <c r="BM359" s="41"/>
      <c r="BN359" s="41"/>
      <c r="BO359" s="37"/>
      <c r="BP359" s="38"/>
      <c r="BQ359" s="37"/>
      <c r="BR359" s="40"/>
      <c r="BS359" s="39"/>
      <c r="BT359" s="39"/>
      <c r="BU359" s="39"/>
      <c r="BV359" s="39"/>
      <c r="BW359" s="39"/>
      <c r="BX359" s="36"/>
      <c r="BY359" s="33"/>
      <c r="BZ359" s="33"/>
      <c r="CA359" s="33"/>
      <c r="CB359" s="34"/>
      <c r="CC359" s="33"/>
      <c r="CD359" s="35"/>
      <c r="CE359" s="48"/>
      <c r="CF359" s="48"/>
      <c r="CG359" s="48"/>
      <c r="CH359" s="48"/>
      <c r="CI359" s="48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35"/>
      <c r="CW359" s="35"/>
      <c r="CX359" s="35"/>
      <c r="CY359" s="35"/>
      <c r="CZ359" s="35"/>
      <c r="DA359" s="35"/>
      <c r="DB359" s="35"/>
      <c r="DC359" s="35"/>
      <c r="DD359" s="41">
        <v>107460</v>
      </c>
      <c r="DE359" s="37">
        <f>DD359-Y359</f>
        <v>30960</v>
      </c>
      <c r="DF359" s="38">
        <f>DE359/DD359</f>
        <v>0.28810720268006701</v>
      </c>
      <c r="DG359" s="37">
        <f>AF359-DD359</f>
        <v>7540</v>
      </c>
      <c r="DH359" s="42" t="s">
        <v>133</v>
      </c>
      <c r="DI359" s="40"/>
      <c r="DJ359" s="40"/>
      <c r="DK359" s="40"/>
      <c r="DL359" s="35"/>
      <c r="DM359" s="35"/>
      <c r="DN359" s="35"/>
      <c r="DO359" s="35"/>
      <c r="DP359" s="35"/>
      <c r="DQ359" s="35"/>
      <c r="DR359" s="35"/>
      <c r="DS359" s="35"/>
      <c r="DT359" s="41">
        <v>102847</v>
      </c>
      <c r="DU359" s="37">
        <v>2500</v>
      </c>
      <c r="DV359" s="41">
        <f>DT359+DU359</f>
        <v>105347</v>
      </c>
      <c r="DW359" s="37">
        <f>DV359-Y359</f>
        <v>28847</v>
      </c>
      <c r="DX359" s="38">
        <f>DW359/DV359</f>
        <v>0.27382839568283862</v>
      </c>
      <c r="DY359" s="37">
        <f>AF359-DV359</f>
        <v>9653</v>
      </c>
      <c r="DZ359" s="40" t="s">
        <v>29</v>
      </c>
      <c r="EA359" s="40"/>
      <c r="EB359" s="40"/>
      <c r="EC359" s="40"/>
      <c r="ED359" s="40"/>
      <c r="EE359" s="40"/>
      <c r="EF359" s="36">
        <v>102847</v>
      </c>
      <c r="EG359" s="33">
        <v>3000</v>
      </c>
      <c r="EH359" s="33">
        <f>EF359+EG359</f>
        <v>105847</v>
      </c>
      <c r="EI359" s="33">
        <f>EH359-Y359</f>
        <v>29347</v>
      </c>
      <c r="EJ359" s="44">
        <f>EI359/EH359</f>
        <v>0.27725868470528214</v>
      </c>
      <c r="EK359" s="45">
        <f>AF359-EH359</f>
        <v>9153</v>
      </c>
      <c r="EL359" s="43" t="s">
        <v>29</v>
      </c>
      <c r="EM359" s="35"/>
      <c r="EN359" s="35"/>
      <c r="EO359" s="35"/>
      <c r="EP359" s="35"/>
      <c r="EQ359" s="35"/>
      <c r="ER359" s="40"/>
      <c r="ES359" s="40"/>
      <c r="ET359" s="40"/>
      <c r="EU359" s="40"/>
      <c r="EV359" s="40"/>
      <c r="EW359" s="40"/>
      <c r="EX359" s="40"/>
      <c r="EY359" s="40"/>
      <c r="EZ359" s="35"/>
      <c r="FA359" s="35"/>
      <c r="FB359" s="35"/>
      <c r="FC359" s="35"/>
      <c r="FD359" s="35"/>
      <c r="FE359" s="35"/>
      <c r="FF359" s="35"/>
      <c r="FG359" s="35"/>
    </row>
    <row r="360" spans="1:163">
      <c r="A360" s="60">
        <v>3</v>
      </c>
      <c r="E360" s="63" t="s">
        <v>113</v>
      </c>
      <c r="F360" s="56" t="s">
        <v>115</v>
      </c>
      <c r="G360" s="65" t="s">
        <v>385</v>
      </c>
      <c r="H360" s="66" t="str">
        <f t="shared" si="146"/>
        <v xml:space="preserve"> 376</v>
      </c>
      <c r="I360" s="67" t="s">
        <v>385</v>
      </c>
      <c r="J360" s="68">
        <f t="shared" si="147"/>
        <v>0</v>
      </c>
      <c r="K360" s="63" t="s">
        <v>240</v>
      </c>
      <c r="L360" s="1" t="s">
        <v>46</v>
      </c>
      <c r="O360" s="64" t="s">
        <v>789</v>
      </c>
      <c r="P360" s="82">
        <v>0</v>
      </c>
      <c r="Q360" s="74">
        <f t="shared" ref="Q360:Q391" si="166">U360+V360</f>
        <v>76500</v>
      </c>
      <c r="R360" s="71">
        <v>76500</v>
      </c>
      <c r="S360" s="72">
        <f t="shared" si="163"/>
        <v>8250</v>
      </c>
      <c r="T360" s="68" t="s">
        <v>791</v>
      </c>
      <c r="U360" s="73">
        <f t="shared" si="164"/>
        <v>68250</v>
      </c>
      <c r="V360" s="73">
        <f>2000+5200+600+200+250</f>
        <v>8250</v>
      </c>
      <c r="W360" s="2">
        <f t="shared" si="148"/>
        <v>76500</v>
      </c>
      <c r="Y360" s="80">
        <f t="shared" si="149"/>
        <v>76500</v>
      </c>
      <c r="Z360" s="91"/>
      <c r="AA360" s="91"/>
      <c r="AB360" s="92"/>
      <c r="AE360" s="2">
        <v>102000</v>
      </c>
      <c r="AF360" s="28">
        <f t="shared" si="143"/>
        <v>102000</v>
      </c>
      <c r="AG360" s="55" t="s">
        <v>125</v>
      </c>
      <c r="AI360" s="20" t="s">
        <v>45</v>
      </c>
      <c r="AJ360" s="2">
        <f t="shared" si="150"/>
        <v>25500</v>
      </c>
      <c r="AN360" s="29">
        <f t="shared" si="151"/>
        <v>0.25</v>
      </c>
      <c r="AP360" s="3" t="s">
        <v>29</v>
      </c>
      <c r="AQ360" s="1" t="s">
        <v>153</v>
      </c>
      <c r="AR360" s="31">
        <f t="shared" si="152"/>
        <v>0</v>
      </c>
      <c r="AS360" s="31">
        <f t="shared" si="153"/>
        <v>0</v>
      </c>
      <c r="AT360" s="31">
        <f t="shared" si="165"/>
        <v>0</v>
      </c>
      <c r="AU360" s="31">
        <f t="shared" si="154"/>
        <v>0</v>
      </c>
      <c r="AV360" s="31">
        <f t="shared" si="155"/>
        <v>0</v>
      </c>
      <c r="AW360" s="31">
        <f t="shared" si="156"/>
        <v>0</v>
      </c>
      <c r="AX360" s="31">
        <f t="shared" si="157"/>
        <v>0</v>
      </c>
      <c r="AY360" s="31">
        <f t="shared" si="158"/>
        <v>0</v>
      </c>
      <c r="AZ360" s="31">
        <f t="shared" si="159"/>
        <v>0</v>
      </c>
      <c r="BA360" s="31">
        <f t="shared" si="160"/>
        <v>0</v>
      </c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41"/>
      <c r="BM360" s="41"/>
      <c r="BN360" s="41"/>
      <c r="BO360" s="37"/>
      <c r="BP360" s="38"/>
      <c r="BQ360" s="37"/>
      <c r="BR360" s="40"/>
      <c r="BS360" s="39"/>
      <c r="BT360" s="39"/>
      <c r="BU360" s="39"/>
      <c r="BV360" s="39"/>
      <c r="BW360" s="39"/>
      <c r="BX360" s="36"/>
      <c r="BY360" s="33"/>
      <c r="BZ360" s="33"/>
      <c r="CA360" s="33"/>
      <c r="CB360" s="34"/>
      <c r="CC360" s="33"/>
      <c r="CD360" s="35"/>
      <c r="CE360" s="48"/>
      <c r="CF360" s="48"/>
      <c r="CG360" s="48"/>
      <c r="CH360" s="48"/>
      <c r="CI360" s="48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35"/>
      <c r="CW360" s="35"/>
      <c r="CX360" s="35"/>
      <c r="CY360" s="35"/>
      <c r="CZ360" s="35"/>
      <c r="DA360" s="35"/>
      <c r="DB360" s="35"/>
      <c r="DC360" s="35"/>
      <c r="DD360" s="40"/>
      <c r="DE360" s="40"/>
      <c r="DF360" s="40"/>
      <c r="DG360" s="40"/>
      <c r="DH360" s="40"/>
      <c r="DI360" s="40"/>
      <c r="DJ360" s="40"/>
      <c r="DK360" s="40"/>
      <c r="DL360" s="35"/>
      <c r="DM360" s="35"/>
      <c r="DN360" s="35"/>
      <c r="DO360" s="35"/>
      <c r="DP360" s="35"/>
      <c r="DQ360" s="35"/>
      <c r="DR360" s="35"/>
      <c r="DS360" s="35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40"/>
      <c r="ES360" s="40"/>
      <c r="ET360" s="40"/>
      <c r="EU360" s="40"/>
      <c r="EV360" s="40"/>
      <c r="EW360" s="40"/>
      <c r="EX360" s="40"/>
      <c r="EY360" s="40"/>
      <c r="EZ360" s="35"/>
      <c r="FA360" s="35"/>
      <c r="FB360" s="35"/>
      <c r="FC360" s="35"/>
      <c r="FD360" s="35"/>
      <c r="FE360" s="35"/>
      <c r="FF360" s="35"/>
      <c r="FG360" s="35"/>
    </row>
    <row r="361" spans="1:163">
      <c r="A361" s="60">
        <v>8</v>
      </c>
      <c r="E361" s="63" t="s">
        <v>210</v>
      </c>
      <c r="F361" s="56" t="s">
        <v>115</v>
      </c>
      <c r="G361" s="65" t="s">
        <v>390</v>
      </c>
      <c r="H361" s="66" t="str">
        <f t="shared" si="146"/>
        <v xml:space="preserve"> 283</v>
      </c>
      <c r="I361" s="67" t="s">
        <v>390</v>
      </c>
      <c r="J361" s="68">
        <f t="shared" si="147"/>
        <v>0</v>
      </c>
      <c r="K361" s="63" t="s">
        <v>240</v>
      </c>
      <c r="L361" s="1" t="s">
        <v>46</v>
      </c>
      <c r="O361" s="64" t="s">
        <v>789</v>
      </c>
      <c r="P361" s="82">
        <v>0</v>
      </c>
      <c r="Q361" s="74">
        <f t="shared" si="166"/>
        <v>80000</v>
      </c>
      <c r="R361" s="71">
        <v>80000</v>
      </c>
      <c r="S361" s="72">
        <f t="shared" si="163"/>
        <v>8150</v>
      </c>
      <c r="T361" s="68" t="s">
        <v>791</v>
      </c>
      <c r="U361" s="73">
        <f t="shared" si="164"/>
        <v>71850</v>
      </c>
      <c r="V361" s="73">
        <f>2000+5100+600+200+250</f>
        <v>8150</v>
      </c>
      <c r="W361" s="2">
        <f t="shared" si="148"/>
        <v>80000</v>
      </c>
      <c r="Y361" s="80">
        <f t="shared" si="149"/>
        <v>80000</v>
      </c>
      <c r="Z361" s="93"/>
      <c r="AA361" s="93"/>
      <c r="AB361" s="94"/>
      <c r="AC361" s="2">
        <v>3000</v>
      </c>
      <c r="AD361" s="2">
        <f>Z361+AC361</f>
        <v>3000</v>
      </c>
      <c r="AF361" s="28">
        <f t="shared" si="143"/>
        <v>0</v>
      </c>
      <c r="AG361" s="55" t="s">
        <v>125</v>
      </c>
      <c r="AI361" s="20" t="s">
        <v>45</v>
      </c>
      <c r="AJ361" s="2">
        <f t="shared" si="150"/>
        <v>-80000</v>
      </c>
      <c r="AN361" s="29" t="e">
        <f t="shared" si="151"/>
        <v>#DIV/0!</v>
      </c>
      <c r="AO361" s="29" t="e">
        <f>AN361-AB361</f>
        <v>#DIV/0!</v>
      </c>
      <c r="AP361" s="3" t="s">
        <v>29</v>
      </c>
      <c r="AQ361" s="1" t="s">
        <v>153</v>
      </c>
      <c r="AR361" s="31">
        <f t="shared" si="152"/>
        <v>0</v>
      </c>
      <c r="AS361" s="31">
        <f t="shared" si="153"/>
        <v>0</v>
      </c>
      <c r="AT361" s="31">
        <f t="shared" si="165"/>
        <v>0</v>
      </c>
      <c r="AU361" s="31">
        <f t="shared" si="154"/>
        <v>0</v>
      </c>
      <c r="AV361" s="31">
        <f t="shared" si="155"/>
        <v>0</v>
      </c>
      <c r="AW361" s="31">
        <f t="shared" si="156"/>
        <v>0</v>
      </c>
      <c r="AX361" s="31">
        <f t="shared" si="157"/>
        <v>0</v>
      </c>
      <c r="AY361" s="31">
        <f t="shared" si="158"/>
        <v>0</v>
      </c>
      <c r="AZ361" s="31">
        <f t="shared" si="159"/>
        <v>0</v>
      </c>
      <c r="BA361" s="31">
        <f t="shared" si="160"/>
        <v>0</v>
      </c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41"/>
      <c r="BM361" s="41"/>
      <c r="BN361" s="41"/>
      <c r="BO361" s="37"/>
      <c r="BP361" s="38"/>
      <c r="BQ361" s="37"/>
      <c r="BR361" s="40"/>
      <c r="BS361" s="39"/>
      <c r="BT361" s="39"/>
      <c r="BU361" s="39"/>
      <c r="BV361" s="39"/>
      <c r="BW361" s="39"/>
      <c r="BX361" s="36"/>
      <c r="BY361" s="33"/>
      <c r="BZ361" s="33"/>
      <c r="CA361" s="33"/>
      <c r="CB361" s="34"/>
      <c r="CC361" s="33"/>
      <c r="CD361" s="35"/>
      <c r="CE361" s="48"/>
      <c r="CF361" s="48"/>
      <c r="CG361" s="48"/>
      <c r="CH361" s="48"/>
      <c r="CI361" s="48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35"/>
      <c r="CW361" s="35"/>
      <c r="CX361" s="35"/>
      <c r="CY361" s="35"/>
      <c r="CZ361" s="35"/>
      <c r="DA361" s="35"/>
      <c r="DB361" s="35"/>
      <c r="DC361" s="35"/>
      <c r="DD361" s="40"/>
      <c r="DE361" s="40"/>
      <c r="DF361" s="40"/>
      <c r="DG361" s="40"/>
      <c r="DH361" s="40"/>
      <c r="DI361" s="40"/>
      <c r="DJ361" s="40"/>
      <c r="DK361" s="40"/>
      <c r="DL361" s="35"/>
      <c r="DM361" s="35"/>
      <c r="DN361" s="35"/>
      <c r="DO361" s="35"/>
      <c r="DP361" s="35"/>
      <c r="DQ361" s="35"/>
      <c r="DR361" s="35"/>
      <c r="DS361" s="35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40"/>
      <c r="ES361" s="40"/>
      <c r="ET361" s="40"/>
      <c r="EU361" s="40"/>
      <c r="EV361" s="40"/>
      <c r="EW361" s="40"/>
      <c r="EX361" s="40"/>
      <c r="EY361" s="40"/>
      <c r="EZ361" s="35"/>
      <c r="FA361" s="35"/>
      <c r="FB361" s="35"/>
      <c r="FC361" s="35"/>
      <c r="FD361" s="35"/>
      <c r="FE361" s="35"/>
      <c r="FF361" s="35"/>
      <c r="FG361" s="35"/>
    </row>
    <row r="362" spans="1:163">
      <c r="A362" s="62">
        <v>64</v>
      </c>
      <c r="E362" s="63" t="s">
        <v>113</v>
      </c>
      <c r="F362" s="56" t="s">
        <v>115</v>
      </c>
      <c r="G362" s="65" t="s">
        <v>445</v>
      </c>
      <c r="H362" s="66" t="str">
        <f t="shared" si="146"/>
        <v xml:space="preserve"> 317</v>
      </c>
      <c r="I362" s="67" t="s">
        <v>445</v>
      </c>
      <c r="J362" s="68">
        <f t="shared" si="147"/>
        <v>0</v>
      </c>
      <c r="K362" s="63" t="s">
        <v>240</v>
      </c>
      <c r="L362" s="1" t="s">
        <v>46</v>
      </c>
      <c r="O362" s="64" t="s">
        <v>789</v>
      </c>
      <c r="P362" s="82">
        <v>0</v>
      </c>
      <c r="Q362" s="74">
        <f t="shared" si="166"/>
        <v>75000</v>
      </c>
      <c r="R362" s="71">
        <v>75000</v>
      </c>
      <c r="S362" s="72">
        <f t="shared" si="163"/>
        <v>8250</v>
      </c>
      <c r="T362" s="68" t="s">
        <v>791</v>
      </c>
      <c r="U362" s="73">
        <f t="shared" si="164"/>
        <v>66750</v>
      </c>
      <c r="V362" s="73">
        <f>2000+5200+600+200+250</f>
        <v>8250</v>
      </c>
      <c r="W362" s="2">
        <f t="shared" si="148"/>
        <v>75000</v>
      </c>
      <c r="Y362" s="80">
        <f t="shared" si="149"/>
        <v>75000</v>
      </c>
      <c r="Z362" s="93"/>
      <c r="AA362" s="93"/>
      <c r="AB362" s="94"/>
      <c r="AE362" s="2">
        <v>104000</v>
      </c>
      <c r="AF362" s="28">
        <f t="shared" si="143"/>
        <v>104000</v>
      </c>
      <c r="AG362" s="55" t="s">
        <v>125</v>
      </c>
      <c r="AI362" s="20" t="s">
        <v>45</v>
      </c>
      <c r="AJ362" s="2">
        <f t="shared" si="150"/>
        <v>29000</v>
      </c>
      <c r="AN362" s="29">
        <f t="shared" si="151"/>
        <v>0.27884615384615385</v>
      </c>
      <c r="AP362" s="3" t="s">
        <v>29</v>
      </c>
      <c r="AQ362" s="1" t="s">
        <v>153</v>
      </c>
      <c r="AR362" s="31">
        <f t="shared" si="152"/>
        <v>0</v>
      </c>
      <c r="AS362" s="31">
        <f t="shared" si="153"/>
        <v>0</v>
      </c>
      <c r="AT362" s="31">
        <f t="shared" si="165"/>
        <v>0</v>
      </c>
      <c r="AU362" s="31">
        <f t="shared" si="154"/>
        <v>0</v>
      </c>
      <c r="AV362" s="31">
        <f t="shared" si="155"/>
        <v>0</v>
      </c>
      <c r="AW362" s="31">
        <f t="shared" si="156"/>
        <v>0</v>
      </c>
      <c r="AX362" s="31">
        <f t="shared" si="157"/>
        <v>0</v>
      </c>
      <c r="AY362" s="31">
        <f t="shared" si="158"/>
        <v>0</v>
      </c>
      <c r="AZ362" s="31">
        <f t="shared" si="159"/>
        <v>0</v>
      </c>
      <c r="BA362" s="31">
        <f t="shared" si="160"/>
        <v>0</v>
      </c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41"/>
      <c r="BM362" s="41"/>
      <c r="BN362" s="41"/>
      <c r="BO362" s="37"/>
      <c r="BP362" s="38"/>
      <c r="BQ362" s="37"/>
      <c r="BR362" s="40"/>
      <c r="BS362" s="39"/>
      <c r="BT362" s="39"/>
      <c r="BU362" s="39"/>
      <c r="BV362" s="39"/>
      <c r="BW362" s="39"/>
      <c r="BX362" s="36"/>
      <c r="BY362" s="33"/>
      <c r="BZ362" s="33"/>
      <c r="CA362" s="33"/>
      <c r="CB362" s="34"/>
      <c r="CC362" s="33"/>
      <c r="CD362" s="35"/>
      <c r="CE362" s="48"/>
      <c r="CF362" s="48"/>
      <c r="CG362" s="48"/>
      <c r="CH362" s="48"/>
      <c r="CI362" s="48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35"/>
      <c r="CW362" s="35"/>
      <c r="CX362" s="35"/>
      <c r="CY362" s="35"/>
      <c r="CZ362" s="35"/>
      <c r="DA362" s="35"/>
      <c r="DB362" s="35"/>
      <c r="DC362" s="35"/>
      <c r="DD362" s="40"/>
      <c r="DE362" s="40"/>
      <c r="DF362" s="40"/>
      <c r="DG362" s="40"/>
      <c r="DH362" s="40"/>
      <c r="DI362" s="40"/>
      <c r="DJ362" s="40"/>
      <c r="DK362" s="40"/>
      <c r="DL362" s="35"/>
      <c r="DM362" s="35"/>
      <c r="DN362" s="35"/>
      <c r="DO362" s="35"/>
      <c r="DP362" s="35"/>
      <c r="DQ362" s="35"/>
      <c r="DR362" s="35"/>
      <c r="DS362" s="35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40"/>
      <c r="ES362" s="40"/>
      <c r="ET362" s="40"/>
      <c r="EU362" s="40"/>
      <c r="EV362" s="40"/>
      <c r="EW362" s="40"/>
      <c r="EX362" s="40"/>
      <c r="EY362" s="40"/>
      <c r="EZ362" s="35"/>
      <c r="FA362" s="35"/>
      <c r="FB362" s="35"/>
      <c r="FC362" s="35"/>
      <c r="FD362" s="35"/>
      <c r="FE362" s="35"/>
      <c r="FF362" s="35"/>
      <c r="FG362" s="35"/>
    </row>
    <row r="363" spans="1:163">
      <c r="A363" s="60">
        <v>100</v>
      </c>
      <c r="E363" s="63" t="s">
        <v>56</v>
      </c>
      <c r="F363" s="56" t="s">
        <v>115</v>
      </c>
      <c r="G363" s="65" t="s">
        <v>238</v>
      </c>
      <c r="H363" s="66" t="str">
        <f t="shared" si="146"/>
        <v xml:space="preserve"> 796</v>
      </c>
      <c r="I363" s="67" t="s">
        <v>238</v>
      </c>
      <c r="J363" s="68">
        <f t="shared" si="147"/>
        <v>0</v>
      </c>
      <c r="K363" s="63" t="s">
        <v>240</v>
      </c>
      <c r="L363" s="1" t="s">
        <v>46</v>
      </c>
      <c r="O363" s="64" t="s">
        <v>789</v>
      </c>
      <c r="P363" s="82">
        <v>0</v>
      </c>
      <c r="Q363" s="74">
        <f t="shared" si="166"/>
        <v>68000</v>
      </c>
      <c r="R363" s="71">
        <v>68000</v>
      </c>
      <c r="S363" s="72">
        <f t="shared" si="163"/>
        <v>7900</v>
      </c>
      <c r="T363" s="68" t="s">
        <v>791</v>
      </c>
      <c r="U363" s="73">
        <f t="shared" si="164"/>
        <v>60100</v>
      </c>
      <c r="V363" s="73">
        <f>2000+4850+600+200+250</f>
        <v>7900</v>
      </c>
      <c r="W363" s="2">
        <f t="shared" si="148"/>
        <v>68000</v>
      </c>
      <c r="Y363" s="80">
        <f t="shared" si="149"/>
        <v>68000</v>
      </c>
      <c r="Z363" s="93"/>
      <c r="AA363" s="93"/>
      <c r="AB363" s="94"/>
      <c r="AE363" s="2">
        <v>98000</v>
      </c>
      <c r="AF363" s="28">
        <f t="shared" si="143"/>
        <v>98000</v>
      </c>
      <c r="AG363" s="55" t="s">
        <v>125</v>
      </c>
      <c r="AI363" s="20" t="s">
        <v>45</v>
      </c>
      <c r="AJ363" s="2">
        <f t="shared" si="150"/>
        <v>30000</v>
      </c>
      <c r="AK363" s="2" t="e">
        <f>AVERAGE(AF363,AF354,AF351,AF350,AF349,AF348,AF347,AF344,AF338,AF335,AF334,AF333,AF332,AF330,AF329,AF328,AF327,AF326,AF325,AF324,AF323,AF322,AF321,AF320,AF319,AF318,AF314,#REF!,#REF!,#REF!,#REF!,#REF!,#REF!,#REF!,#REF!,#REF!,#REF!,#REF!,#REF!,#REF!,#REF!,#REF!)</f>
        <v>#REF!</v>
      </c>
      <c r="AL363" s="2" t="e">
        <f>MIN(AF363,AF354,AF351,AF350,AF349,AF348,AF347,AF344,AF338,AF335,AF334,AF333,AF332,AF330,AF329,AF328,AF327,AF326,AF325,AF324,AF323,AF322,AF321,AF320,AF319,AF318,AF314,#REF!,#REF!,#REF!,#REF!,#REF!,#REF!,#REF!,#REF!,#REF!,#REF!,#REF!,#REF!,#REF!,#REF!,#REF!)</f>
        <v>#REF!</v>
      </c>
      <c r="AM363" s="2" t="e">
        <f>MAX(AF363,AF354,AF351,AF350,AF349,AF348,AF347,AF344,AF338,AF335,AF334,AF333,AF332,AF330,AF329,AF328,AF327,AF326,AF325,AF324,AF323,AF322,AF321,AF320,AF319,AF318,AF314,#REF!,#REF!,#REF!,#REF!,#REF!,#REF!,#REF!,#REF!,#REF!,#REF!,#REF!,#REF!,#REF!,#REF!,#REF!)</f>
        <v>#REF!</v>
      </c>
      <c r="AN363" s="29">
        <f t="shared" si="151"/>
        <v>0.30612244897959184</v>
      </c>
      <c r="AP363" s="3" t="s">
        <v>29</v>
      </c>
      <c r="AQ363" s="1" t="s">
        <v>153</v>
      </c>
      <c r="AR363" s="31">
        <f t="shared" si="152"/>
        <v>0</v>
      </c>
      <c r="AS363" s="31">
        <f t="shared" si="153"/>
        <v>0</v>
      </c>
      <c r="AT363" s="31">
        <f t="shared" si="165"/>
        <v>0</v>
      </c>
      <c r="AU363" s="31">
        <f t="shared" si="154"/>
        <v>0</v>
      </c>
      <c r="AV363" s="31">
        <f t="shared" si="155"/>
        <v>0</v>
      </c>
      <c r="AW363" s="31">
        <f t="shared" si="156"/>
        <v>0</v>
      </c>
      <c r="AX363" s="31">
        <f t="shared" si="157"/>
        <v>0</v>
      </c>
      <c r="AY363" s="31">
        <f t="shared" si="158"/>
        <v>0</v>
      </c>
      <c r="AZ363" s="31">
        <f t="shared" si="159"/>
        <v>0</v>
      </c>
      <c r="BA363" s="31">
        <f t="shared" si="160"/>
        <v>0</v>
      </c>
      <c r="BB363" s="32" t="e">
        <f>IF(BS363&lt;&gt;"", AK363-BS363, 0)</f>
        <v>#REF!</v>
      </c>
      <c r="BC363" s="32" t="e">
        <f>IF(DA363&lt;&gt;"", AK363-DA363, 0)</f>
        <v>#REF!</v>
      </c>
      <c r="BD363" s="32" t="e">
        <f>IF(CE363&lt;&gt;"", AK363-CE363, )</f>
        <v>#REF!</v>
      </c>
      <c r="BE363" s="32" t="e">
        <f>IF(DI363&lt;&gt;"", AK363-DI363, 0)</f>
        <v>#REF!</v>
      </c>
      <c r="BF363" s="32">
        <f>IF(CQ363&lt;&gt;"",AK363-CQ363, 0)</f>
        <v>0</v>
      </c>
      <c r="BG363" s="32" t="e">
        <f>IF(DQ363&lt;&gt;"", AK363-DQ363, 0)</f>
        <v>#REF!</v>
      </c>
      <c r="BH363" s="32" t="e">
        <f>IF(EA363&lt;&gt;"", AK363-EA363, 0)</f>
        <v>#REF!</v>
      </c>
      <c r="BI363" s="32" t="e">
        <f>IF(EM363&lt;&gt;"", AK363-EM363, 0)</f>
        <v>#REF!</v>
      </c>
      <c r="BJ363" s="32" t="e">
        <f>IF(EW363&lt;&gt;"", AK363-EW363, 0)</f>
        <v>#REF!</v>
      </c>
      <c r="BK363" s="32">
        <f>IF(FE363&lt;&gt;"", AK363-FE363, 0)</f>
        <v>0</v>
      </c>
      <c r="BL363" s="41"/>
      <c r="BM363" s="41"/>
      <c r="BN363" s="41"/>
      <c r="BO363" s="37"/>
      <c r="BP363" s="38"/>
      <c r="BQ363" s="37"/>
      <c r="BR363" s="40"/>
      <c r="BS363" s="41">
        <f>BU363+BT363</f>
        <v>104119</v>
      </c>
      <c r="BT363" s="41">
        <v>3000</v>
      </c>
      <c r="BU363" s="41">
        <v>101119</v>
      </c>
      <c r="BV363" s="41">
        <v>135450</v>
      </c>
      <c r="BW363" s="41">
        <v>84150</v>
      </c>
      <c r="BX363" s="36"/>
      <c r="BY363" s="33"/>
      <c r="BZ363" s="33"/>
      <c r="CA363" s="33"/>
      <c r="CB363" s="34"/>
      <c r="CC363" s="33"/>
      <c r="CD363" s="35"/>
      <c r="CE363" s="36">
        <f>CG363+CF363</f>
        <v>96842</v>
      </c>
      <c r="CF363" s="36">
        <v>3000</v>
      </c>
      <c r="CG363" s="36">
        <v>93842</v>
      </c>
      <c r="CH363" s="36">
        <v>120150</v>
      </c>
      <c r="CI363" s="36">
        <v>82800</v>
      </c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35"/>
      <c r="CW363" s="35"/>
      <c r="CX363" s="35"/>
      <c r="CY363" s="35"/>
      <c r="CZ363" s="35"/>
      <c r="DA363" s="36">
        <v>96409</v>
      </c>
      <c r="DB363" s="36">
        <v>119610</v>
      </c>
      <c r="DC363" s="36">
        <v>80190</v>
      </c>
      <c r="DD363" s="40"/>
      <c r="DE363" s="40"/>
      <c r="DF363" s="40"/>
      <c r="DG363" s="40"/>
      <c r="DH363" s="40"/>
      <c r="DI363" s="41">
        <v>95968</v>
      </c>
      <c r="DJ363" s="41">
        <v>126846</v>
      </c>
      <c r="DK363" s="41">
        <v>82566</v>
      </c>
      <c r="DL363" s="35"/>
      <c r="DM363" s="35"/>
      <c r="DN363" s="35"/>
      <c r="DO363" s="35"/>
      <c r="DP363" s="35"/>
      <c r="DQ363" s="36">
        <v>90950</v>
      </c>
      <c r="DR363" s="36">
        <v>118388</v>
      </c>
      <c r="DS363" s="36">
        <v>72450</v>
      </c>
      <c r="DT363" s="40"/>
      <c r="DU363" s="40"/>
      <c r="DV363" s="40"/>
      <c r="DW363" s="40"/>
      <c r="DX363" s="40"/>
      <c r="DY363" s="40"/>
      <c r="DZ363" s="40"/>
      <c r="EA363" s="41">
        <f>EC363+EB363</f>
        <v>96345</v>
      </c>
      <c r="EB363" s="41">
        <v>3500</v>
      </c>
      <c r="EC363" s="41">
        <v>92845</v>
      </c>
      <c r="ED363" s="41">
        <v>125685</v>
      </c>
      <c r="EE363" s="41">
        <v>75547</v>
      </c>
      <c r="EF363" s="35"/>
      <c r="EG363" s="35"/>
      <c r="EH363" s="35"/>
      <c r="EI363" s="35"/>
      <c r="EJ363" s="35"/>
      <c r="EK363" s="35"/>
      <c r="EL363" s="35"/>
      <c r="EM363" s="36">
        <f>EO363+EN363</f>
        <v>100369</v>
      </c>
      <c r="EN363" s="36">
        <v>3000</v>
      </c>
      <c r="EO363" s="36">
        <v>97369</v>
      </c>
      <c r="EP363" s="36">
        <v>129937</v>
      </c>
      <c r="EQ363" s="36">
        <v>76125</v>
      </c>
      <c r="ER363" s="40"/>
      <c r="ES363" s="40"/>
      <c r="ET363" s="40"/>
      <c r="EU363" s="40"/>
      <c r="EV363" s="40"/>
      <c r="EW363" s="41">
        <v>110999</v>
      </c>
      <c r="EX363" s="41">
        <v>110999</v>
      </c>
      <c r="EY363" s="41">
        <v>110999</v>
      </c>
      <c r="EZ363" s="35"/>
      <c r="FA363" s="35"/>
      <c r="FB363" s="35"/>
      <c r="FC363" s="35"/>
      <c r="FD363" s="35"/>
      <c r="FE363" s="35"/>
      <c r="FF363" s="35"/>
      <c r="FG363" s="35"/>
    </row>
    <row r="364" spans="1:163">
      <c r="A364" s="60">
        <v>106</v>
      </c>
      <c r="E364" s="63" t="s">
        <v>56</v>
      </c>
      <c r="F364" s="56" t="s">
        <v>58</v>
      </c>
      <c r="G364" s="65" t="s">
        <v>485</v>
      </c>
      <c r="H364" s="66" t="str">
        <f t="shared" si="146"/>
        <v xml:space="preserve"> 126</v>
      </c>
      <c r="I364" s="67" t="s">
        <v>485</v>
      </c>
      <c r="J364" s="68">
        <f t="shared" si="147"/>
        <v>0</v>
      </c>
      <c r="K364" s="63" t="s">
        <v>240</v>
      </c>
      <c r="L364" s="1" t="s">
        <v>46</v>
      </c>
      <c r="O364" s="64" t="s">
        <v>789</v>
      </c>
      <c r="P364" s="82">
        <v>0</v>
      </c>
      <c r="Q364" s="74">
        <f t="shared" si="166"/>
        <v>68000</v>
      </c>
      <c r="R364" s="71">
        <v>68000</v>
      </c>
      <c r="S364" s="72">
        <f t="shared" si="163"/>
        <v>7900</v>
      </c>
      <c r="T364" s="68" t="s">
        <v>791</v>
      </c>
      <c r="U364" s="73">
        <f t="shared" si="164"/>
        <v>60100</v>
      </c>
      <c r="V364" s="73">
        <f>2000+4850+600+200+250</f>
        <v>7900</v>
      </c>
      <c r="W364" s="2">
        <f t="shared" si="148"/>
        <v>68000</v>
      </c>
      <c r="Y364" s="80">
        <f t="shared" si="149"/>
        <v>68000</v>
      </c>
      <c r="Z364" s="93"/>
      <c r="AA364" s="93"/>
      <c r="AB364" s="94"/>
      <c r="AE364" s="2">
        <v>91000</v>
      </c>
      <c r="AF364" s="28">
        <f t="shared" si="143"/>
        <v>91000</v>
      </c>
      <c r="AG364" s="55" t="s">
        <v>125</v>
      </c>
      <c r="AI364" s="20" t="s">
        <v>45</v>
      </c>
      <c r="AJ364" s="2">
        <f t="shared" si="150"/>
        <v>23000</v>
      </c>
      <c r="AN364" s="29">
        <f t="shared" si="151"/>
        <v>0.25274725274725274</v>
      </c>
      <c r="AP364" s="3" t="s">
        <v>29</v>
      </c>
      <c r="AQ364" s="1" t="s">
        <v>143</v>
      </c>
      <c r="AR364" s="31">
        <f t="shared" si="152"/>
        <v>0</v>
      </c>
      <c r="AS364" s="31">
        <f t="shared" si="153"/>
        <v>0</v>
      </c>
      <c r="AT364" s="31">
        <f t="shared" si="165"/>
        <v>0</v>
      </c>
      <c r="AU364" s="31">
        <f t="shared" si="154"/>
        <v>0</v>
      </c>
      <c r="AV364" s="31">
        <f t="shared" si="155"/>
        <v>0</v>
      </c>
      <c r="AW364" s="31">
        <f t="shared" si="156"/>
        <v>0</v>
      </c>
      <c r="AX364" s="31">
        <f t="shared" si="157"/>
        <v>0</v>
      </c>
      <c r="AY364" s="31">
        <f t="shared" si="158"/>
        <v>0</v>
      </c>
      <c r="AZ364" s="31">
        <f t="shared" si="159"/>
        <v>0</v>
      </c>
      <c r="BA364" s="31">
        <f t="shared" si="160"/>
        <v>0</v>
      </c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41"/>
      <c r="BM364" s="41"/>
      <c r="BN364" s="41"/>
      <c r="BO364" s="37"/>
      <c r="BP364" s="38"/>
      <c r="BQ364" s="37"/>
      <c r="BR364" s="40"/>
      <c r="BS364" s="39"/>
      <c r="BT364" s="39"/>
      <c r="BU364" s="39"/>
      <c r="BV364" s="39"/>
      <c r="BW364" s="39"/>
      <c r="BX364" s="36"/>
      <c r="BY364" s="33"/>
      <c r="BZ364" s="33"/>
      <c r="CA364" s="33"/>
      <c r="CB364" s="34"/>
      <c r="CC364" s="33"/>
      <c r="CD364" s="35"/>
      <c r="CE364" s="48"/>
      <c r="CF364" s="48"/>
      <c r="CG364" s="48"/>
      <c r="CH364" s="48"/>
      <c r="CI364" s="48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35"/>
      <c r="CW364" s="35"/>
      <c r="CX364" s="35"/>
      <c r="CY364" s="35"/>
      <c r="CZ364" s="35"/>
      <c r="DA364" s="35"/>
      <c r="DB364" s="35"/>
      <c r="DC364" s="35"/>
      <c r="DD364" s="40"/>
      <c r="DE364" s="40"/>
      <c r="DF364" s="40"/>
      <c r="DG364" s="40"/>
      <c r="DH364" s="40"/>
      <c r="DI364" s="40"/>
      <c r="DJ364" s="40"/>
      <c r="DK364" s="40"/>
      <c r="DL364" s="35"/>
      <c r="DM364" s="35"/>
      <c r="DN364" s="35"/>
      <c r="DO364" s="35"/>
      <c r="DP364" s="35"/>
      <c r="DQ364" s="35"/>
      <c r="DR364" s="35"/>
      <c r="DS364" s="35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40"/>
      <c r="ES364" s="40"/>
      <c r="ET364" s="40"/>
      <c r="EU364" s="40"/>
      <c r="EV364" s="40"/>
      <c r="EW364" s="40"/>
      <c r="EX364" s="40"/>
      <c r="EY364" s="40"/>
      <c r="EZ364" s="35"/>
      <c r="FA364" s="35"/>
      <c r="FB364" s="35"/>
      <c r="FC364" s="35"/>
      <c r="FD364" s="35"/>
      <c r="FE364" s="35"/>
      <c r="FF364" s="35"/>
      <c r="FG364" s="35"/>
    </row>
    <row r="365" spans="1:163">
      <c r="A365" s="60">
        <v>112</v>
      </c>
      <c r="E365" s="63" t="s">
        <v>56</v>
      </c>
      <c r="F365" s="56" t="s">
        <v>59</v>
      </c>
      <c r="G365" s="65" t="s">
        <v>491</v>
      </c>
      <c r="H365" s="66" t="str">
        <f t="shared" si="146"/>
        <v xml:space="preserve"> 342</v>
      </c>
      <c r="I365" s="67" t="s">
        <v>491</v>
      </c>
      <c r="J365" s="68">
        <f t="shared" si="147"/>
        <v>0</v>
      </c>
      <c r="K365" s="63" t="s">
        <v>240</v>
      </c>
      <c r="L365" s="1" t="s">
        <v>46</v>
      </c>
      <c r="O365" s="64" t="s">
        <v>789</v>
      </c>
      <c r="P365" s="82">
        <v>0</v>
      </c>
      <c r="Q365" s="74">
        <f t="shared" si="166"/>
        <v>68000</v>
      </c>
      <c r="R365" s="71">
        <v>68000</v>
      </c>
      <c r="S365" s="72">
        <f t="shared" si="163"/>
        <v>7900</v>
      </c>
      <c r="T365" s="68" t="s">
        <v>791</v>
      </c>
      <c r="U365" s="73">
        <f t="shared" si="164"/>
        <v>60100</v>
      </c>
      <c r="V365" s="73">
        <f>2000+4850+600+200+250</f>
        <v>7900</v>
      </c>
      <c r="W365" s="2">
        <f t="shared" si="148"/>
        <v>68000</v>
      </c>
      <c r="Y365" s="80">
        <f t="shared" si="149"/>
        <v>68000</v>
      </c>
      <c r="Z365" s="93"/>
      <c r="AA365" s="93"/>
      <c r="AB365" s="94"/>
      <c r="AE365" s="2">
        <v>102000</v>
      </c>
      <c r="AF365" s="28">
        <f t="shared" si="143"/>
        <v>102000</v>
      </c>
      <c r="AG365" s="55" t="s">
        <v>125</v>
      </c>
      <c r="AI365" s="20" t="s">
        <v>206</v>
      </c>
      <c r="AJ365" s="2">
        <f t="shared" si="150"/>
        <v>34000</v>
      </c>
      <c r="AN365" s="29">
        <f t="shared" si="151"/>
        <v>0.33333333333333331</v>
      </c>
      <c r="AP365" s="3" t="s">
        <v>29</v>
      </c>
      <c r="AQ365" s="1" t="s">
        <v>139</v>
      </c>
      <c r="AR365" s="31">
        <f t="shared" si="152"/>
        <v>0</v>
      </c>
      <c r="AS365" s="31">
        <f t="shared" si="153"/>
        <v>0</v>
      </c>
      <c r="AT365" s="31">
        <f t="shared" si="165"/>
        <v>0</v>
      </c>
      <c r="AU365" s="31">
        <f t="shared" si="154"/>
        <v>0</v>
      </c>
      <c r="AV365" s="31">
        <f t="shared" si="155"/>
        <v>0</v>
      </c>
      <c r="AW365" s="31">
        <f t="shared" si="156"/>
        <v>0</v>
      </c>
      <c r="AX365" s="31">
        <f t="shared" si="157"/>
        <v>0</v>
      </c>
      <c r="AY365" s="31">
        <f t="shared" si="158"/>
        <v>0</v>
      </c>
      <c r="AZ365" s="31">
        <f t="shared" si="159"/>
        <v>0</v>
      </c>
      <c r="BA365" s="31">
        <f t="shared" si="160"/>
        <v>0</v>
      </c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41"/>
      <c r="BM365" s="41"/>
      <c r="BN365" s="41"/>
      <c r="BO365" s="37"/>
      <c r="BP365" s="38"/>
      <c r="BQ365" s="37"/>
      <c r="BR365" s="40"/>
      <c r="BS365" s="39"/>
      <c r="BT365" s="39"/>
      <c r="BU365" s="39"/>
      <c r="BV365" s="39"/>
      <c r="BW365" s="39"/>
      <c r="BX365" s="36"/>
      <c r="BY365" s="33"/>
      <c r="BZ365" s="33"/>
      <c r="CA365" s="33"/>
      <c r="CB365" s="34"/>
      <c r="CC365" s="33"/>
      <c r="CD365" s="35"/>
      <c r="CE365" s="48"/>
      <c r="CF365" s="48"/>
      <c r="CG365" s="48"/>
      <c r="CH365" s="48"/>
      <c r="CI365" s="48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35"/>
      <c r="CW365" s="35"/>
      <c r="CX365" s="35"/>
      <c r="CY365" s="35"/>
      <c r="CZ365" s="35"/>
      <c r="DA365" s="35"/>
      <c r="DB365" s="35"/>
      <c r="DC365" s="35"/>
      <c r="DD365" s="40"/>
      <c r="DE365" s="40"/>
      <c r="DF365" s="40"/>
      <c r="DG365" s="40"/>
      <c r="DH365" s="40"/>
      <c r="DI365" s="40"/>
      <c r="DJ365" s="40"/>
      <c r="DK365" s="40"/>
      <c r="DL365" s="35"/>
      <c r="DM365" s="35"/>
      <c r="DN365" s="35"/>
      <c r="DO365" s="35"/>
      <c r="DP365" s="35"/>
      <c r="DQ365" s="35"/>
      <c r="DR365" s="35"/>
      <c r="DS365" s="35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40"/>
      <c r="ES365" s="40"/>
      <c r="ET365" s="40"/>
      <c r="EU365" s="40"/>
      <c r="EV365" s="40"/>
      <c r="EW365" s="40"/>
      <c r="EX365" s="40"/>
      <c r="EY365" s="40"/>
      <c r="EZ365" s="35"/>
      <c r="FA365" s="35"/>
      <c r="FB365" s="35"/>
      <c r="FC365" s="35"/>
      <c r="FD365" s="35"/>
      <c r="FE365" s="35"/>
      <c r="FF365" s="35"/>
      <c r="FG365" s="35"/>
    </row>
    <row r="366" spans="1:163">
      <c r="A366" s="62">
        <v>187</v>
      </c>
      <c r="E366" s="63" t="s">
        <v>216</v>
      </c>
      <c r="F366" s="56" t="s">
        <v>64</v>
      </c>
      <c r="G366" s="65" t="s">
        <v>567</v>
      </c>
      <c r="H366" s="66" t="str">
        <f t="shared" si="146"/>
        <v xml:space="preserve"> 293</v>
      </c>
      <c r="I366" s="67" t="s">
        <v>567</v>
      </c>
      <c r="J366" s="68">
        <f t="shared" si="147"/>
        <v>0</v>
      </c>
      <c r="K366" s="63" t="s">
        <v>240</v>
      </c>
      <c r="L366" s="1" t="s">
        <v>46</v>
      </c>
      <c r="O366" s="64" t="s">
        <v>789</v>
      </c>
      <c r="P366" s="82">
        <v>0</v>
      </c>
      <c r="Q366" s="74">
        <f t="shared" si="166"/>
        <v>78000</v>
      </c>
      <c r="R366" s="71">
        <v>78000</v>
      </c>
      <c r="S366" s="72">
        <f t="shared" si="163"/>
        <v>8250</v>
      </c>
      <c r="T366" s="68" t="s">
        <v>791</v>
      </c>
      <c r="U366" s="73">
        <f t="shared" si="164"/>
        <v>69750</v>
      </c>
      <c r="V366" s="73">
        <f>2000+5200+600+200+250</f>
        <v>8250</v>
      </c>
      <c r="W366" s="2">
        <f t="shared" si="148"/>
        <v>78000</v>
      </c>
      <c r="Y366" s="80">
        <f t="shared" si="149"/>
        <v>78000</v>
      </c>
      <c r="Z366" s="93"/>
      <c r="AA366" s="93"/>
      <c r="AB366" s="94"/>
      <c r="AC366" s="2">
        <v>3000</v>
      </c>
      <c r="AD366" s="2">
        <f>Z366+AC366</f>
        <v>3000</v>
      </c>
      <c r="AF366" s="28">
        <f t="shared" si="143"/>
        <v>0</v>
      </c>
      <c r="AG366" s="55" t="s">
        <v>125</v>
      </c>
      <c r="AI366" s="20" t="s">
        <v>206</v>
      </c>
      <c r="AJ366" s="2">
        <f t="shared" si="150"/>
        <v>-78000</v>
      </c>
      <c r="AN366" s="29" t="e">
        <f t="shared" si="151"/>
        <v>#DIV/0!</v>
      </c>
      <c r="AO366" s="29" t="e">
        <f>AN366-AB366</f>
        <v>#DIV/0!</v>
      </c>
      <c r="AP366" s="3" t="s">
        <v>140</v>
      </c>
      <c r="AQ366" s="1" t="s">
        <v>161</v>
      </c>
      <c r="AR366" s="31">
        <f t="shared" si="152"/>
        <v>-115219</v>
      </c>
      <c r="AS366" s="31">
        <f t="shared" si="153"/>
        <v>-127608</v>
      </c>
      <c r="AT366" s="31">
        <f t="shared" si="165"/>
        <v>-116962</v>
      </c>
      <c r="AU366" s="31">
        <f t="shared" si="154"/>
        <v>0</v>
      </c>
      <c r="AV366" s="31">
        <f t="shared" si="155"/>
        <v>0</v>
      </c>
      <c r="AW366" s="31">
        <f t="shared" si="156"/>
        <v>0</v>
      </c>
      <c r="AX366" s="31">
        <f t="shared" si="157"/>
        <v>-108762</v>
      </c>
      <c r="AY366" s="31">
        <f t="shared" si="158"/>
        <v>0</v>
      </c>
      <c r="AZ366" s="31">
        <f t="shared" si="159"/>
        <v>0</v>
      </c>
      <c r="BA366" s="31">
        <f t="shared" si="160"/>
        <v>0</v>
      </c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41">
        <v>112219</v>
      </c>
      <c r="BM366" s="41">
        <v>3000</v>
      </c>
      <c r="BN366" s="41">
        <f>BL366+BM366</f>
        <v>115219</v>
      </c>
      <c r="BO366" s="37">
        <f>BN366-Y366</f>
        <v>37219</v>
      </c>
      <c r="BP366" s="38">
        <f>BO366/BL366</f>
        <v>0.33166397847066897</v>
      </c>
      <c r="BQ366" s="37">
        <f>AF366-BN366</f>
        <v>-115219</v>
      </c>
      <c r="BR366" s="40" t="s">
        <v>29</v>
      </c>
      <c r="BS366" s="39"/>
      <c r="BT366" s="39"/>
      <c r="BU366" s="39"/>
      <c r="BV366" s="39"/>
      <c r="BW366" s="39"/>
      <c r="BX366" s="36">
        <v>113962</v>
      </c>
      <c r="BY366" s="33">
        <v>3000</v>
      </c>
      <c r="BZ366" s="33">
        <f>BX366+BY366</f>
        <v>116962</v>
      </c>
      <c r="CA366" s="33">
        <f>BZ366-Y366</f>
        <v>38962</v>
      </c>
      <c r="CB366" s="34">
        <f>CA366/BX366</f>
        <v>0.34188589178849088</v>
      </c>
      <c r="CC366" s="33">
        <f>AF366-BZ366</f>
        <v>-116962</v>
      </c>
      <c r="CD366" s="35" t="s">
        <v>29</v>
      </c>
      <c r="CE366" s="48"/>
      <c r="CF366" s="48"/>
      <c r="CG366" s="48"/>
      <c r="CH366" s="48"/>
      <c r="CI366" s="48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36">
        <v>127608</v>
      </c>
      <c r="CW366" s="36">
        <f>CV366-Y366</f>
        <v>49608</v>
      </c>
      <c r="CX366" s="46">
        <f>CW366/CV366</f>
        <v>0.38875305623471884</v>
      </c>
      <c r="CY366" s="36">
        <f>AF366-CV366</f>
        <v>-127608</v>
      </c>
      <c r="CZ366" s="35" t="s">
        <v>29</v>
      </c>
      <c r="DA366" s="35"/>
      <c r="DB366" s="35"/>
      <c r="DC366" s="35"/>
      <c r="DD366" s="40"/>
      <c r="DE366" s="40"/>
      <c r="DF366" s="40"/>
      <c r="DG366" s="40"/>
      <c r="DH366" s="40"/>
      <c r="DI366" s="40"/>
      <c r="DJ366" s="40"/>
      <c r="DK366" s="40"/>
      <c r="DL366" s="35"/>
      <c r="DM366" s="35"/>
      <c r="DN366" s="35"/>
      <c r="DO366" s="35"/>
      <c r="DP366" s="35"/>
      <c r="DQ366" s="35"/>
      <c r="DR366" s="35"/>
      <c r="DS366" s="35"/>
      <c r="DT366" s="41">
        <v>105262</v>
      </c>
      <c r="DU366" s="37">
        <v>3500</v>
      </c>
      <c r="DV366" s="41">
        <f>DT366+DU366</f>
        <v>108762</v>
      </c>
      <c r="DW366" s="37">
        <f>DV366-Y366</f>
        <v>30762</v>
      </c>
      <c r="DX366" s="38">
        <f>DW366/DV366</f>
        <v>0.28283775583383902</v>
      </c>
      <c r="DY366" s="37">
        <f>AF366-DV366</f>
        <v>-108762</v>
      </c>
      <c r="DZ366" s="40" t="s">
        <v>29</v>
      </c>
      <c r="EA366" s="40"/>
      <c r="EB366" s="40"/>
      <c r="EC366" s="40"/>
      <c r="ED366" s="40"/>
      <c r="EE366" s="40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40"/>
      <c r="ES366" s="40"/>
      <c r="ET366" s="40"/>
      <c r="EU366" s="40"/>
      <c r="EV366" s="40"/>
      <c r="EW366" s="40"/>
      <c r="EX366" s="40"/>
      <c r="EY366" s="40"/>
      <c r="EZ366" s="35"/>
      <c r="FA366" s="35"/>
      <c r="FB366" s="35"/>
      <c r="FC366" s="35"/>
      <c r="FD366" s="35"/>
      <c r="FE366" s="35"/>
      <c r="FF366" s="35"/>
      <c r="FG366" s="35"/>
    </row>
    <row r="367" spans="1:163">
      <c r="A367" s="60">
        <v>188</v>
      </c>
      <c r="E367" s="63" t="s">
        <v>216</v>
      </c>
      <c r="F367" s="56" t="s">
        <v>64</v>
      </c>
      <c r="G367" s="65" t="s">
        <v>568</v>
      </c>
      <c r="H367" s="66" t="str">
        <f t="shared" si="146"/>
        <v xml:space="preserve"> 995</v>
      </c>
      <c r="I367" s="67" t="s">
        <v>568</v>
      </c>
      <c r="J367" s="68">
        <f t="shared" si="147"/>
        <v>0</v>
      </c>
      <c r="K367" s="63" t="s">
        <v>240</v>
      </c>
      <c r="L367" s="1" t="s">
        <v>46</v>
      </c>
      <c r="O367" s="64" t="s">
        <v>789</v>
      </c>
      <c r="P367" s="82">
        <v>0</v>
      </c>
      <c r="Q367" s="74">
        <f t="shared" si="166"/>
        <v>78000</v>
      </c>
      <c r="R367" s="71">
        <v>78000</v>
      </c>
      <c r="S367" s="72">
        <f t="shared" si="163"/>
        <v>8250</v>
      </c>
      <c r="T367" s="68" t="s">
        <v>791</v>
      </c>
      <c r="U367" s="73">
        <f t="shared" si="164"/>
        <v>69750</v>
      </c>
      <c r="V367" s="73">
        <f>2000+5200+600+200+250</f>
        <v>8250</v>
      </c>
      <c r="W367" s="2">
        <f t="shared" si="148"/>
        <v>78000</v>
      </c>
      <c r="Y367" s="80">
        <f t="shared" si="149"/>
        <v>78000</v>
      </c>
      <c r="Z367" s="93"/>
      <c r="AA367" s="93"/>
      <c r="AB367" s="94"/>
      <c r="AE367" s="2">
        <v>118000</v>
      </c>
      <c r="AF367" s="28">
        <f t="shared" si="143"/>
        <v>118000</v>
      </c>
      <c r="AG367" s="55" t="s">
        <v>125</v>
      </c>
      <c r="AI367" s="20" t="s">
        <v>206</v>
      </c>
      <c r="AJ367" s="2">
        <f t="shared" si="150"/>
        <v>40000</v>
      </c>
      <c r="AN367" s="29">
        <f t="shared" si="151"/>
        <v>0.33898305084745761</v>
      </c>
      <c r="AP367" s="3" t="s">
        <v>140</v>
      </c>
      <c r="AQ367" s="1" t="s">
        <v>160</v>
      </c>
      <c r="AR367" s="31">
        <f t="shared" si="152"/>
        <v>2781</v>
      </c>
      <c r="AS367" s="31">
        <f t="shared" si="153"/>
        <v>-9608</v>
      </c>
      <c r="AT367" s="31">
        <f t="shared" si="165"/>
        <v>1038</v>
      </c>
      <c r="AU367" s="31">
        <f t="shared" si="154"/>
        <v>0</v>
      </c>
      <c r="AV367" s="31">
        <f t="shared" si="155"/>
        <v>0</v>
      </c>
      <c r="AW367" s="31">
        <f t="shared" si="156"/>
        <v>0</v>
      </c>
      <c r="AX367" s="31">
        <f t="shared" si="157"/>
        <v>9238</v>
      </c>
      <c r="AY367" s="31">
        <f t="shared" si="158"/>
        <v>0</v>
      </c>
      <c r="AZ367" s="31">
        <f t="shared" si="159"/>
        <v>0</v>
      </c>
      <c r="BA367" s="31">
        <f t="shared" si="160"/>
        <v>0</v>
      </c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41">
        <v>112219</v>
      </c>
      <c r="BM367" s="41">
        <v>3000</v>
      </c>
      <c r="BN367" s="41">
        <f>BL367+BM367</f>
        <v>115219</v>
      </c>
      <c r="BO367" s="37">
        <f>BN367-Y367</f>
        <v>37219</v>
      </c>
      <c r="BP367" s="38">
        <f>BO367/BL367</f>
        <v>0.33166397847066897</v>
      </c>
      <c r="BQ367" s="37">
        <f>AF367-BN367</f>
        <v>2781</v>
      </c>
      <c r="BR367" s="40" t="s">
        <v>29</v>
      </c>
      <c r="BS367" s="39"/>
      <c r="BT367" s="39"/>
      <c r="BU367" s="39"/>
      <c r="BV367" s="39"/>
      <c r="BW367" s="39"/>
      <c r="BX367" s="36">
        <v>113962</v>
      </c>
      <c r="BY367" s="33">
        <v>3000</v>
      </c>
      <c r="BZ367" s="33">
        <f>BX367+BY367</f>
        <v>116962</v>
      </c>
      <c r="CA367" s="33">
        <f>BZ367-Y367</f>
        <v>38962</v>
      </c>
      <c r="CB367" s="34">
        <f>CA367/BX367</f>
        <v>0.34188589178849088</v>
      </c>
      <c r="CC367" s="33">
        <f>AF367-BZ367</f>
        <v>1038</v>
      </c>
      <c r="CD367" s="35" t="s">
        <v>29</v>
      </c>
      <c r="CE367" s="48"/>
      <c r="CF367" s="48"/>
      <c r="CG367" s="48"/>
      <c r="CH367" s="48"/>
      <c r="CI367" s="48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36">
        <v>127608</v>
      </c>
      <c r="CW367" s="36">
        <f>CV367-Y367</f>
        <v>49608</v>
      </c>
      <c r="CX367" s="46">
        <f>CW367/CV367</f>
        <v>0.38875305623471884</v>
      </c>
      <c r="CY367" s="36">
        <f>AF367-CV367</f>
        <v>-9608</v>
      </c>
      <c r="CZ367" s="35" t="s">
        <v>29</v>
      </c>
      <c r="DA367" s="35"/>
      <c r="DB367" s="35"/>
      <c r="DC367" s="35"/>
      <c r="DD367" s="40"/>
      <c r="DE367" s="40"/>
      <c r="DF367" s="40"/>
      <c r="DG367" s="40"/>
      <c r="DH367" s="40"/>
      <c r="DI367" s="40"/>
      <c r="DJ367" s="40"/>
      <c r="DK367" s="40"/>
      <c r="DL367" s="35"/>
      <c r="DM367" s="35"/>
      <c r="DN367" s="35"/>
      <c r="DO367" s="35"/>
      <c r="DP367" s="35"/>
      <c r="DQ367" s="35"/>
      <c r="DR367" s="35"/>
      <c r="DS367" s="35"/>
      <c r="DT367" s="41">
        <v>105262</v>
      </c>
      <c r="DU367" s="37">
        <v>3500</v>
      </c>
      <c r="DV367" s="41">
        <f>DT367+DU367</f>
        <v>108762</v>
      </c>
      <c r="DW367" s="37">
        <f>DV367-Y367</f>
        <v>30762</v>
      </c>
      <c r="DX367" s="38">
        <f>DW367/DV367</f>
        <v>0.28283775583383902</v>
      </c>
      <c r="DY367" s="37">
        <f>AF367-DV367</f>
        <v>9238</v>
      </c>
      <c r="DZ367" s="40" t="s">
        <v>29</v>
      </c>
      <c r="EA367" s="40"/>
      <c r="EB367" s="40"/>
      <c r="EC367" s="40"/>
      <c r="ED367" s="40"/>
      <c r="EE367" s="40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40"/>
      <c r="ES367" s="40"/>
      <c r="ET367" s="40"/>
      <c r="EU367" s="40"/>
      <c r="EV367" s="40"/>
      <c r="EW367" s="40"/>
      <c r="EX367" s="40"/>
      <c r="EY367" s="40"/>
      <c r="EZ367" s="35"/>
      <c r="FA367" s="35"/>
      <c r="FB367" s="35"/>
      <c r="FC367" s="35"/>
      <c r="FD367" s="35"/>
      <c r="FE367" s="35"/>
      <c r="FF367" s="35"/>
      <c r="FG367" s="35"/>
    </row>
    <row r="368" spans="1:163">
      <c r="A368" s="62">
        <v>189</v>
      </c>
      <c r="E368" s="63" t="s">
        <v>216</v>
      </c>
      <c r="F368" s="56" t="s">
        <v>64</v>
      </c>
      <c r="G368" s="65" t="s">
        <v>569</v>
      </c>
      <c r="H368" s="66" t="str">
        <f t="shared" si="146"/>
        <v xml:space="preserve"> 885</v>
      </c>
      <c r="I368" s="67" t="s">
        <v>569</v>
      </c>
      <c r="J368" s="68">
        <f t="shared" si="147"/>
        <v>0</v>
      </c>
      <c r="K368" s="63" t="s">
        <v>240</v>
      </c>
      <c r="L368" s="1" t="s">
        <v>46</v>
      </c>
      <c r="O368" s="64" t="s">
        <v>789</v>
      </c>
      <c r="P368" s="82">
        <v>0</v>
      </c>
      <c r="Q368" s="74">
        <f t="shared" si="166"/>
        <v>78000</v>
      </c>
      <c r="R368" s="71">
        <v>78000</v>
      </c>
      <c r="S368" s="72">
        <f t="shared" si="163"/>
        <v>8250</v>
      </c>
      <c r="T368" s="68" t="s">
        <v>791</v>
      </c>
      <c r="U368" s="73">
        <f t="shared" si="164"/>
        <v>69750</v>
      </c>
      <c r="V368" s="73">
        <f>2000+5200+600+200+250</f>
        <v>8250</v>
      </c>
      <c r="W368" s="2">
        <f t="shared" si="148"/>
        <v>78000</v>
      </c>
      <c r="Y368" s="80">
        <f t="shared" si="149"/>
        <v>78000</v>
      </c>
      <c r="Z368" s="93"/>
      <c r="AA368" s="93"/>
      <c r="AB368" s="94"/>
      <c r="AE368" s="2">
        <v>118000</v>
      </c>
      <c r="AF368" s="28">
        <f t="shared" si="143"/>
        <v>118000</v>
      </c>
      <c r="AG368" s="55" t="s">
        <v>125</v>
      </c>
      <c r="AI368" s="20" t="s">
        <v>206</v>
      </c>
      <c r="AJ368" s="2">
        <f t="shared" si="150"/>
        <v>40000</v>
      </c>
      <c r="AK368" s="2">
        <f>AVERAGE(AF368,AF367,AF366,AF365,AF364,AF363,AF362,AF361,AF360,AF359,AF358,AF357,AF356,AF355,AF354,AF353,AF352,AF350,AF349,AF348,AF343,AF326)</f>
        <v>69500</v>
      </c>
      <c r="AL368" s="2">
        <f>MIN(AF368,AF367,AF366,AF365,AF364,AF363,AF362,AF361,AF360,AF359,AF358,AF357,AF356,AF355,AF354,AF353,AF352,AF350,AF349,AF348,AF343,AF326)</f>
        <v>0</v>
      </c>
      <c r="AM368" s="2">
        <f>MAX(AF368,AF367,AF366,AF365,AF364,AF363,AF362,AF361,AF360,AF359,AF358,AF357,AF356,AF355,AF354,AF353,AF352,AF350,AF349,AF348,AF343,AF326)</f>
        <v>237000</v>
      </c>
      <c r="AN368" s="29">
        <f t="shared" si="151"/>
        <v>0.33898305084745761</v>
      </c>
      <c r="AP368" s="3" t="s">
        <v>140</v>
      </c>
      <c r="AQ368" s="1" t="s">
        <v>160</v>
      </c>
      <c r="AR368" s="31">
        <f t="shared" si="152"/>
        <v>2781</v>
      </c>
      <c r="AS368" s="31">
        <f t="shared" si="153"/>
        <v>-9608</v>
      </c>
      <c r="AT368" s="31">
        <f t="shared" si="165"/>
        <v>1038</v>
      </c>
      <c r="AU368" s="31">
        <f t="shared" si="154"/>
        <v>0</v>
      </c>
      <c r="AV368" s="31">
        <f t="shared" si="155"/>
        <v>0</v>
      </c>
      <c r="AW368" s="31">
        <f t="shared" si="156"/>
        <v>0</v>
      </c>
      <c r="AX368" s="31">
        <f t="shared" si="157"/>
        <v>9238</v>
      </c>
      <c r="AY368" s="31">
        <f t="shared" si="158"/>
        <v>0</v>
      </c>
      <c r="AZ368" s="31">
        <f t="shared" si="159"/>
        <v>0</v>
      </c>
      <c r="BA368" s="31">
        <f t="shared" si="160"/>
        <v>0</v>
      </c>
      <c r="BB368" s="32">
        <f>IF(BS368&lt;&gt;"", AK368-BS368, 0)</f>
        <v>-48637</v>
      </c>
      <c r="BC368" s="32">
        <f>IF(DA368&lt;&gt;"", AK368-DA368, 0)</f>
        <v>-49650</v>
      </c>
      <c r="BD368" s="32">
        <f>IF(CE368&lt;&gt;"", AK368-CE368, )</f>
        <v>-40365</v>
      </c>
      <c r="BE368" s="32">
        <f>IF(DI368&lt;&gt;"", AK368-DI368, 0)</f>
        <v>0</v>
      </c>
      <c r="BF368" s="32">
        <f>IF(CQ368&lt;&gt;"",AK368-CQ368, 0)</f>
        <v>0</v>
      </c>
      <c r="BG368" s="32">
        <f>IF(DQ368&lt;&gt;"", AK368-DQ368, 0)</f>
        <v>-42145</v>
      </c>
      <c r="BH368" s="32">
        <f>IF(EA368&lt;&gt;"", AK368-EA368, 0)</f>
        <v>-37561</v>
      </c>
      <c r="BI368" s="32">
        <f>IF(EM368&lt;&gt;"", AK368-EM368, 0)</f>
        <v>-38057</v>
      </c>
      <c r="BJ368" s="32">
        <f>IF(EW368&lt;&gt;"", AK368-EW368, 0)</f>
        <v>-68579</v>
      </c>
      <c r="BK368" s="32">
        <f>IF(FE368&lt;&gt;"", AK368-FE368, 0)</f>
        <v>0</v>
      </c>
      <c r="BL368" s="41">
        <v>112219</v>
      </c>
      <c r="BM368" s="41">
        <v>3000</v>
      </c>
      <c r="BN368" s="41">
        <f>BL368+BM368</f>
        <v>115219</v>
      </c>
      <c r="BO368" s="37">
        <f>BN368-Y368</f>
        <v>37219</v>
      </c>
      <c r="BP368" s="38">
        <f>BO368/BL368</f>
        <v>0.33166397847066897</v>
      </c>
      <c r="BQ368" s="37">
        <f>AF368-BN368</f>
        <v>2781</v>
      </c>
      <c r="BR368" s="40" t="s">
        <v>29</v>
      </c>
      <c r="BS368" s="41">
        <f>BU368+BT368</f>
        <v>118137</v>
      </c>
      <c r="BT368" s="41">
        <v>2500</v>
      </c>
      <c r="BU368" s="41">
        <v>115637</v>
      </c>
      <c r="BV368" s="41">
        <v>139500</v>
      </c>
      <c r="BW368" s="41">
        <v>79650</v>
      </c>
      <c r="BX368" s="36">
        <v>113962</v>
      </c>
      <c r="BY368" s="33">
        <v>3000</v>
      </c>
      <c r="BZ368" s="33">
        <f>BX368+BY368</f>
        <v>116962</v>
      </c>
      <c r="CA368" s="33">
        <f>BZ368-Y368</f>
        <v>38962</v>
      </c>
      <c r="CB368" s="34">
        <f>CA368/BX368</f>
        <v>0.34188589178849088</v>
      </c>
      <c r="CC368" s="33">
        <f>AF368-BZ368</f>
        <v>1038</v>
      </c>
      <c r="CD368" s="35" t="s">
        <v>29</v>
      </c>
      <c r="CE368" s="36">
        <f>CG368+CF368</f>
        <v>109865</v>
      </c>
      <c r="CF368" s="36">
        <v>2500</v>
      </c>
      <c r="CG368" s="36">
        <v>107365</v>
      </c>
      <c r="CH368" s="36">
        <v>128700</v>
      </c>
      <c r="CI368" s="36">
        <v>89550</v>
      </c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36">
        <v>127608</v>
      </c>
      <c r="CW368" s="36">
        <f>CV368-Y368</f>
        <v>49608</v>
      </c>
      <c r="CX368" s="46">
        <f>CW368/CV368</f>
        <v>0.38875305623471884</v>
      </c>
      <c r="CY368" s="36">
        <f>AF368-CV368</f>
        <v>-9608</v>
      </c>
      <c r="CZ368" s="35" t="s">
        <v>29</v>
      </c>
      <c r="DA368" s="36">
        <v>119150</v>
      </c>
      <c r="DB368" s="36">
        <v>130140</v>
      </c>
      <c r="DC368" s="36">
        <v>91800</v>
      </c>
      <c r="DD368" s="40"/>
      <c r="DE368" s="40"/>
      <c r="DF368" s="40"/>
      <c r="DG368" s="40"/>
      <c r="DH368" s="40"/>
      <c r="DI368" s="40"/>
      <c r="DJ368" s="40"/>
      <c r="DK368" s="40"/>
      <c r="DL368" s="35"/>
      <c r="DM368" s="35"/>
      <c r="DN368" s="35"/>
      <c r="DO368" s="35"/>
      <c r="DP368" s="35"/>
      <c r="DQ368" s="36">
        <v>111645</v>
      </c>
      <c r="DR368" s="36">
        <v>121800</v>
      </c>
      <c r="DS368" s="36">
        <v>100800</v>
      </c>
      <c r="DT368" s="41">
        <v>105262</v>
      </c>
      <c r="DU368" s="37">
        <v>3500</v>
      </c>
      <c r="DV368" s="41">
        <f>DT368+DU368</f>
        <v>108762</v>
      </c>
      <c r="DW368" s="37">
        <f>DV368-Y368</f>
        <v>30762</v>
      </c>
      <c r="DX368" s="38">
        <f>DW368/DV368</f>
        <v>0.28283775583383902</v>
      </c>
      <c r="DY368" s="37">
        <f>AF368-DV368</f>
        <v>9238</v>
      </c>
      <c r="DZ368" s="40" t="s">
        <v>29</v>
      </c>
      <c r="EA368" s="41">
        <f>EC368+EB368</f>
        <v>107061</v>
      </c>
      <c r="EB368" s="41">
        <v>3000</v>
      </c>
      <c r="EC368" s="41">
        <v>104061</v>
      </c>
      <c r="ED368" s="41">
        <v>82687</v>
      </c>
      <c r="EE368" s="41">
        <v>54862</v>
      </c>
      <c r="EF368" s="35"/>
      <c r="EG368" s="35"/>
      <c r="EH368" s="35"/>
      <c r="EI368" s="35"/>
      <c r="EJ368" s="35"/>
      <c r="EK368" s="35"/>
      <c r="EL368" s="35"/>
      <c r="EM368" s="36">
        <f>EO368+EN368</f>
        <v>107557</v>
      </c>
      <c r="EN368" s="36">
        <v>2500</v>
      </c>
      <c r="EO368" s="36">
        <v>105057</v>
      </c>
      <c r="EP368" s="36">
        <v>118387</v>
      </c>
      <c r="EQ368" s="36">
        <v>85312</v>
      </c>
      <c r="ER368" s="40"/>
      <c r="ES368" s="40"/>
      <c r="ET368" s="40"/>
      <c r="EU368" s="40"/>
      <c r="EV368" s="40"/>
      <c r="EW368" s="41">
        <v>138079</v>
      </c>
      <c r="EX368" s="41">
        <v>155000</v>
      </c>
      <c r="EY368" s="41">
        <v>120000</v>
      </c>
      <c r="EZ368" s="35"/>
      <c r="FA368" s="35"/>
      <c r="FB368" s="35"/>
      <c r="FC368" s="35"/>
      <c r="FD368" s="35"/>
      <c r="FE368" s="35"/>
      <c r="FF368" s="35"/>
      <c r="FG368" s="35"/>
    </row>
    <row r="369" spans="1:163">
      <c r="A369" s="62">
        <v>54</v>
      </c>
      <c r="E369" s="63" t="s">
        <v>113</v>
      </c>
      <c r="F369" s="56" t="s">
        <v>55</v>
      </c>
      <c r="G369" s="70" t="s">
        <v>434</v>
      </c>
      <c r="H369" s="66" t="str">
        <f t="shared" si="146"/>
        <v xml:space="preserve"> 282</v>
      </c>
      <c r="I369" s="67" t="s">
        <v>434</v>
      </c>
      <c r="J369" s="68">
        <f t="shared" si="147"/>
        <v>0</v>
      </c>
      <c r="K369" s="63" t="s">
        <v>264</v>
      </c>
      <c r="L369" s="1" t="s">
        <v>46</v>
      </c>
      <c r="O369" s="88" t="s">
        <v>790</v>
      </c>
      <c r="P369" s="89">
        <v>0</v>
      </c>
      <c r="Q369" s="90">
        <f t="shared" si="166"/>
        <v>62500</v>
      </c>
      <c r="R369" s="71">
        <v>62500</v>
      </c>
      <c r="S369" s="72">
        <f t="shared" si="163"/>
        <v>8150</v>
      </c>
      <c r="T369" s="68" t="s">
        <v>791</v>
      </c>
      <c r="U369" s="73">
        <f t="shared" si="164"/>
        <v>54350</v>
      </c>
      <c r="V369" s="73">
        <f>2000+5100+600+200+250</f>
        <v>8150</v>
      </c>
      <c r="W369" s="2">
        <f t="shared" si="148"/>
        <v>62500</v>
      </c>
      <c r="Y369" s="81">
        <f t="shared" si="149"/>
        <v>62500</v>
      </c>
      <c r="Z369" s="96">
        <v>0</v>
      </c>
      <c r="AA369" s="97">
        <f>U369-Z369</f>
        <v>54350</v>
      </c>
      <c r="AB369" s="98" t="e">
        <f>AA369/Z369</f>
        <v>#DIV/0!</v>
      </c>
      <c r="AE369" s="2">
        <v>86000</v>
      </c>
      <c r="AF369" s="28">
        <f t="shared" si="143"/>
        <v>0</v>
      </c>
      <c r="AG369" s="55" t="s">
        <v>125</v>
      </c>
      <c r="AI369" s="20" t="s">
        <v>45</v>
      </c>
      <c r="AJ369" s="2">
        <f t="shared" si="150"/>
        <v>-62500</v>
      </c>
      <c r="AN369" s="29" t="e">
        <f t="shared" si="151"/>
        <v>#DIV/0!</v>
      </c>
      <c r="AP369" s="3" t="s">
        <v>29</v>
      </c>
      <c r="AQ369" s="1" t="s">
        <v>148</v>
      </c>
      <c r="AR369" s="31">
        <f t="shared" si="152"/>
        <v>0</v>
      </c>
      <c r="AS369" s="31">
        <f t="shared" si="153"/>
        <v>0</v>
      </c>
      <c r="AT369" s="31">
        <f t="shared" si="165"/>
        <v>0</v>
      </c>
      <c r="AU369" s="31">
        <f t="shared" si="154"/>
        <v>0</v>
      </c>
      <c r="AV369" s="31">
        <f t="shared" si="155"/>
        <v>0</v>
      </c>
      <c r="AW369" s="31">
        <f t="shared" si="156"/>
        <v>0</v>
      </c>
      <c r="AX369" s="31">
        <f t="shared" si="157"/>
        <v>0</v>
      </c>
      <c r="AY369" s="31">
        <f t="shared" si="158"/>
        <v>0</v>
      </c>
      <c r="AZ369" s="31">
        <f t="shared" si="159"/>
        <v>0</v>
      </c>
      <c r="BA369" s="31">
        <f t="shared" si="160"/>
        <v>0</v>
      </c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41"/>
      <c r="BM369" s="41"/>
      <c r="BN369" s="41"/>
      <c r="BO369" s="37"/>
      <c r="BP369" s="38"/>
      <c r="BQ369" s="37"/>
      <c r="BR369" s="40"/>
      <c r="BS369" s="41"/>
      <c r="BT369" s="41"/>
      <c r="BU369" s="41"/>
      <c r="BV369" s="41"/>
      <c r="BW369" s="41"/>
      <c r="BX369" s="36"/>
      <c r="BY369" s="33"/>
      <c r="BZ369" s="33"/>
      <c r="CA369" s="33"/>
      <c r="CB369" s="34"/>
      <c r="CC369" s="33"/>
      <c r="CD369" s="35"/>
      <c r="CE369" s="36"/>
      <c r="CF369" s="36"/>
      <c r="CG369" s="36"/>
      <c r="CH369" s="36"/>
      <c r="CI369" s="36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35"/>
      <c r="CW369" s="35"/>
      <c r="CX369" s="35"/>
      <c r="CY369" s="35"/>
      <c r="CZ369" s="35"/>
      <c r="DA369" s="36"/>
      <c r="DB369" s="36"/>
      <c r="DC369" s="36"/>
      <c r="DD369" s="40"/>
      <c r="DE369" s="40"/>
      <c r="DF369" s="40"/>
      <c r="DG369" s="40"/>
      <c r="DH369" s="40"/>
      <c r="DI369" s="41"/>
      <c r="DJ369" s="41"/>
      <c r="DK369" s="41"/>
      <c r="DL369" s="35"/>
      <c r="DM369" s="35"/>
      <c r="DN369" s="35"/>
      <c r="DO369" s="35"/>
      <c r="DP369" s="35"/>
      <c r="DQ369" s="36"/>
      <c r="DR369" s="36"/>
      <c r="DS369" s="36"/>
      <c r="DT369" s="40"/>
      <c r="DU369" s="40"/>
      <c r="DV369" s="40"/>
      <c r="DW369" s="40"/>
      <c r="DX369" s="40"/>
      <c r="DY369" s="40"/>
      <c r="DZ369" s="40"/>
      <c r="EA369" s="41"/>
      <c r="EB369" s="41"/>
      <c r="EC369" s="41"/>
      <c r="ED369" s="41"/>
      <c r="EE369" s="41"/>
      <c r="EF369" s="35"/>
      <c r="EG369" s="35"/>
      <c r="EH369" s="35"/>
      <c r="EI369" s="35"/>
      <c r="EJ369" s="35"/>
      <c r="EK369" s="35"/>
      <c r="EL369" s="35"/>
      <c r="EM369" s="36"/>
      <c r="EN369" s="36"/>
      <c r="EO369" s="36"/>
      <c r="EP369" s="36"/>
      <c r="EQ369" s="36"/>
      <c r="ER369" s="40"/>
      <c r="ES369" s="40"/>
      <c r="ET369" s="40"/>
      <c r="EU369" s="40"/>
      <c r="EV369" s="40"/>
      <c r="EW369" s="41"/>
      <c r="EX369" s="41"/>
      <c r="EY369" s="41"/>
      <c r="EZ369" s="35"/>
      <c r="FA369" s="35"/>
      <c r="FB369" s="35"/>
      <c r="FC369" s="35"/>
      <c r="FD369" s="35"/>
      <c r="FE369" s="35"/>
      <c r="FF369" s="35"/>
      <c r="FG369" s="35"/>
    </row>
    <row r="370" spans="1:163">
      <c r="A370" s="60">
        <v>57</v>
      </c>
      <c r="E370" s="63" t="s">
        <v>211</v>
      </c>
      <c r="F370" s="56" t="s">
        <v>115</v>
      </c>
      <c r="G370" s="70" t="s">
        <v>437</v>
      </c>
      <c r="H370" s="66" t="str">
        <f t="shared" si="146"/>
        <v xml:space="preserve"> 894</v>
      </c>
      <c r="I370" s="67" t="s">
        <v>437</v>
      </c>
      <c r="J370" s="68">
        <f t="shared" si="147"/>
        <v>0</v>
      </c>
      <c r="K370" s="63" t="s">
        <v>264</v>
      </c>
      <c r="L370" s="1" t="s">
        <v>46</v>
      </c>
      <c r="O370" s="88" t="s">
        <v>790</v>
      </c>
      <c r="P370" s="89">
        <v>0</v>
      </c>
      <c r="Q370" s="90">
        <f t="shared" si="166"/>
        <v>62500</v>
      </c>
      <c r="R370" s="71">
        <v>62500</v>
      </c>
      <c r="S370" s="72">
        <f t="shared" si="163"/>
        <v>8150</v>
      </c>
      <c r="T370" s="68" t="s">
        <v>791</v>
      </c>
      <c r="U370" s="73">
        <f t="shared" si="164"/>
        <v>54350</v>
      </c>
      <c r="V370" s="73">
        <f>2000+5100+600+200+250</f>
        <v>8150</v>
      </c>
      <c r="W370" s="2">
        <f t="shared" si="148"/>
        <v>62500</v>
      </c>
      <c r="Y370" s="81">
        <f t="shared" si="149"/>
        <v>62500</v>
      </c>
      <c r="Z370" s="96">
        <v>0</v>
      </c>
      <c r="AA370" s="97">
        <f>U370-Z370</f>
        <v>54350</v>
      </c>
      <c r="AB370" s="98" t="e">
        <f>AA370/Z370</f>
        <v>#DIV/0!</v>
      </c>
      <c r="AE370" s="2">
        <v>97000</v>
      </c>
      <c r="AF370" s="28">
        <f t="shared" si="143"/>
        <v>0</v>
      </c>
      <c r="AG370" s="55" t="s">
        <v>125</v>
      </c>
      <c r="AI370" s="20" t="s">
        <v>45</v>
      </c>
      <c r="AJ370" s="2">
        <f t="shared" si="150"/>
        <v>-62500</v>
      </c>
      <c r="AN370" s="29" t="e">
        <f t="shared" si="151"/>
        <v>#DIV/0!</v>
      </c>
      <c r="AP370" s="3" t="s">
        <v>29</v>
      </c>
      <c r="AQ370" s="1" t="s">
        <v>153</v>
      </c>
      <c r="AR370" s="31">
        <f t="shared" si="152"/>
        <v>0</v>
      </c>
      <c r="AS370" s="31">
        <f t="shared" si="153"/>
        <v>0</v>
      </c>
      <c r="AT370" s="31">
        <f t="shared" si="165"/>
        <v>0</v>
      </c>
      <c r="AU370" s="31">
        <f t="shared" si="154"/>
        <v>0</v>
      </c>
      <c r="AV370" s="31">
        <f t="shared" si="155"/>
        <v>0</v>
      </c>
      <c r="AW370" s="31">
        <f t="shared" si="156"/>
        <v>0</v>
      </c>
      <c r="AX370" s="31">
        <f t="shared" si="157"/>
        <v>0</v>
      </c>
      <c r="AY370" s="31">
        <f t="shared" si="158"/>
        <v>0</v>
      </c>
      <c r="AZ370" s="31">
        <f t="shared" si="159"/>
        <v>0</v>
      </c>
      <c r="BA370" s="31">
        <f t="shared" si="160"/>
        <v>0</v>
      </c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41"/>
      <c r="BM370" s="41"/>
      <c r="BN370" s="41"/>
      <c r="BO370" s="37"/>
      <c r="BP370" s="38"/>
      <c r="BQ370" s="37"/>
      <c r="BR370" s="40"/>
      <c r="BS370" s="39"/>
      <c r="BT370" s="39"/>
      <c r="BU370" s="39"/>
      <c r="BV370" s="39"/>
      <c r="BW370" s="39"/>
      <c r="BX370" s="36"/>
      <c r="BY370" s="33"/>
      <c r="BZ370" s="33"/>
      <c r="CA370" s="33"/>
      <c r="CB370" s="34"/>
      <c r="CC370" s="33"/>
      <c r="CD370" s="35"/>
      <c r="CE370" s="48"/>
      <c r="CF370" s="48"/>
      <c r="CG370" s="48"/>
      <c r="CH370" s="48"/>
      <c r="CI370" s="48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35"/>
      <c r="CW370" s="35"/>
      <c r="CX370" s="35"/>
      <c r="CY370" s="35"/>
      <c r="CZ370" s="35"/>
      <c r="DA370" s="35"/>
      <c r="DB370" s="35"/>
      <c r="DC370" s="35"/>
      <c r="DD370" s="40"/>
      <c r="DE370" s="40"/>
      <c r="DF370" s="40"/>
      <c r="DG370" s="40"/>
      <c r="DH370" s="40"/>
      <c r="DI370" s="40"/>
      <c r="DJ370" s="40"/>
      <c r="DK370" s="40"/>
      <c r="DL370" s="35"/>
      <c r="DM370" s="35"/>
      <c r="DN370" s="35"/>
      <c r="DO370" s="35"/>
      <c r="DP370" s="35"/>
      <c r="DQ370" s="35"/>
      <c r="DR370" s="35"/>
      <c r="DS370" s="35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40"/>
      <c r="ES370" s="40"/>
      <c r="ET370" s="40"/>
      <c r="EU370" s="40"/>
      <c r="EV370" s="40"/>
      <c r="EW370" s="40"/>
      <c r="EX370" s="40"/>
      <c r="EY370" s="40"/>
      <c r="EZ370" s="35"/>
      <c r="FA370" s="35"/>
      <c r="FB370" s="35"/>
      <c r="FC370" s="35"/>
      <c r="FD370" s="35"/>
      <c r="FE370" s="35"/>
      <c r="FF370" s="35"/>
      <c r="FG370" s="35"/>
    </row>
    <row r="371" spans="1:163">
      <c r="A371" s="60">
        <v>47</v>
      </c>
      <c r="E371" s="63" t="s">
        <v>211</v>
      </c>
      <c r="F371" s="56" t="s">
        <v>113</v>
      </c>
      <c r="G371" s="70" t="s">
        <v>427</v>
      </c>
      <c r="H371" s="66" t="str">
        <f t="shared" si="146"/>
        <v xml:space="preserve"> 898</v>
      </c>
      <c r="I371" s="67" t="s">
        <v>427</v>
      </c>
      <c r="J371" s="68">
        <f t="shared" si="147"/>
        <v>0</v>
      </c>
      <c r="K371" s="63" t="s">
        <v>264</v>
      </c>
      <c r="L371" s="1" t="s">
        <v>46</v>
      </c>
      <c r="O371" s="88" t="s">
        <v>790</v>
      </c>
      <c r="P371" s="89">
        <v>0</v>
      </c>
      <c r="Q371" s="90">
        <f t="shared" si="166"/>
        <v>62500</v>
      </c>
      <c r="R371" s="71">
        <v>62500</v>
      </c>
      <c r="S371" s="72">
        <f t="shared" si="163"/>
        <v>8150</v>
      </c>
      <c r="T371" s="68" t="s">
        <v>791</v>
      </c>
      <c r="U371" s="73">
        <f t="shared" si="164"/>
        <v>54350</v>
      </c>
      <c r="V371" s="73">
        <f>2000+5100+600+200+250</f>
        <v>8150</v>
      </c>
      <c r="W371" s="2">
        <f t="shared" si="148"/>
        <v>62500</v>
      </c>
      <c r="Y371" s="81">
        <f t="shared" si="149"/>
        <v>62500</v>
      </c>
      <c r="Z371" s="96">
        <v>0</v>
      </c>
      <c r="AA371" s="97">
        <f>U371-Z371</f>
        <v>54350</v>
      </c>
      <c r="AB371" s="98" t="e">
        <f>AA371/Z371</f>
        <v>#DIV/0!</v>
      </c>
      <c r="AE371" s="2">
        <v>93000</v>
      </c>
      <c r="AF371" s="28">
        <f t="shared" si="143"/>
        <v>0</v>
      </c>
      <c r="AG371" s="55" t="s">
        <v>125</v>
      </c>
      <c r="AI371" s="20" t="s">
        <v>45</v>
      </c>
      <c r="AJ371" s="2">
        <f t="shared" si="150"/>
        <v>-62500</v>
      </c>
      <c r="AN371" s="29" t="e">
        <f t="shared" si="151"/>
        <v>#DIV/0!</v>
      </c>
      <c r="AP371" s="3" t="s">
        <v>29</v>
      </c>
      <c r="AQ371" s="1" t="s">
        <v>148</v>
      </c>
      <c r="AR371" s="31">
        <f t="shared" si="152"/>
        <v>0</v>
      </c>
      <c r="AS371" s="31">
        <f t="shared" si="153"/>
        <v>0</v>
      </c>
      <c r="AT371" s="31">
        <f t="shared" si="165"/>
        <v>0</v>
      </c>
      <c r="AU371" s="31">
        <f t="shared" si="154"/>
        <v>0</v>
      </c>
      <c r="AV371" s="31">
        <f t="shared" si="155"/>
        <v>0</v>
      </c>
      <c r="AW371" s="31">
        <f t="shared" si="156"/>
        <v>0</v>
      </c>
      <c r="AX371" s="31">
        <f t="shared" si="157"/>
        <v>0</v>
      </c>
      <c r="AY371" s="31">
        <f t="shared" si="158"/>
        <v>0</v>
      </c>
      <c r="AZ371" s="31">
        <f t="shared" si="159"/>
        <v>0</v>
      </c>
      <c r="BA371" s="31">
        <f t="shared" si="160"/>
        <v>0</v>
      </c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41"/>
      <c r="BM371" s="41"/>
      <c r="BN371" s="41"/>
      <c r="BO371" s="37"/>
      <c r="BP371" s="38"/>
      <c r="BQ371" s="37"/>
      <c r="BR371" s="40"/>
      <c r="BS371" s="39"/>
      <c r="BT371" s="39"/>
      <c r="BU371" s="39"/>
      <c r="BV371" s="39"/>
      <c r="BW371" s="39"/>
      <c r="BX371" s="36"/>
      <c r="BY371" s="33"/>
      <c r="BZ371" s="33"/>
      <c r="CA371" s="33"/>
      <c r="CB371" s="34"/>
      <c r="CC371" s="33"/>
      <c r="CD371" s="35"/>
      <c r="CE371" s="48"/>
      <c r="CF371" s="48"/>
      <c r="CG371" s="48"/>
      <c r="CH371" s="48"/>
      <c r="CI371" s="48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35"/>
      <c r="CW371" s="35"/>
      <c r="CX371" s="35"/>
      <c r="CY371" s="35"/>
      <c r="CZ371" s="35"/>
      <c r="DA371" s="35"/>
      <c r="DB371" s="35"/>
      <c r="DC371" s="35"/>
      <c r="DD371" s="40"/>
      <c r="DE371" s="40"/>
      <c r="DF371" s="40"/>
      <c r="DG371" s="40"/>
      <c r="DH371" s="40"/>
      <c r="DI371" s="40"/>
      <c r="DJ371" s="40"/>
      <c r="DK371" s="40"/>
      <c r="DL371" s="35"/>
      <c r="DM371" s="35"/>
      <c r="DN371" s="35"/>
      <c r="DO371" s="35"/>
      <c r="DP371" s="35"/>
      <c r="DQ371" s="35"/>
      <c r="DR371" s="35"/>
      <c r="DS371" s="35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40"/>
      <c r="ES371" s="40"/>
      <c r="ET371" s="40"/>
      <c r="EU371" s="40"/>
      <c r="EV371" s="40"/>
      <c r="EW371" s="40"/>
      <c r="EX371" s="40"/>
      <c r="EY371" s="40"/>
      <c r="EZ371" s="35"/>
      <c r="FA371" s="35"/>
      <c r="FB371" s="35"/>
      <c r="FC371" s="35"/>
      <c r="FD371" s="35"/>
      <c r="FE371" s="35"/>
      <c r="FF371" s="35"/>
      <c r="FG371" s="35"/>
    </row>
    <row r="372" spans="1:163">
      <c r="A372" s="60">
        <v>55</v>
      </c>
      <c r="E372" s="63" t="s">
        <v>211</v>
      </c>
      <c r="F372" s="56" t="s">
        <v>115</v>
      </c>
      <c r="G372" s="70" t="s">
        <v>435</v>
      </c>
      <c r="H372" s="66" t="str">
        <f t="shared" si="146"/>
        <v xml:space="preserve"> 927</v>
      </c>
      <c r="I372" s="67" t="s">
        <v>435</v>
      </c>
      <c r="J372" s="68">
        <f t="shared" si="147"/>
        <v>0</v>
      </c>
      <c r="K372" s="63" t="s">
        <v>264</v>
      </c>
      <c r="L372" s="1" t="s">
        <v>46</v>
      </c>
      <c r="O372" s="88" t="s">
        <v>790</v>
      </c>
      <c r="P372" s="89">
        <v>0</v>
      </c>
      <c r="Q372" s="90">
        <f t="shared" si="166"/>
        <v>67500</v>
      </c>
      <c r="R372" s="71">
        <v>67500</v>
      </c>
      <c r="S372" s="72">
        <f t="shared" si="163"/>
        <v>8150</v>
      </c>
      <c r="T372" s="68" t="s">
        <v>791</v>
      </c>
      <c r="U372" s="73">
        <f t="shared" si="164"/>
        <v>59350</v>
      </c>
      <c r="V372" s="73">
        <f>2000+5100+600+200+250</f>
        <v>8150</v>
      </c>
      <c r="W372" s="2">
        <f t="shared" si="148"/>
        <v>67500</v>
      </c>
      <c r="Y372" s="81">
        <f t="shared" si="149"/>
        <v>67500</v>
      </c>
      <c r="Z372" s="96">
        <v>0</v>
      </c>
      <c r="AA372" s="97">
        <f>U372-Z372</f>
        <v>59350</v>
      </c>
      <c r="AB372" s="98" t="e">
        <f>AA372/Z372</f>
        <v>#DIV/0!</v>
      </c>
      <c r="AE372" s="2">
        <v>97000</v>
      </c>
      <c r="AF372" s="28">
        <f t="shared" si="143"/>
        <v>0</v>
      </c>
      <c r="AG372" s="55" t="s">
        <v>125</v>
      </c>
      <c r="AI372" s="20" t="s">
        <v>45</v>
      </c>
      <c r="AJ372" s="2">
        <f t="shared" si="150"/>
        <v>-67500</v>
      </c>
      <c r="AN372" s="29" t="e">
        <f t="shared" si="151"/>
        <v>#DIV/0!</v>
      </c>
      <c r="AP372" s="3" t="s">
        <v>29</v>
      </c>
      <c r="AQ372" s="1" t="s">
        <v>153</v>
      </c>
      <c r="AR372" s="31">
        <f t="shared" si="152"/>
        <v>0</v>
      </c>
      <c r="AS372" s="31">
        <f t="shared" si="153"/>
        <v>0</v>
      </c>
      <c r="AT372" s="31">
        <f t="shared" si="165"/>
        <v>0</v>
      </c>
      <c r="AU372" s="31">
        <f t="shared" si="154"/>
        <v>0</v>
      </c>
      <c r="AV372" s="31">
        <f t="shared" si="155"/>
        <v>0</v>
      </c>
      <c r="AW372" s="31">
        <f t="shared" si="156"/>
        <v>0</v>
      </c>
      <c r="AX372" s="31">
        <f t="shared" si="157"/>
        <v>0</v>
      </c>
      <c r="AY372" s="31">
        <f t="shared" si="158"/>
        <v>0</v>
      </c>
      <c r="AZ372" s="31">
        <f t="shared" si="159"/>
        <v>0</v>
      </c>
      <c r="BA372" s="31">
        <f t="shared" si="160"/>
        <v>0</v>
      </c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41"/>
      <c r="BM372" s="41"/>
      <c r="BN372" s="41"/>
      <c r="BO372" s="37"/>
      <c r="BP372" s="38"/>
      <c r="BQ372" s="37"/>
      <c r="BR372" s="40"/>
      <c r="BS372" s="39"/>
      <c r="BT372" s="39"/>
      <c r="BU372" s="39"/>
      <c r="BV372" s="39"/>
      <c r="BW372" s="39"/>
      <c r="BX372" s="36"/>
      <c r="BY372" s="33"/>
      <c r="BZ372" s="33"/>
      <c r="CA372" s="33"/>
      <c r="CB372" s="34"/>
      <c r="CC372" s="33"/>
      <c r="CD372" s="35"/>
      <c r="CE372" s="48"/>
      <c r="CF372" s="48"/>
      <c r="CG372" s="48"/>
      <c r="CH372" s="48"/>
      <c r="CI372" s="48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35"/>
      <c r="CW372" s="35"/>
      <c r="CX372" s="35"/>
      <c r="CY372" s="35"/>
      <c r="CZ372" s="35"/>
      <c r="DA372" s="35"/>
      <c r="DB372" s="35"/>
      <c r="DC372" s="35"/>
      <c r="DD372" s="40"/>
      <c r="DE372" s="40"/>
      <c r="DF372" s="40"/>
      <c r="DG372" s="40"/>
      <c r="DH372" s="40"/>
      <c r="DI372" s="40"/>
      <c r="DJ372" s="40"/>
      <c r="DK372" s="40"/>
      <c r="DL372" s="35"/>
      <c r="DM372" s="35"/>
      <c r="DN372" s="35"/>
      <c r="DO372" s="35"/>
      <c r="DP372" s="35"/>
      <c r="DQ372" s="35"/>
      <c r="DR372" s="35"/>
      <c r="DS372" s="35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40"/>
      <c r="ES372" s="40"/>
      <c r="ET372" s="40"/>
      <c r="EU372" s="40"/>
      <c r="EV372" s="40"/>
      <c r="EW372" s="40"/>
      <c r="EX372" s="40"/>
      <c r="EY372" s="40"/>
      <c r="EZ372" s="35"/>
      <c r="FA372" s="35"/>
      <c r="FB372" s="35"/>
      <c r="FC372" s="35"/>
      <c r="FD372" s="35"/>
      <c r="FE372" s="35"/>
      <c r="FF372" s="35"/>
      <c r="FG372" s="35"/>
    </row>
    <row r="373" spans="1:163">
      <c r="A373" s="60">
        <v>41</v>
      </c>
      <c r="E373" s="63" t="s">
        <v>113</v>
      </c>
      <c r="F373" s="56" t="s">
        <v>113</v>
      </c>
      <c r="G373" s="70" t="s">
        <v>421</v>
      </c>
      <c r="H373" s="66" t="str">
        <f t="shared" si="146"/>
        <v xml:space="preserve"> 781</v>
      </c>
      <c r="I373" s="67" t="s">
        <v>421</v>
      </c>
      <c r="J373" s="68">
        <f t="shared" si="147"/>
        <v>0</v>
      </c>
      <c r="K373" s="99" t="s">
        <v>50</v>
      </c>
      <c r="L373" s="1" t="s">
        <v>46</v>
      </c>
      <c r="O373" s="88" t="s">
        <v>790</v>
      </c>
      <c r="P373" s="89">
        <v>77000</v>
      </c>
      <c r="Q373" s="90">
        <f t="shared" si="166"/>
        <v>0</v>
      </c>
      <c r="R373" s="71"/>
      <c r="S373" s="72">
        <f t="shared" si="163"/>
        <v>0</v>
      </c>
      <c r="T373" s="68"/>
      <c r="U373" s="73">
        <f t="shared" si="164"/>
        <v>0</v>
      </c>
      <c r="V373" s="73"/>
      <c r="W373" s="2">
        <f t="shared" si="148"/>
        <v>-77000</v>
      </c>
      <c r="Y373" s="81">
        <f t="shared" si="149"/>
        <v>0</v>
      </c>
      <c r="Z373" s="96">
        <v>0</v>
      </c>
      <c r="AA373" s="97">
        <f>U373-Z373</f>
        <v>0</v>
      </c>
      <c r="AB373" s="98" t="e">
        <f>AA373/Z373</f>
        <v>#DIV/0!</v>
      </c>
      <c r="AC373" s="2">
        <v>3000</v>
      </c>
      <c r="AD373" s="2">
        <f>Z373+AC373</f>
        <v>3000</v>
      </c>
      <c r="AF373" s="28">
        <f t="shared" si="143"/>
        <v>3000</v>
      </c>
      <c r="AG373" s="55" t="s">
        <v>125</v>
      </c>
      <c r="AI373" s="20" t="s">
        <v>45</v>
      </c>
      <c r="AJ373" s="2">
        <f t="shared" si="150"/>
        <v>3000</v>
      </c>
      <c r="AN373" s="29">
        <f t="shared" si="151"/>
        <v>1</v>
      </c>
      <c r="AO373" s="29" t="e">
        <f>AN373-AB373</f>
        <v>#DIV/0!</v>
      </c>
      <c r="AP373" s="3" t="s">
        <v>140</v>
      </c>
      <c r="AQ373" s="1" t="s">
        <v>146</v>
      </c>
      <c r="AR373" s="31">
        <f t="shared" si="152"/>
        <v>-95550</v>
      </c>
      <c r="AS373" s="31">
        <f t="shared" si="153"/>
        <v>-93660</v>
      </c>
      <c r="AT373" s="31">
        <f t="shared" si="165"/>
        <v>0</v>
      </c>
      <c r="AU373" s="31">
        <f t="shared" si="154"/>
        <v>0</v>
      </c>
      <c r="AV373" s="31">
        <f t="shared" si="155"/>
        <v>0</v>
      </c>
      <c r="AW373" s="31">
        <f t="shared" si="156"/>
        <v>0</v>
      </c>
      <c r="AX373" s="31">
        <f t="shared" si="157"/>
        <v>0</v>
      </c>
      <c r="AY373" s="31">
        <f t="shared" si="158"/>
        <v>0</v>
      </c>
      <c r="AZ373" s="31">
        <f t="shared" si="159"/>
        <v>0</v>
      </c>
      <c r="BA373" s="31">
        <f t="shared" si="160"/>
        <v>0</v>
      </c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41">
        <v>95550</v>
      </c>
      <c r="BM373" s="41">
        <v>3000</v>
      </c>
      <c r="BN373" s="41">
        <f>BL373+BM373</f>
        <v>98550</v>
      </c>
      <c r="BO373" s="37">
        <f>BN373-Y373</f>
        <v>98550</v>
      </c>
      <c r="BP373" s="38">
        <f>BO373/BL373</f>
        <v>1.0313971742543171</v>
      </c>
      <c r="BQ373" s="37">
        <f>AF373-BN373</f>
        <v>-95550</v>
      </c>
      <c r="BR373" s="40" t="s">
        <v>29</v>
      </c>
      <c r="BS373" s="39"/>
      <c r="BT373" s="39"/>
      <c r="BU373" s="39"/>
      <c r="BV373" s="39"/>
      <c r="BW373" s="39"/>
      <c r="BX373" s="36"/>
      <c r="BY373" s="33"/>
      <c r="BZ373" s="33"/>
      <c r="CA373" s="33"/>
      <c r="CB373" s="34"/>
      <c r="CC373" s="33"/>
      <c r="CD373" s="35"/>
      <c r="CE373" s="48"/>
      <c r="CF373" s="48"/>
      <c r="CG373" s="48"/>
      <c r="CH373" s="48"/>
      <c r="CI373" s="48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36">
        <v>96660</v>
      </c>
      <c r="CW373" s="36">
        <f>CV373-Y373</f>
        <v>96660</v>
      </c>
      <c r="CX373" s="46">
        <f>CW373/CV373</f>
        <v>1</v>
      </c>
      <c r="CY373" s="36">
        <f>AF373-CV373</f>
        <v>-93660</v>
      </c>
      <c r="CZ373" s="35" t="s">
        <v>29</v>
      </c>
      <c r="DA373" s="35"/>
      <c r="DB373" s="35"/>
      <c r="DC373" s="35"/>
      <c r="DD373" s="40"/>
      <c r="DE373" s="40"/>
      <c r="DF373" s="40"/>
      <c r="DG373" s="40"/>
      <c r="DH373" s="40"/>
      <c r="DI373" s="40"/>
      <c r="DJ373" s="40"/>
      <c r="DK373" s="40"/>
      <c r="DL373" s="35"/>
      <c r="DM373" s="35"/>
      <c r="DN373" s="35"/>
      <c r="DO373" s="35"/>
      <c r="DP373" s="35"/>
      <c r="DQ373" s="35"/>
      <c r="DR373" s="35"/>
      <c r="DS373" s="35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40"/>
      <c r="ES373" s="40"/>
      <c r="ET373" s="40"/>
      <c r="EU373" s="40"/>
      <c r="EV373" s="40"/>
      <c r="EW373" s="40"/>
      <c r="EX373" s="40"/>
      <c r="EY373" s="40"/>
      <c r="EZ373" s="35"/>
      <c r="FA373" s="35"/>
      <c r="FB373" s="35"/>
      <c r="FC373" s="35"/>
      <c r="FD373" s="35"/>
      <c r="FE373" s="35"/>
      <c r="FF373" s="35"/>
      <c r="FG373" s="35"/>
    </row>
    <row r="374" spans="1:163">
      <c r="A374" s="60">
        <v>161</v>
      </c>
      <c r="E374" s="63" t="s">
        <v>63</v>
      </c>
      <c r="F374" s="56" t="s">
        <v>62</v>
      </c>
      <c r="G374" s="70" t="s">
        <v>540</v>
      </c>
      <c r="H374" s="66" t="str">
        <f t="shared" si="146"/>
        <v xml:space="preserve"> 648</v>
      </c>
      <c r="I374" s="67" t="s">
        <v>540</v>
      </c>
      <c r="J374" s="68">
        <f t="shared" si="147"/>
        <v>0</v>
      </c>
      <c r="K374" s="63" t="s">
        <v>303</v>
      </c>
      <c r="L374" s="1" t="s">
        <v>46</v>
      </c>
      <c r="O374" s="64" t="s">
        <v>789</v>
      </c>
      <c r="P374" s="82">
        <v>0</v>
      </c>
      <c r="Q374" s="74">
        <f t="shared" si="166"/>
        <v>80000</v>
      </c>
      <c r="R374" s="71">
        <v>80000</v>
      </c>
      <c r="S374" s="72">
        <f t="shared" si="163"/>
        <v>8750</v>
      </c>
      <c r="T374" s="68" t="s">
        <v>791</v>
      </c>
      <c r="U374" s="73">
        <f t="shared" si="164"/>
        <v>71250</v>
      </c>
      <c r="V374" s="73">
        <f>2000+5200+600+200+250+500</f>
        <v>8750</v>
      </c>
      <c r="W374" s="2">
        <f t="shared" si="148"/>
        <v>80000</v>
      </c>
      <c r="Y374" s="80">
        <f t="shared" si="149"/>
        <v>80000</v>
      </c>
      <c r="Z374" s="93"/>
      <c r="AA374" s="93"/>
      <c r="AB374" s="94"/>
      <c r="AE374" s="2">
        <v>99000</v>
      </c>
      <c r="AF374" s="28">
        <f t="shared" si="143"/>
        <v>99000</v>
      </c>
      <c r="AG374" s="55" t="s">
        <v>125</v>
      </c>
      <c r="AI374" s="20" t="s">
        <v>45</v>
      </c>
      <c r="AJ374" s="2">
        <f t="shared" si="150"/>
        <v>19000</v>
      </c>
      <c r="AN374" s="29">
        <f t="shared" si="151"/>
        <v>0.19191919191919191</v>
      </c>
      <c r="AP374" s="3" t="s">
        <v>29</v>
      </c>
      <c r="AQ374" s="1" t="s">
        <v>155</v>
      </c>
      <c r="AR374" s="31">
        <f t="shared" si="152"/>
        <v>0</v>
      </c>
      <c r="AS374" s="31">
        <f t="shared" si="153"/>
        <v>0</v>
      </c>
      <c r="AT374" s="31">
        <f t="shared" si="165"/>
        <v>0</v>
      </c>
      <c r="AU374" s="31">
        <f t="shared" si="154"/>
        <v>0</v>
      </c>
      <c r="AV374" s="31">
        <f t="shared" si="155"/>
        <v>0</v>
      </c>
      <c r="AW374" s="31">
        <f t="shared" si="156"/>
        <v>0</v>
      </c>
      <c r="AX374" s="31">
        <f t="shared" si="157"/>
        <v>0</v>
      </c>
      <c r="AY374" s="31">
        <f t="shared" si="158"/>
        <v>0</v>
      </c>
      <c r="AZ374" s="31">
        <f t="shared" si="159"/>
        <v>0</v>
      </c>
      <c r="BA374" s="31">
        <f t="shared" si="160"/>
        <v>0</v>
      </c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35"/>
      <c r="CW374" s="35"/>
      <c r="CX374" s="35"/>
      <c r="CY374" s="35"/>
      <c r="CZ374" s="35"/>
      <c r="DA374" s="35"/>
      <c r="DB374" s="35"/>
      <c r="DC374" s="35"/>
      <c r="DD374" s="40"/>
      <c r="DE374" s="40"/>
      <c r="DF374" s="40"/>
      <c r="DG374" s="40"/>
      <c r="DH374" s="40"/>
      <c r="DI374" s="40"/>
      <c r="DJ374" s="40"/>
      <c r="DK374" s="40"/>
      <c r="DL374" s="35"/>
      <c r="DM374" s="35"/>
      <c r="DN374" s="35"/>
      <c r="DO374" s="35"/>
      <c r="DP374" s="35"/>
      <c r="DQ374" s="35"/>
      <c r="DR374" s="35"/>
      <c r="DS374" s="35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40"/>
      <c r="ES374" s="40"/>
      <c r="ET374" s="40"/>
      <c r="EU374" s="40"/>
      <c r="EV374" s="40"/>
      <c r="EW374" s="40"/>
      <c r="EX374" s="40"/>
      <c r="EY374" s="40"/>
      <c r="EZ374" s="35"/>
      <c r="FA374" s="35"/>
      <c r="FB374" s="35"/>
      <c r="FC374" s="35"/>
      <c r="FD374" s="35"/>
      <c r="FE374" s="35"/>
      <c r="FF374" s="35"/>
      <c r="FG374" s="35"/>
    </row>
    <row r="375" spans="1:163">
      <c r="A375" s="62">
        <v>383</v>
      </c>
      <c r="E375" s="63" t="s">
        <v>234</v>
      </c>
      <c r="F375" s="56" t="s">
        <v>80</v>
      </c>
      <c r="G375" s="70" t="s">
        <v>751</v>
      </c>
      <c r="H375" s="66" t="str">
        <f t="shared" si="146"/>
        <v xml:space="preserve"> 070</v>
      </c>
      <c r="I375" s="67" t="s">
        <v>751</v>
      </c>
      <c r="J375" s="68">
        <f t="shared" si="147"/>
        <v>0</v>
      </c>
      <c r="K375" s="63" t="s">
        <v>303</v>
      </c>
      <c r="L375" s="1" t="s">
        <v>46</v>
      </c>
      <c r="O375" s="88" t="s">
        <v>790</v>
      </c>
      <c r="P375" s="89">
        <v>0</v>
      </c>
      <c r="Q375" s="90">
        <f t="shared" si="166"/>
        <v>80000</v>
      </c>
      <c r="R375" s="71">
        <v>80000</v>
      </c>
      <c r="S375" s="72">
        <f t="shared" si="163"/>
        <v>8250</v>
      </c>
      <c r="T375" s="68" t="s">
        <v>791</v>
      </c>
      <c r="U375" s="73">
        <f t="shared" si="164"/>
        <v>71750</v>
      </c>
      <c r="V375" s="75">
        <f>2000+5200+600+200+250</f>
        <v>8250</v>
      </c>
      <c r="W375" s="2">
        <f t="shared" si="148"/>
        <v>80000</v>
      </c>
      <c r="Y375" s="81">
        <f t="shared" si="149"/>
        <v>80000</v>
      </c>
      <c r="Z375" s="96">
        <v>0</v>
      </c>
      <c r="AA375" s="97">
        <f>U375-Z375</f>
        <v>71750</v>
      </c>
      <c r="AB375" s="98" t="e">
        <f>AA375/Z375</f>
        <v>#DIV/0!</v>
      </c>
      <c r="AE375" s="2">
        <v>85000</v>
      </c>
      <c r="AF375" s="28">
        <f t="shared" si="143"/>
        <v>0</v>
      </c>
      <c r="AG375" s="55" t="s">
        <v>125</v>
      </c>
      <c r="AI375" s="20" t="s">
        <v>204</v>
      </c>
      <c r="AJ375" s="2">
        <f t="shared" si="150"/>
        <v>-80000</v>
      </c>
      <c r="AN375" s="29" t="e">
        <f t="shared" si="151"/>
        <v>#DIV/0!</v>
      </c>
      <c r="AP375" s="3" t="s">
        <v>140</v>
      </c>
      <c r="AQ375" s="1" t="s">
        <v>202</v>
      </c>
      <c r="AR375" s="31">
        <f t="shared" si="152"/>
        <v>0</v>
      </c>
      <c r="AS375" s="31">
        <f t="shared" si="153"/>
        <v>0</v>
      </c>
      <c r="AT375" s="31">
        <f t="shared" si="165"/>
        <v>0</v>
      </c>
      <c r="AU375" s="31">
        <f t="shared" si="154"/>
        <v>0</v>
      </c>
      <c r="AV375" s="31">
        <f t="shared" si="155"/>
        <v>-81925</v>
      </c>
      <c r="AW375" s="31">
        <f t="shared" si="156"/>
        <v>0</v>
      </c>
      <c r="AX375" s="31">
        <f t="shared" si="157"/>
        <v>0</v>
      </c>
      <c r="AY375" s="31">
        <f t="shared" si="158"/>
        <v>0</v>
      </c>
      <c r="AZ375" s="31">
        <f t="shared" si="159"/>
        <v>0</v>
      </c>
      <c r="BA375" s="31">
        <f t="shared" si="160"/>
        <v>0</v>
      </c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41">
        <v>79425</v>
      </c>
      <c r="CK375" s="41">
        <v>2500</v>
      </c>
      <c r="CL375" s="37">
        <f>CJ375+CK375</f>
        <v>81925</v>
      </c>
      <c r="CM375" s="37">
        <f>CL375-Y375</f>
        <v>1925</v>
      </c>
      <c r="CN375" s="38">
        <f>CM375/CJ375</f>
        <v>2.4236701290525652E-2</v>
      </c>
      <c r="CO375" s="37">
        <f>AF375-CL375</f>
        <v>-81925</v>
      </c>
      <c r="CP375" s="40" t="s">
        <v>29</v>
      </c>
      <c r="CQ375" s="39"/>
      <c r="CR375" s="39"/>
      <c r="CS375" s="39"/>
      <c r="CT375" s="39"/>
      <c r="CU375" s="39"/>
      <c r="CV375" s="35"/>
      <c r="CW375" s="35"/>
      <c r="CX375" s="35"/>
      <c r="CY375" s="35"/>
      <c r="CZ375" s="35"/>
      <c r="DA375" s="35"/>
      <c r="DB375" s="35"/>
      <c r="DC375" s="35"/>
      <c r="DD375" s="39"/>
      <c r="DE375" s="39"/>
      <c r="DF375" s="39"/>
      <c r="DG375" s="39"/>
      <c r="DH375" s="39"/>
      <c r="DI375" s="39"/>
      <c r="DJ375" s="39"/>
      <c r="DK375" s="39"/>
      <c r="DL375" s="43"/>
      <c r="DM375" s="43"/>
      <c r="DN375" s="43"/>
      <c r="DO375" s="43"/>
      <c r="DP375" s="43"/>
      <c r="DQ375" s="43"/>
      <c r="DR375" s="43"/>
      <c r="DS375" s="43"/>
      <c r="DT375" s="42"/>
      <c r="DU375" s="37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3"/>
      <c r="EG375" s="43"/>
      <c r="EH375" s="43"/>
      <c r="EI375" s="43"/>
      <c r="EJ375" s="43"/>
      <c r="EK375" s="43"/>
      <c r="EL375" s="43"/>
      <c r="EM375" s="43"/>
      <c r="EN375" s="43"/>
      <c r="EO375" s="43"/>
      <c r="EP375" s="43"/>
      <c r="EQ375" s="43"/>
      <c r="ER375" s="40"/>
      <c r="ES375" s="40"/>
      <c r="ET375" s="40"/>
      <c r="EU375" s="40"/>
      <c r="EV375" s="40"/>
      <c r="EW375" s="40"/>
      <c r="EX375" s="40"/>
      <c r="EY375" s="40"/>
      <c r="EZ375" s="35"/>
      <c r="FA375" s="35"/>
      <c r="FB375" s="35"/>
      <c r="FC375" s="35"/>
      <c r="FD375" s="35"/>
      <c r="FE375" s="35"/>
      <c r="FF375" s="35"/>
      <c r="FG375" s="35"/>
    </row>
    <row r="376" spans="1:163">
      <c r="A376" s="62">
        <v>13</v>
      </c>
      <c r="E376" s="63" t="s">
        <v>211</v>
      </c>
      <c r="F376" s="56" t="s">
        <v>115</v>
      </c>
      <c r="G376" s="65" t="s">
        <v>395</v>
      </c>
      <c r="H376" s="66" t="str">
        <f t="shared" si="146"/>
        <v xml:space="preserve"> 982</v>
      </c>
      <c r="I376" s="67" t="s">
        <v>395</v>
      </c>
      <c r="J376" s="68">
        <f t="shared" si="147"/>
        <v>0</v>
      </c>
      <c r="K376" s="63" t="s">
        <v>243</v>
      </c>
      <c r="L376" s="1" t="s">
        <v>46</v>
      </c>
      <c r="O376" s="64" t="s">
        <v>789</v>
      </c>
      <c r="P376" s="82">
        <v>0</v>
      </c>
      <c r="Q376" s="74">
        <f t="shared" si="166"/>
        <v>65000</v>
      </c>
      <c r="R376" s="71">
        <v>65000</v>
      </c>
      <c r="S376" s="72">
        <f t="shared" si="163"/>
        <v>7900</v>
      </c>
      <c r="T376" s="68" t="s">
        <v>791</v>
      </c>
      <c r="U376" s="73">
        <f t="shared" si="164"/>
        <v>57100</v>
      </c>
      <c r="V376" s="73">
        <f>4850+600+200+250+2000</f>
        <v>7900</v>
      </c>
      <c r="W376" s="2">
        <f t="shared" si="148"/>
        <v>65000</v>
      </c>
      <c r="Y376" s="80">
        <f t="shared" si="149"/>
        <v>65000</v>
      </c>
      <c r="Z376" s="93"/>
      <c r="AA376" s="93"/>
      <c r="AB376" s="94"/>
      <c r="AE376" s="2">
        <v>115000</v>
      </c>
      <c r="AF376" s="28">
        <f t="shared" si="143"/>
        <v>115000</v>
      </c>
      <c r="AG376" s="55" t="s">
        <v>125</v>
      </c>
      <c r="AI376" s="20" t="s">
        <v>45</v>
      </c>
      <c r="AJ376" s="2">
        <f t="shared" si="150"/>
        <v>50000</v>
      </c>
      <c r="AN376" s="29">
        <f t="shared" si="151"/>
        <v>0.43478260869565216</v>
      </c>
      <c r="AP376" s="3" t="s">
        <v>140</v>
      </c>
      <c r="AQ376" s="1" t="s">
        <v>152</v>
      </c>
      <c r="AR376" s="31">
        <f t="shared" si="152"/>
        <v>0</v>
      </c>
      <c r="AS376" s="31">
        <f t="shared" si="153"/>
        <v>5650</v>
      </c>
      <c r="AT376" s="31">
        <f t="shared" si="165"/>
        <v>0</v>
      </c>
      <c r="AU376" s="31">
        <f t="shared" si="154"/>
        <v>0</v>
      </c>
      <c r="AV376" s="31">
        <f t="shared" si="155"/>
        <v>0</v>
      </c>
      <c r="AW376" s="31">
        <f t="shared" si="156"/>
        <v>0</v>
      </c>
      <c r="AX376" s="31">
        <f t="shared" si="157"/>
        <v>0</v>
      </c>
      <c r="AY376" s="31">
        <f t="shared" si="158"/>
        <v>0</v>
      </c>
      <c r="AZ376" s="31">
        <f t="shared" si="159"/>
        <v>0</v>
      </c>
      <c r="BA376" s="31">
        <f t="shared" si="160"/>
        <v>0</v>
      </c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41"/>
      <c r="BM376" s="41"/>
      <c r="BN376" s="41"/>
      <c r="BO376" s="37"/>
      <c r="BP376" s="38"/>
      <c r="BQ376" s="37"/>
      <c r="BR376" s="40"/>
      <c r="BS376" s="39"/>
      <c r="BT376" s="39"/>
      <c r="BU376" s="39"/>
      <c r="BV376" s="39"/>
      <c r="BW376" s="39"/>
      <c r="BX376" s="36"/>
      <c r="BY376" s="33"/>
      <c r="BZ376" s="33"/>
      <c r="CA376" s="33"/>
      <c r="CB376" s="34"/>
      <c r="CC376" s="33"/>
      <c r="CD376" s="35"/>
      <c r="CE376" s="48"/>
      <c r="CF376" s="48"/>
      <c r="CG376" s="48"/>
      <c r="CH376" s="48"/>
      <c r="CI376" s="48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36">
        <v>109350</v>
      </c>
      <c r="CW376" s="36">
        <f>CV376-Y376</f>
        <v>44350</v>
      </c>
      <c r="CX376" s="46">
        <f>CW376/CV376</f>
        <v>0.40557841792409693</v>
      </c>
      <c r="CY376" s="36">
        <f>AF376-CV376</f>
        <v>5650</v>
      </c>
      <c r="CZ376" s="35" t="s">
        <v>130</v>
      </c>
      <c r="DA376" s="35"/>
      <c r="DB376" s="35"/>
      <c r="DC376" s="35"/>
      <c r="DD376" s="40"/>
      <c r="DE376" s="40"/>
      <c r="DF376" s="40"/>
      <c r="DG376" s="40"/>
      <c r="DH376" s="40"/>
      <c r="DI376" s="40"/>
      <c r="DJ376" s="40"/>
      <c r="DK376" s="40"/>
      <c r="DL376" s="35"/>
      <c r="DM376" s="35"/>
      <c r="DN376" s="35"/>
      <c r="DO376" s="35"/>
      <c r="DP376" s="35"/>
      <c r="DQ376" s="35"/>
      <c r="DR376" s="35"/>
      <c r="DS376" s="35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40"/>
      <c r="ES376" s="40"/>
      <c r="ET376" s="40"/>
      <c r="EU376" s="40"/>
      <c r="EV376" s="40"/>
      <c r="EW376" s="40"/>
      <c r="EX376" s="40"/>
      <c r="EY376" s="40"/>
      <c r="EZ376" s="35"/>
      <c r="FA376" s="35"/>
      <c r="FB376" s="35"/>
      <c r="FC376" s="35"/>
      <c r="FD376" s="35"/>
      <c r="FE376" s="35"/>
      <c r="FF376" s="35"/>
      <c r="FG376" s="35"/>
    </row>
    <row r="377" spans="1:163">
      <c r="A377" s="60">
        <v>69</v>
      </c>
      <c r="E377" s="63" t="s">
        <v>113</v>
      </c>
      <c r="F377" s="56" t="s">
        <v>115</v>
      </c>
      <c r="G377" s="65" t="s">
        <v>450</v>
      </c>
      <c r="H377" s="66" t="str">
        <f t="shared" si="146"/>
        <v xml:space="preserve"> 771</v>
      </c>
      <c r="I377" s="67" t="s">
        <v>450</v>
      </c>
      <c r="J377" s="68">
        <f t="shared" si="147"/>
        <v>0</v>
      </c>
      <c r="K377" s="63" t="s">
        <v>243</v>
      </c>
      <c r="L377" s="1" t="s">
        <v>46</v>
      </c>
      <c r="O377" s="64" t="s">
        <v>789</v>
      </c>
      <c r="P377" s="82">
        <v>0</v>
      </c>
      <c r="Q377" s="74">
        <f t="shared" si="166"/>
        <v>77500</v>
      </c>
      <c r="R377" s="71">
        <v>77500</v>
      </c>
      <c r="S377" s="72">
        <f t="shared" si="163"/>
        <v>8150</v>
      </c>
      <c r="T377" s="68" t="s">
        <v>791</v>
      </c>
      <c r="U377" s="73">
        <f t="shared" si="164"/>
        <v>69350</v>
      </c>
      <c r="V377" s="73">
        <f>5100+600+200+250+2000</f>
        <v>8150</v>
      </c>
      <c r="W377" s="2">
        <f t="shared" si="148"/>
        <v>77500</v>
      </c>
      <c r="Y377" s="80">
        <f t="shared" si="149"/>
        <v>77500</v>
      </c>
      <c r="Z377" s="93"/>
      <c r="AA377" s="93"/>
      <c r="AB377" s="94"/>
      <c r="AC377" s="2">
        <v>3000</v>
      </c>
      <c r="AD377" s="2">
        <f>Z377+AC377</f>
        <v>3000</v>
      </c>
      <c r="AF377" s="28">
        <f t="shared" si="143"/>
        <v>0</v>
      </c>
      <c r="AG377" s="55" t="s">
        <v>125</v>
      </c>
      <c r="AI377" s="20" t="s">
        <v>45</v>
      </c>
      <c r="AJ377" s="2">
        <f t="shared" si="150"/>
        <v>-77500</v>
      </c>
      <c r="AN377" s="29" t="e">
        <f t="shared" si="151"/>
        <v>#DIV/0!</v>
      </c>
      <c r="AO377" s="29" t="e">
        <f>AN377-AB377</f>
        <v>#DIV/0!</v>
      </c>
      <c r="AP377" s="3" t="s">
        <v>29</v>
      </c>
      <c r="AQ377" s="1" t="s">
        <v>153</v>
      </c>
      <c r="AR377" s="31">
        <f t="shared" si="152"/>
        <v>0</v>
      </c>
      <c r="AS377" s="31">
        <f t="shared" si="153"/>
        <v>0</v>
      </c>
      <c r="AT377" s="31">
        <f t="shared" si="165"/>
        <v>0</v>
      </c>
      <c r="AU377" s="31">
        <f t="shared" si="154"/>
        <v>0</v>
      </c>
      <c r="AV377" s="31">
        <f t="shared" si="155"/>
        <v>0</v>
      </c>
      <c r="AW377" s="31">
        <f t="shared" si="156"/>
        <v>0</v>
      </c>
      <c r="AX377" s="31">
        <f t="shared" si="157"/>
        <v>0</v>
      </c>
      <c r="AY377" s="31">
        <f t="shared" si="158"/>
        <v>0</v>
      </c>
      <c r="AZ377" s="31">
        <f t="shared" si="159"/>
        <v>0</v>
      </c>
      <c r="BA377" s="31">
        <f t="shared" si="160"/>
        <v>0</v>
      </c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41"/>
      <c r="BM377" s="41"/>
      <c r="BN377" s="41"/>
      <c r="BO377" s="37"/>
      <c r="BP377" s="38"/>
      <c r="BQ377" s="37"/>
      <c r="BR377" s="40"/>
      <c r="BS377" s="39"/>
      <c r="BT377" s="39"/>
      <c r="BU377" s="39"/>
      <c r="BV377" s="39"/>
      <c r="BW377" s="39"/>
      <c r="BX377" s="36"/>
      <c r="BY377" s="33"/>
      <c r="BZ377" s="33"/>
      <c r="CA377" s="33"/>
      <c r="CB377" s="34"/>
      <c r="CC377" s="33"/>
      <c r="CD377" s="35"/>
      <c r="CE377" s="48"/>
      <c r="CF377" s="48"/>
      <c r="CG377" s="48"/>
      <c r="CH377" s="48"/>
      <c r="CI377" s="48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35"/>
      <c r="CW377" s="35"/>
      <c r="CX377" s="35"/>
      <c r="CY377" s="35"/>
      <c r="CZ377" s="35"/>
      <c r="DA377" s="35"/>
      <c r="DB377" s="35"/>
      <c r="DC377" s="35"/>
      <c r="DD377" s="40"/>
      <c r="DE377" s="40"/>
      <c r="DF377" s="40"/>
      <c r="DG377" s="40"/>
      <c r="DH377" s="40"/>
      <c r="DI377" s="40"/>
      <c r="DJ377" s="40"/>
      <c r="DK377" s="40"/>
      <c r="DL377" s="35"/>
      <c r="DM377" s="35"/>
      <c r="DN377" s="35"/>
      <c r="DO377" s="35"/>
      <c r="DP377" s="35"/>
      <c r="DQ377" s="35"/>
      <c r="DR377" s="35"/>
      <c r="DS377" s="35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40"/>
      <c r="ES377" s="40"/>
      <c r="ET377" s="40"/>
      <c r="EU377" s="40"/>
      <c r="EV377" s="40"/>
      <c r="EW377" s="40"/>
      <c r="EX377" s="40"/>
      <c r="EY377" s="40"/>
      <c r="EZ377" s="35"/>
      <c r="FA377" s="35"/>
      <c r="FB377" s="35"/>
      <c r="FC377" s="35"/>
      <c r="FD377" s="35"/>
      <c r="FE377" s="35"/>
      <c r="FF377" s="35"/>
      <c r="FG377" s="35"/>
    </row>
    <row r="378" spans="1:163">
      <c r="A378" s="62">
        <v>5</v>
      </c>
      <c r="E378" s="63" t="s">
        <v>211</v>
      </c>
      <c r="F378" s="56" t="s">
        <v>115</v>
      </c>
      <c r="G378" s="65" t="s">
        <v>387</v>
      </c>
      <c r="H378" s="66" t="str">
        <f t="shared" si="146"/>
        <v xml:space="preserve"> 130</v>
      </c>
      <c r="I378" s="67" t="s">
        <v>387</v>
      </c>
      <c r="J378" s="68">
        <f t="shared" si="147"/>
        <v>0</v>
      </c>
      <c r="K378" s="63" t="s">
        <v>243</v>
      </c>
      <c r="L378" s="1" t="s">
        <v>46</v>
      </c>
      <c r="O378" s="88" t="s">
        <v>790</v>
      </c>
      <c r="P378" s="89">
        <v>0</v>
      </c>
      <c r="Q378" s="90">
        <f t="shared" si="166"/>
        <v>74500</v>
      </c>
      <c r="R378" s="71">
        <v>74500</v>
      </c>
      <c r="S378" s="72">
        <f t="shared" si="163"/>
        <v>8150</v>
      </c>
      <c r="T378" s="68" t="s">
        <v>791</v>
      </c>
      <c r="U378" s="73">
        <f t="shared" si="164"/>
        <v>66350</v>
      </c>
      <c r="V378" s="73">
        <f>5100+600+200+250+2000</f>
        <v>8150</v>
      </c>
      <c r="W378" s="2">
        <f t="shared" si="148"/>
        <v>74500</v>
      </c>
      <c r="Y378" s="81">
        <f t="shared" si="149"/>
        <v>74500</v>
      </c>
      <c r="Z378" s="96">
        <v>0</v>
      </c>
      <c r="AA378" s="97">
        <f>U378-Z378</f>
        <v>66350</v>
      </c>
      <c r="AB378" s="98" t="e">
        <f>AA378/Z378</f>
        <v>#DIV/0!</v>
      </c>
      <c r="AE378" s="2">
        <v>107000</v>
      </c>
      <c r="AF378" s="28">
        <f t="shared" si="143"/>
        <v>0</v>
      </c>
      <c r="AG378" s="55" t="s">
        <v>125</v>
      </c>
      <c r="AI378" s="20" t="s">
        <v>45</v>
      </c>
      <c r="AJ378" s="2">
        <f t="shared" si="150"/>
        <v>-74500</v>
      </c>
      <c r="AN378" s="29" t="e">
        <f t="shared" si="151"/>
        <v>#DIV/0!</v>
      </c>
      <c r="AP378" s="3" t="s">
        <v>140</v>
      </c>
      <c r="AQ378" s="1" t="s">
        <v>150</v>
      </c>
      <c r="AR378" s="31">
        <f t="shared" si="152"/>
        <v>0</v>
      </c>
      <c r="AS378" s="31">
        <f t="shared" si="153"/>
        <v>0</v>
      </c>
      <c r="AT378" s="31">
        <f t="shared" si="165"/>
        <v>0</v>
      </c>
      <c r="AU378" s="31">
        <f t="shared" si="154"/>
        <v>-107460</v>
      </c>
      <c r="AV378" s="31">
        <f t="shared" si="155"/>
        <v>0</v>
      </c>
      <c r="AW378" s="31">
        <f t="shared" si="156"/>
        <v>0</v>
      </c>
      <c r="AX378" s="31">
        <f t="shared" si="157"/>
        <v>-105347</v>
      </c>
      <c r="AY378" s="31">
        <f t="shared" si="158"/>
        <v>-105847</v>
      </c>
      <c r="AZ378" s="31">
        <f t="shared" si="159"/>
        <v>0</v>
      </c>
      <c r="BA378" s="31">
        <f t="shared" si="160"/>
        <v>0</v>
      </c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41"/>
      <c r="BM378" s="41"/>
      <c r="BN378" s="41"/>
      <c r="BO378" s="37"/>
      <c r="BP378" s="38"/>
      <c r="BQ378" s="37"/>
      <c r="BR378" s="40"/>
      <c r="BS378" s="39"/>
      <c r="BT378" s="39"/>
      <c r="BU378" s="39"/>
      <c r="BV378" s="39"/>
      <c r="BW378" s="39"/>
      <c r="BX378" s="36"/>
      <c r="BY378" s="33"/>
      <c r="BZ378" s="33"/>
      <c r="CA378" s="33"/>
      <c r="CB378" s="34"/>
      <c r="CC378" s="33"/>
      <c r="CD378" s="35"/>
      <c r="CE378" s="48"/>
      <c r="CF378" s="48"/>
      <c r="CG378" s="48"/>
      <c r="CH378" s="48"/>
      <c r="CI378" s="48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35"/>
      <c r="CW378" s="35"/>
      <c r="CX378" s="35"/>
      <c r="CY378" s="35"/>
      <c r="CZ378" s="35"/>
      <c r="DA378" s="35"/>
      <c r="DB378" s="35"/>
      <c r="DC378" s="35"/>
      <c r="DD378" s="41">
        <v>107460</v>
      </c>
      <c r="DE378" s="37">
        <f>DD378-Y378</f>
        <v>32960</v>
      </c>
      <c r="DF378" s="38">
        <f>DE378/DD378</f>
        <v>0.30671877908058814</v>
      </c>
      <c r="DG378" s="37">
        <f>AF378-DD378</f>
        <v>-107460</v>
      </c>
      <c r="DH378" s="42" t="s">
        <v>133</v>
      </c>
      <c r="DI378" s="40"/>
      <c r="DJ378" s="40"/>
      <c r="DK378" s="40"/>
      <c r="DL378" s="35"/>
      <c r="DM378" s="35"/>
      <c r="DN378" s="35"/>
      <c r="DO378" s="35"/>
      <c r="DP378" s="35"/>
      <c r="DQ378" s="35"/>
      <c r="DR378" s="35"/>
      <c r="DS378" s="35"/>
      <c r="DT378" s="41">
        <v>102847</v>
      </c>
      <c r="DU378" s="37">
        <v>2500</v>
      </c>
      <c r="DV378" s="41">
        <f>DT378+DU378</f>
        <v>105347</v>
      </c>
      <c r="DW378" s="37">
        <f>DV378-Y378</f>
        <v>30847</v>
      </c>
      <c r="DX378" s="38">
        <f>DW378/DV378</f>
        <v>0.29281327422707815</v>
      </c>
      <c r="DY378" s="37">
        <f>AF378-DV378</f>
        <v>-105347</v>
      </c>
      <c r="DZ378" s="40" t="s">
        <v>29</v>
      </c>
      <c r="EA378" s="40"/>
      <c r="EB378" s="40"/>
      <c r="EC378" s="40"/>
      <c r="ED378" s="40"/>
      <c r="EE378" s="40"/>
      <c r="EF378" s="36">
        <v>102847</v>
      </c>
      <c r="EG378" s="33">
        <v>3000</v>
      </c>
      <c r="EH378" s="33">
        <f>EF378+EG378</f>
        <v>105847</v>
      </c>
      <c r="EI378" s="33">
        <f>EH378-Y378</f>
        <v>31347</v>
      </c>
      <c r="EJ378" s="44">
        <f>EI378/EH378</f>
        <v>0.29615388249076496</v>
      </c>
      <c r="EK378" s="45">
        <f>AF378-EH378</f>
        <v>-105847</v>
      </c>
      <c r="EL378" s="43" t="s">
        <v>29</v>
      </c>
      <c r="EM378" s="35"/>
      <c r="EN378" s="35"/>
      <c r="EO378" s="35"/>
      <c r="EP378" s="35"/>
      <c r="EQ378" s="35"/>
      <c r="ER378" s="40"/>
      <c r="ES378" s="40"/>
      <c r="ET378" s="40"/>
      <c r="EU378" s="40"/>
      <c r="EV378" s="40"/>
      <c r="EW378" s="40"/>
      <c r="EX378" s="40"/>
      <c r="EY378" s="40"/>
      <c r="EZ378" s="35"/>
      <c r="FA378" s="35"/>
      <c r="FB378" s="35"/>
      <c r="FC378" s="35"/>
      <c r="FD378" s="35"/>
      <c r="FE378" s="35"/>
      <c r="FF378" s="35"/>
      <c r="FG378" s="35"/>
    </row>
    <row r="379" spans="1:163">
      <c r="A379" s="60">
        <v>137</v>
      </c>
      <c r="E379" s="63" t="s">
        <v>65</v>
      </c>
      <c r="F379" s="56" t="s">
        <v>123</v>
      </c>
      <c r="G379" s="65" t="s">
        <v>516</v>
      </c>
      <c r="H379" s="66" t="str">
        <f t="shared" si="146"/>
        <v xml:space="preserve"> 162</v>
      </c>
      <c r="I379" s="67" t="s">
        <v>516</v>
      </c>
      <c r="J379" s="68">
        <f t="shared" si="147"/>
        <v>0</v>
      </c>
      <c r="K379" s="63" t="s">
        <v>243</v>
      </c>
      <c r="L379" s="1" t="s">
        <v>46</v>
      </c>
      <c r="O379" s="88" t="s">
        <v>790</v>
      </c>
      <c r="P379" s="89">
        <v>0</v>
      </c>
      <c r="Q379" s="90">
        <f t="shared" si="166"/>
        <v>77500</v>
      </c>
      <c r="R379" s="71">
        <v>77500</v>
      </c>
      <c r="S379" s="72">
        <f t="shared" si="163"/>
        <v>8250</v>
      </c>
      <c r="T379" s="68" t="s">
        <v>791</v>
      </c>
      <c r="U379" s="73">
        <f t="shared" si="164"/>
        <v>69250</v>
      </c>
      <c r="V379" s="73">
        <f>5200+600+200+250+2000</f>
        <v>8250</v>
      </c>
      <c r="W379" s="2">
        <f t="shared" si="148"/>
        <v>77500</v>
      </c>
      <c r="Y379" s="81">
        <f t="shared" si="149"/>
        <v>77500</v>
      </c>
      <c r="Z379" s="96">
        <v>0</v>
      </c>
      <c r="AA379" s="97">
        <f>U379-Z379</f>
        <v>69250</v>
      </c>
      <c r="AB379" s="98" t="e">
        <f>AA379/Z379</f>
        <v>#DIV/0!</v>
      </c>
      <c r="AC379" s="2">
        <v>4000</v>
      </c>
      <c r="AD379" s="2">
        <f>Z379+AC379</f>
        <v>4000</v>
      </c>
      <c r="AF379" s="28">
        <f t="shared" si="143"/>
        <v>4000</v>
      </c>
      <c r="AG379" s="55" t="s">
        <v>125</v>
      </c>
      <c r="AI379" s="20" t="s">
        <v>206</v>
      </c>
      <c r="AJ379" s="2">
        <f t="shared" si="150"/>
        <v>-73500</v>
      </c>
      <c r="AN379" s="29">
        <f t="shared" si="151"/>
        <v>-18.375</v>
      </c>
      <c r="AO379" s="29" t="e">
        <f>AN379-AB379</f>
        <v>#DIV/0!</v>
      </c>
      <c r="AP379" s="3" t="s">
        <v>140</v>
      </c>
      <c r="AQ379" s="1" t="s">
        <v>167</v>
      </c>
      <c r="AR379" s="31">
        <f t="shared" si="152"/>
        <v>-142200</v>
      </c>
      <c r="AS379" s="31">
        <f t="shared" si="153"/>
        <v>-156491</v>
      </c>
      <c r="AT379" s="31">
        <f t="shared" ref="AT379:AT414" si="167">IF(BZ379&lt;&gt;"", AF379-BZ379, 0)</f>
        <v>-139400</v>
      </c>
      <c r="AU379" s="31">
        <f t="shared" si="154"/>
        <v>-142250</v>
      </c>
      <c r="AV379" s="31">
        <f t="shared" si="155"/>
        <v>0</v>
      </c>
      <c r="AW379" s="31">
        <f t="shared" si="156"/>
        <v>-164000</v>
      </c>
      <c r="AX379" s="31">
        <f t="shared" si="157"/>
        <v>-120848</v>
      </c>
      <c r="AY379" s="31">
        <f t="shared" si="158"/>
        <v>-120536</v>
      </c>
      <c r="AZ379" s="31">
        <f t="shared" si="159"/>
        <v>-153000</v>
      </c>
      <c r="BA379" s="31">
        <f t="shared" si="160"/>
        <v>0</v>
      </c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41">
        <v>142200</v>
      </c>
      <c r="BM379" s="41">
        <v>4000</v>
      </c>
      <c r="BN379" s="41">
        <f>BL379+BM379</f>
        <v>146200</v>
      </c>
      <c r="BO379" s="37">
        <f>BN379-Y379</f>
        <v>68700</v>
      </c>
      <c r="BP379" s="38">
        <f>BO379/BL379</f>
        <v>0.4831223628691983</v>
      </c>
      <c r="BQ379" s="37">
        <f>AF379-BN379</f>
        <v>-142200</v>
      </c>
      <c r="BR379" s="40" t="s">
        <v>29</v>
      </c>
      <c r="BS379" s="39"/>
      <c r="BT379" s="39"/>
      <c r="BU379" s="39"/>
      <c r="BV379" s="39"/>
      <c r="BW379" s="39"/>
      <c r="BX379" s="36">
        <v>140400</v>
      </c>
      <c r="BY379" s="33">
        <v>3000</v>
      </c>
      <c r="BZ379" s="33">
        <f>BX379+BY379</f>
        <v>143400</v>
      </c>
      <c r="CA379" s="33">
        <f>BZ379-Y379</f>
        <v>65900</v>
      </c>
      <c r="CB379" s="34">
        <f>CA379/BX379</f>
        <v>0.46937321937321935</v>
      </c>
      <c r="CC379" s="33">
        <f>AF379-BZ379</f>
        <v>-139400</v>
      </c>
      <c r="CD379" s="35" t="s">
        <v>29</v>
      </c>
      <c r="CE379" s="48"/>
      <c r="CF379" s="48"/>
      <c r="CG379" s="48"/>
      <c r="CH379" s="48"/>
      <c r="CI379" s="48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36">
        <v>160491</v>
      </c>
      <c r="CW379" s="36">
        <f>CV379-Y379</f>
        <v>82991</v>
      </c>
      <c r="CX379" s="46">
        <f>CW379/CV379</f>
        <v>0.51710687826731716</v>
      </c>
      <c r="CY379" s="36">
        <f>AF379-CV379</f>
        <v>-156491</v>
      </c>
      <c r="CZ379" s="35" t="s">
        <v>29</v>
      </c>
      <c r="DA379" s="35"/>
      <c r="DB379" s="35"/>
      <c r="DC379" s="35"/>
      <c r="DD379" s="41">
        <v>146250</v>
      </c>
      <c r="DE379" s="37">
        <f>DD379-Y379</f>
        <v>68750</v>
      </c>
      <c r="DF379" s="38">
        <f>DE379/DD379</f>
        <v>0.47008547008547008</v>
      </c>
      <c r="DG379" s="37">
        <f>AF379-DD379</f>
        <v>-142250</v>
      </c>
      <c r="DH379" s="42" t="s">
        <v>29</v>
      </c>
      <c r="DI379" s="40"/>
      <c r="DJ379" s="40"/>
      <c r="DK379" s="40"/>
      <c r="DL379" s="36">
        <v>168000</v>
      </c>
      <c r="DM379" s="33">
        <f>DL379-Y379</f>
        <v>90500</v>
      </c>
      <c r="DN379" s="34">
        <f>DM379/DL379</f>
        <v>0.53869047619047616</v>
      </c>
      <c r="DO379" s="33">
        <f>AF379-DL379</f>
        <v>-164000</v>
      </c>
      <c r="DP379" s="43" t="s">
        <v>29</v>
      </c>
      <c r="DQ379" s="35"/>
      <c r="DR379" s="35"/>
      <c r="DS379" s="35"/>
      <c r="DT379" s="41">
        <v>121348</v>
      </c>
      <c r="DU379" s="37">
        <v>3500</v>
      </c>
      <c r="DV379" s="41">
        <f>DT379+DU379</f>
        <v>124848</v>
      </c>
      <c r="DW379" s="37">
        <f>DV379-Y379</f>
        <v>47348</v>
      </c>
      <c r="DX379" s="38">
        <f>DW379/DV379</f>
        <v>0.37924516211713444</v>
      </c>
      <c r="DY379" s="37">
        <f>AF379-DV379</f>
        <v>-120848</v>
      </c>
      <c r="DZ379" s="40" t="s">
        <v>29</v>
      </c>
      <c r="EA379" s="40"/>
      <c r="EB379" s="40"/>
      <c r="EC379" s="40"/>
      <c r="ED379" s="40"/>
      <c r="EE379" s="40"/>
      <c r="EF379" s="36">
        <v>122036</v>
      </c>
      <c r="EG379" s="33">
        <v>2500</v>
      </c>
      <c r="EH379" s="33">
        <f>EF379+EG379</f>
        <v>124536</v>
      </c>
      <c r="EI379" s="33">
        <f>EH379-Y379</f>
        <v>47036</v>
      </c>
      <c r="EJ379" s="44">
        <f>EI379/EH379</f>
        <v>0.37768998522515579</v>
      </c>
      <c r="EK379" s="45">
        <f>AF379-EH379</f>
        <v>-120536</v>
      </c>
      <c r="EL379" s="35" t="s">
        <v>29</v>
      </c>
      <c r="EM379" s="35"/>
      <c r="EN379" s="35"/>
      <c r="EO379" s="35"/>
      <c r="EP379" s="35"/>
      <c r="EQ379" s="35"/>
      <c r="ER379" s="41">
        <v>157000</v>
      </c>
      <c r="ES379" s="37">
        <f>ER379-Y379</f>
        <v>79500</v>
      </c>
      <c r="ET379" s="38">
        <f>ES379/ER379</f>
        <v>0.50636942675159236</v>
      </c>
      <c r="EU379" s="37">
        <f>AF379-ER379</f>
        <v>-153000</v>
      </c>
      <c r="EV379" s="40" t="s">
        <v>29</v>
      </c>
      <c r="EW379" s="40"/>
      <c r="EX379" s="40"/>
      <c r="EY379" s="40"/>
      <c r="EZ379" s="35"/>
      <c r="FA379" s="35"/>
      <c r="FB379" s="35"/>
      <c r="FC379" s="35"/>
      <c r="FD379" s="35"/>
      <c r="FE379" s="35"/>
      <c r="FF379" s="35"/>
      <c r="FG379" s="35"/>
    </row>
    <row r="380" spans="1:163">
      <c r="A380" s="62">
        <v>98</v>
      </c>
      <c r="E380" s="63" t="s">
        <v>56</v>
      </c>
      <c r="F380" s="56" t="s">
        <v>58</v>
      </c>
      <c r="G380" s="65" t="s">
        <v>209</v>
      </c>
      <c r="H380" s="66" t="str">
        <f t="shared" si="146"/>
        <v xml:space="preserve"> 831</v>
      </c>
      <c r="I380" s="67" t="s">
        <v>209</v>
      </c>
      <c r="J380" s="68">
        <f t="shared" si="147"/>
        <v>0</v>
      </c>
      <c r="K380" s="63" t="s">
        <v>243</v>
      </c>
      <c r="L380" s="1" t="s">
        <v>46</v>
      </c>
      <c r="O380" s="88" t="s">
        <v>790</v>
      </c>
      <c r="P380" s="89">
        <v>0</v>
      </c>
      <c r="Q380" s="90">
        <f t="shared" si="166"/>
        <v>64500</v>
      </c>
      <c r="R380" s="71">
        <v>64500</v>
      </c>
      <c r="S380" s="72">
        <f t="shared" si="163"/>
        <v>6350</v>
      </c>
      <c r="T380" s="68" t="s">
        <v>791</v>
      </c>
      <c r="U380" s="73">
        <f t="shared" si="164"/>
        <v>58150</v>
      </c>
      <c r="V380" s="73">
        <f>5100+600+200+250+200</f>
        <v>6350</v>
      </c>
      <c r="W380" s="2">
        <f t="shared" si="148"/>
        <v>64500</v>
      </c>
      <c r="Y380" s="81">
        <f t="shared" si="149"/>
        <v>64500</v>
      </c>
      <c r="Z380" s="96">
        <v>0</v>
      </c>
      <c r="AA380" s="97">
        <f>U380-Z380</f>
        <v>58150</v>
      </c>
      <c r="AB380" s="98" t="e">
        <f>AA380/Z380</f>
        <v>#DIV/0!</v>
      </c>
      <c r="AC380" s="2">
        <v>3000</v>
      </c>
      <c r="AD380" s="2">
        <f>Z380+AC380</f>
        <v>3000</v>
      </c>
      <c r="AF380" s="28">
        <f t="shared" si="143"/>
        <v>3000</v>
      </c>
      <c r="AG380" s="55" t="s">
        <v>125</v>
      </c>
      <c r="AI380" s="20" t="s">
        <v>45</v>
      </c>
      <c r="AJ380" s="2">
        <f t="shared" si="150"/>
        <v>-61500</v>
      </c>
      <c r="AN380" s="29">
        <f t="shared" si="151"/>
        <v>-20.5</v>
      </c>
      <c r="AO380" s="29" t="e">
        <f>AN380-AB380</f>
        <v>#DIV/0!</v>
      </c>
      <c r="AP380" s="3" t="s">
        <v>29</v>
      </c>
      <c r="AQ380" s="1" t="s">
        <v>143</v>
      </c>
      <c r="AR380" s="31">
        <f t="shared" si="152"/>
        <v>0</v>
      </c>
      <c r="AS380" s="31">
        <f t="shared" si="153"/>
        <v>0</v>
      </c>
      <c r="AT380" s="31">
        <f t="shared" si="167"/>
        <v>0</v>
      </c>
      <c r="AU380" s="31">
        <f t="shared" si="154"/>
        <v>0</v>
      </c>
      <c r="AV380" s="31">
        <f t="shared" si="155"/>
        <v>0</v>
      </c>
      <c r="AW380" s="31">
        <f t="shared" si="156"/>
        <v>0</v>
      </c>
      <c r="AX380" s="31">
        <f t="shared" si="157"/>
        <v>0</v>
      </c>
      <c r="AY380" s="31">
        <f t="shared" si="158"/>
        <v>0</v>
      </c>
      <c r="AZ380" s="31">
        <f t="shared" si="159"/>
        <v>0</v>
      </c>
      <c r="BA380" s="31">
        <f t="shared" si="160"/>
        <v>0</v>
      </c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41"/>
      <c r="BM380" s="41"/>
      <c r="BN380" s="41"/>
      <c r="BO380" s="37"/>
      <c r="BP380" s="38"/>
      <c r="BQ380" s="37"/>
      <c r="BR380" s="40"/>
      <c r="BS380" s="39"/>
      <c r="BT380" s="39"/>
      <c r="BU380" s="39"/>
      <c r="BV380" s="39"/>
      <c r="BW380" s="39"/>
      <c r="BX380" s="36"/>
      <c r="BY380" s="33"/>
      <c r="BZ380" s="33"/>
      <c r="CA380" s="33"/>
      <c r="CB380" s="34"/>
      <c r="CC380" s="33"/>
      <c r="CD380" s="35"/>
      <c r="CE380" s="48"/>
      <c r="CF380" s="48"/>
      <c r="CG380" s="48"/>
      <c r="CH380" s="48"/>
      <c r="CI380" s="48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35"/>
      <c r="CW380" s="35"/>
      <c r="CX380" s="35"/>
      <c r="CY380" s="35"/>
      <c r="CZ380" s="35"/>
      <c r="DA380" s="35"/>
      <c r="DB380" s="35"/>
      <c r="DC380" s="35"/>
      <c r="DD380" s="40"/>
      <c r="DE380" s="40"/>
      <c r="DF380" s="40"/>
      <c r="DG380" s="40"/>
      <c r="DH380" s="40"/>
      <c r="DI380" s="40"/>
      <c r="DJ380" s="40"/>
      <c r="DK380" s="40"/>
      <c r="DL380" s="35"/>
      <c r="DM380" s="35"/>
      <c r="DN380" s="35"/>
      <c r="DO380" s="35"/>
      <c r="DP380" s="35"/>
      <c r="DQ380" s="35"/>
      <c r="DR380" s="35"/>
      <c r="DS380" s="35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40"/>
      <c r="ES380" s="40"/>
      <c r="ET380" s="40"/>
      <c r="EU380" s="40"/>
      <c r="EV380" s="40"/>
      <c r="EW380" s="40"/>
      <c r="EX380" s="40"/>
      <c r="EY380" s="40"/>
      <c r="EZ380" s="35"/>
      <c r="FA380" s="35"/>
      <c r="FB380" s="35"/>
      <c r="FC380" s="35"/>
      <c r="FD380" s="35"/>
      <c r="FE380" s="35"/>
      <c r="FF380" s="35"/>
      <c r="FG380" s="35"/>
    </row>
    <row r="381" spans="1:163">
      <c r="A381" s="62">
        <v>11</v>
      </c>
      <c r="E381" s="63" t="s">
        <v>211</v>
      </c>
      <c r="F381" s="56" t="s">
        <v>115</v>
      </c>
      <c r="G381" s="65" t="s">
        <v>393</v>
      </c>
      <c r="H381" s="66" t="str">
        <f t="shared" si="146"/>
        <v xml:space="preserve"> 966</v>
      </c>
      <c r="I381" s="67" t="s">
        <v>393</v>
      </c>
      <c r="J381" s="68">
        <f t="shared" si="147"/>
        <v>0</v>
      </c>
      <c r="K381" s="63" t="s">
        <v>243</v>
      </c>
      <c r="L381" s="1" t="s">
        <v>46</v>
      </c>
      <c r="O381" s="88" t="s">
        <v>790</v>
      </c>
      <c r="P381" s="89">
        <v>0</v>
      </c>
      <c r="Q381" s="90">
        <f t="shared" si="166"/>
        <v>72500</v>
      </c>
      <c r="R381" s="71">
        <v>72500</v>
      </c>
      <c r="S381" s="72">
        <f t="shared" si="163"/>
        <v>8250</v>
      </c>
      <c r="T381" s="68" t="s">
        <v>791</v>
      </c>
      <c r="U381" s="73">
        <f t="shared" si="164"/>
        <v>64250</v>
      </c>
      <c r="V381" s="73">
        <f>5200+600+200+250+2000</f>
        <v>8250</v>
      </c>
      <c r="W381" s="2">
        <f t="shared" si="148"/>
        <v>72500</v>
      </c>
      <c r="Y381" s="81">
        <f t="shared" si="149"/>
        <v>72500</v>
      </c>
      <c r="Z381" s="96">
        <v>0</v>
      </c>
      <c r="AA381" s="97">
        <f>U381-Z381</f>
        <v>64250</v>
      </c>
      <c r="AB381" s="98" t="e">
        <f>AA381/Z381</f>
        <v>#DIV/0!</v>
      </c>
      <c r="AE381" s="2">
        <v>103000</v>
      </c>
      <c r="AF381" s="28">
        <f t="shared" si="143"/>
        <v>0</v>
      </c>
      <c r="AG381" s="55" t="s">
        <v>125</v>
      </c>
      <c r="AI381" s="20" t="s">
        <v>45</v>
      </c>
      <c r="AJ381" s="2">
        <f t="shared" si="150"/>
        <v>-72500</v>
      </c>
      <c r="AN381" s="29" t="e">
        <f t="shared" si="151"/>
        <v>#DIV/0!</v>
      </c>
      <c r="AP381" s="3" t="s">
        <v>29</v>
      </c>
      <c r="AQ381" s="1" t="s">
        <v>153</v>
      </c>
      <c r="AR381" s="31">
        <f t="shared" si="152"/>
        <v>0</v>
      </c>
      <c r="AS381" s="31">
        <f t="shared" si="153"/>
        <v>0</v>
      </c>
      <c r="AT381" s="31">
        <f t="shared" si="167"/>
        <v>0</v>
      </c>
      <c r="AU381" s="31">
        <f t="shared" si="154"/>
        <v>0</v>
      </c>
      <c r="AV381" s="31">
        <f t="shared" si="155"/>
        <v>0</v>
      </c>
      <c r="AW381" s="31">
        <f t="shared" si="156"/>
        <v>0</v>
      </c>
      <c r="AX381" s="31">
        <f t="shared" si="157"/>
        <v>0</v>
      </c>
      <c r="AY381" s="31">
        <f t="shared" si="158"/>
        <v>0</v>
      </c>
      <c r="AZ381" s="31">
        <f t="shared" si="159"/>
        <v>0</v>
      </c>
      <c r="BA381" s="31">
        <f t="shared" si="160"/>
        <v>0</v>
      </c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41"/>
      <c r="BM381" s="41"/>
      <c r="BN381" s="41"/>
      <c r="BO381" s="37"/>
      <c r="BP381" s="38"/>
      <c r="BQ381" s="37"/>
      <c r="BR381" s="40"/>
      <c r="BS381" s="39"/>
      <c r="BT381" s="39"/>
      <c r="BU381" s="39"/>
      <c r="BV381" s="39"/>
      <c r="BW381" s="39"/>
      <c r="BX381" s="36"/>
      <c r="BY381" s="33"/>
      <c r="BZ381" s="33"/>
      <c r="CA381" s="33"/>
      <c r="CB381" s="34"/>
      <c r="CC381" s="33"/>
      <c r="CD381" s="35"/>
      <c r="CE381" s="48"/>
      <c r="CF381" s="48"/>
      <c r="CG381" s="48"/>
      <c r="CH381" s="48"/>
      <c r="CI381" s="48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35"/>
      <c r="CW381" s="35"/>
      <c r="CX381" s="35"/>
      <c r="CY381" s="35"/>
      <c r="CZ381" s="35"/>
      <c r="DA381" s="35"/>
      <c r="DB381" s="35"/>
      <c r="DC381" s="35"/>
      <c r="DD381" s="40"/>
      <c r="DE381" s="40"/>
      <c r="DF381" s="40"/>
      <c r="DG381" s="40"/>
      <c r="DH381" s="40"/>
      <c r="DI381" s="40"/>
      <c r="DJ381" s="40"/>
      <c r="DK381" s="40"/>
      <c r="DL381" s="35"/>
      <c r="DM381" s="35"/>
      <c r="DN381" s="35"/>
      <c r="DO381" s="35"/>
      <c r="DP381" s="35"/>
      <c r="DQ381" s="35"/>
      <c r="DR381" s="35"/>
      <c r="DS381" s="35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40"/>
      <c r="ES381" s="40"/>
      <c r="ET381" s="40"/>
      <c r="EU381" s="40"/>
      <c r="EV381" s="40"/>
      <c r="EW381" s="40"/>
      <c r="EX381" s="40"/>
      <c r="EY381" s="40"/>
      <c r="EZ381" s="35"/>
      <c r="FA381" s="35"/>
      <c r="FB381" s="35"/>
      <c r="FC381" s="35"/>
      <c r="FD381" s="35"/>
      <c r="FE381" s="35"/>
      <c r="FF381" s="35"/>
      <c r="FG381" s="35"/>
    </row>
    <row r="382" spans="1:163">
      <c r="A382" s="62">
        <v>416</v>
      </c>
      <c r="E382" s="63" t="s">
        <v>233</v>
      </c>
      <c r="F382" s="56" t="s">
        <v>82</v>
      </c>
      <c r="G382" s="65" t="s">
        <v>784</v>
      </c>
      <c r="H382" s="66" t="str">
        <f t="shared" si="146"/>
        <v xml:space="preserve"> 392</v>
      </c>
      <c r="I382" s="67" t="s">
        <v>784</v>
      </c>
      <c r="J382" s="68">
        <f t="shared" si="147"/>
        <v>0</v>
      </c>
      <c r="K382" s="63" t="s">
        <v>384</v>
      </c>
      <c r="L382" s="1" t="s">
        <v>46</v>
      </c>
      <c r="O382" s="64" t="s">
        <v>789</v>
      </c>
      <c r="P382" s="82">
        <v>0</v>
      </c>
      <c r="Q382" s="74">
        <f t="shared" si="166"/>
        <v>56000</v>
      </c>
      <c r="R382" s="71">
        <v>56000</v>
      </c>
      <c r="S382" s="72">
        <f t="shared" si="163"/>
        <v>7900</v>
      </c>
      <c r="T382" s="68" t="s">
        <v>791</v>
      </c>
      <c r="U382" s="73">
        <f t="shared" si="164"/>
        <v>48100</v>
      </c>
      <c r="V382" s="75">
        <f>2000+4850+600+200+250</f>
        <v>7900</v>
      </c>
      <c r="W382" s="2">
        <f t="shared" si="148"/>
        <v>56000</v>
      </c>
      <c r="Y382" s="80">
        <f t="shared" si="149"/>
        <v>56000</v>
      </c>
      <c r="Z382" s="93"/>
      <c r="AA382" s="93"/>
      <c r="AB382" s="94"/>
      <c r="AE382" s="2">
        <v>78000</v>
      </c>
      <c r="AF382" s="28">
        <f t="shared" si="143"/>
        <v>78000</v>
      </c>
      <c r="AG382" s="55" t="s">
        <v>125</v>
      </c>
      <c r="AI382" s="20" t="s">
        <v>205</v>
      </c>
      <c r="AJ382" s="2">
        <f t="shared" si="150"/>
        <v>22000</v>
      </c>
      <c r="AN382" s="29">
        <f t="shared" si="151"/>
        <v>0.28205128205128205</v>
      </c>
      <c r="AP382" s="3" t="s">
        <v>140</v>
      </c>
      <c r="AQ382" s="1" t="s">
        <v>198</v>
      </c>
      <c r="AR382" s="31">
        <f t="shared" si="152"/>
        <v>0</v>
      </c>
      <c r="AS382" s="31">
        <f t="shared" si="153"/>
        <v>0</v>
      </c>
      <c r="AT382" s="31">
        <f t="shared" si="167"/>
        <v>0</v>
      </c>
      <c r="AU382" s="31">
        <f t="shared" si="154"/>
        <v>0</v>
      </c>
      <c r="AV382" s="31">
        <f t="shared" si="155"/>
        <v>0</v>
      </c>
      <c r="AW382" s="31">
        <f t="shared" si="156"/>
        <v>0</v>
      </c>
      <c r="AX382" s="31">
        <f t="shared" si="157"/>
        <v>0</v>
      </c>
      <c r="AY382" s="31">
        <f t="shared" si="158"/>
        <v>0</v>
      </c>
      <c r="AZ382" s="31">
        <f t="shared" si="159"/>
        <v>0</v>
      </c>
      <c r="BA382" s="31">
        <f t="shared" si="160"/>
        <v>0</v>
      </c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35"/>
      <c r="CW382" s="35"/>
      <c r="CX382" s="35"/>
      <c r="CY382" s="35"/>
      <c r="CZ382" s="35"/>
      <c r="DA382" s="35"/>
      <c r="DB382" s="35"/>
      <c r="DC382" s="35"/>
      <c r="DD382" s="40"/>
      <c r="DE382" s="40"/>
      <c r="DF382" s="40"/>
      <c r="DG382" s="40"/>
      <c r="DH382" s="40"/>
      <c r="DI382" s="40"/>
      <c r="DJ382" s="40"/>
      <c r="DK382" s="40"/>
      <c r="DL382" s="36"/>
      <c r="DM382" s="36"/>
      <c r="DN382" s="36"/>
      <c r="DO382" s="36"/>
      <c r="DP382" s="36"/>
      <c r="DQ382" s="36"/>
      <c r="DR382" s="36"/>
      <c r="DS382" s="36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40"/>
      <c r="ES382" s="40"/>
      <c r="ET382" s="40"/>
      <c r="EU382" s="40"/>
      <c r="EV382" s="40"/>
      <c r="EW382" s="40"/>
      <c r="EX382" s="40"/>
      <c r="EY382" s="40"/>
      <c r="EZ382" s="35"/>
      <c r="FA382" s="35"/>
      <c r="FB382" s="35"/>
      <c r="FC382" s="35"/>
      <c r="FD382" s="35"/>
      <c r="FE382" s="35"/>
      <c r="FF382" s="35"/>
      <c r="FG382" s="35"/>
    </row>
    <row r="383" spans="1:163">
      <c r="A383" s="62">
        <v>420</v>
      </c>
      <c r="E383" s="63" t="s">
        <v>233</v>
      </c>
      <c r="F383" s="56" t="s">
        <v>82</v>
      </c>
      <c r="G383" s="65" t="s">
        <v>788</v>
      </c>
      <c r="H383" s="66" t="str">
        <f t="shared" si="146"/>
        <v xml:space="preserve"> 889</v>
      </c>
      <c r="I383" s="67" t="s">
        <v>788</v>
      </c>
      <c r="J383" s="68">
        <f t="shared" si="147"/>
        <v>0</v>
      </c>
      <c r="K383" s="63" t="s">
        <v>384</v>
      </c>
      <c r="L383" s="1" t="s">
        <v>46</v>
      </c>
      <c r="O383" s="64" t="s">
        <v>789</v>
      </c>
      <c r="P383" s="82">
        <v>0</v>
      </c>
      <c r="Q383" s="74">
        <f t="shared" si="166"/>
        <v>56000</v>
      </c>
      <c r="R383" s="71">
        <v>56000</v>
      </c>
      <c r="S383" s="72">
        <f t="shared" si="163"/>
        <v>7900</v>
      </c>
      <c r="T383" s="68" t="s">
        <v>791</v>
      </c>
      <c r="U383" s="73">
        <f t="shared" si="164"/>
        <v>48100</v>
      </c>
      <c r="V383" s="75">
        <f>2000+4850+600+200+250</f>
        <v>7900</v>
      </c>
      <c r="W383" s="2">
        <f t="shared" si="148"/>
        <v>56000</v>
      </c>
      <c r="Y383" s="80">
        <f t="shared" si="149"/>
        <v>56000</v>
      </c>
      <c r="Z383" s="93"/>
      <c r="AA383" s="93"/>
      <c r="AB383" s="94"/>
      <c r="AE383" s="2">
        <v>64000</v>
      </c>
      <c r="AF383" s="28">
        <f t="shared" si="143"/>
        <v>64000</v>
      </c>
      <c r="AG383" s="55" t="s">
        <v>125</v>
      </c>
      <c r="AI383" s="20" t="s">
        <v>205</v>
      </c>
      <c r="AJ383" s="2">
        <f t="shared" si="150"/>
        <v>8000</v>
      </c>
      <c r="AN383" s="29">
        <f t="shared" si="151"/>
        <v>0.125</v>
      </c>
      <c r="AP383" s="3" t="s">
        <v>140</v>
      </c>
      <c r="AQ383" s="1" t="s">
        <v>198</v>
      </c>
      <c r="AR383" s="31">
        <f t="shared" si="152"/>
        <v>0</v>
      </c>
      <c r="AS383" s="31">
        <f t="shared" si="153"/>
        <v>0</v>
      </c>
      <c r="AT383" s="31">
        <f t="shared" si="167"/>
        <v>0</v>
      </c>
      <c r="AU383" s="31">
        <f t="shared" si="154"/>
        <v>0</v>
      </c>
      <c r="AV383" s="31">
        <f t="shared" si="155"/>
        <v>0</v>
      </c>
      <c r="AW383" s="31">
        <f t="shared" si="156"/>
        <v>0</v>
      </c>
      <c r="AX383" s="31">
        <f t="shared" si="157"/>
        <v>0</v>
      </c>
      <c r="AY383" s="31">
        <f t="shared" si="158"/>
        <v>0</v>
      </c>
      <c r="AZ383" s="31">
        <f t="shared" si="159"/>
        <v>0</v>
      </c>
      <c r="BA383" s="31">
        <f t="shared" si="160"/>
        <v>0</v>
      </c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35"/>
      <c r="CW383" s="35"/>
      <c r="CX383" s="35"/>
      <c r="CY383" s="35"/>
      <c r="CZ383" s="35"/>
      <c r="DA383" s="35"/>
      <c r="DB383" s="35"/>
      <c r="DC383" s="35"/>
      <c r="DD383" s="40"/>
      <c r="DE383" s="40"/>
      <c r="DF383" s="40"/>
      <c r="DG383" s="40"/>
      <c r="DH383" s="40"/>
      <c r="DI383" s="40"/>
      <c r="DJ383" s="40"/>
      <c r="DK383" s="40"/>
      <c r="DL383" s="36"/>
      <c r="DM383" s="36"/>
      <c r="DN383" s="36"/>
      <c r="DO383" s="36"/>
      <c r="DP383" s="36"/>
      <c r="DQ383" s="36"/>
      <c r="DR383" s="36"/>
      <c r="DS383" s="36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40"/>
      <c r="ES383" s="40"/>
      <c r="ET383" s="40"/>
      <c r="EU383" s="40"/>
      <c r="EV383" s="40"/>
      <c r="EW383" s="40"/>
      <c r="EX383" s="40"/>
      <c r="EY383" s="40"/>
      <c r="EZ383" s="35"/>
      <c r="FA383" s="35"/>
      <c r="FB383" s="35"/>
      <c r="FC383" s="35"/>
      <c r="FD383" s="35"/>
      <c r="FE383" s="35"/>
      <c r="FF383" s="35"/>
      <c r="FG383" s="35"/>
    </row>
    <row r="384" spans="1:163">
      <c r="A384" s="62">
        <v>419</v>
      </c>
      <c r="E384" s="63" t="s">
        <v>233</v>
      </c>
      <c r="F384" s="56" t="s">
        <v>82</v>
      </c>
      <c r="G384" s="65" t="s">
        <v>787</v>
      </c>
      <c r="H384" s="66" t="str">
        <f t="shared" si="146"/>
        <v xml:space="preserve"> 834</v>
      </c>
      <c r="I384" s="67" t="s">
        <v>787</v>
      </c>
      <c r="J384" s="68">
        <f t="shared" si="147"/>
        <v>0</v>
      </c>
      <c r="K384" s="63" t="s">
        <v>384</v>
      </c>
      <c r="L384" s="1" t="s">
        <v>46</v>
      </c>
      <c r="O384" s="88" t="s">
        <v>790</v>
      </c>
      <c r="P384" s="89">
        <v>0</v>
      </c>
      <c r="Q384" s="90">
        <f t="shared" si="166"/>
        <v>56000</v>
      </c>
      <c r="R384" s="71">
        <v>56000</v>
      </c>
      <c r="S384" s="72">
        <f t="shared" si="163"/>
        <v>7900</v>
      </c>
      <c r="T384" s="68" t="s">
        <v>791</v>
      </c>
      <c r="U384" s="73">
        <f t="shared" si="164"/>
        <v>48100</v>
      </c>
      <c r="V384" s="75">
        <f>2000+4850+600+200+250</f>
        <v>7900</v>
      </c>
      <c r="W384" s="2">
        <f t="shared" si="148"/>
        <v>56000</v>
      </c>
      <c r="Y384" s="81">
        <f t="shared" si="149"/>
        <v>56000</v>
      </c>
      <c r="Z384" s="96">
        <v>0</v>
      </c>
      <c r="AA384" s="97">
        <f>U384-Z384</f>
        <v>48100</v>
      </c>
      <c r="AB384" s="98" t="e">
        <f>AA384/Z384</f>
        <v>#DIV/0!</v>
      </c>
      <c r="AE384" s="2">
        <v>79000</v>
      </c>
      <c r="AF384" s="28">
        <f t="shared" ref="AF384:AF447" si="168">IF(O384="Baru",AE384,AD384)</f>
        <v>0</v>
      </c>
      <c r="AG384" s="55" t="s">
        <v>125</v>
      </c>
      <c r="AI384" s="20" t="s">
        <v>205</v>
      </c>
      <c r="AJ384" s="2">
        <f t="shared" si="150"/>
        <v>-56000</v>
      </c>
      <c r="AN384" s="29" t="e">
        <f t="shared" si="151"/>
        <v>#DIV/0!</v>
      </c>
      <c r="AP384" s="3" t="s">
        <v>140</v>
      </c>
      <c r="AQ384" s="1" t="s">
        <v>198</v>
      </c>
      <c r="AR384" s="31">
        <f t="shared" si="152"/>
        <v>0</v>
      </c>
      <c r="AS384" s="31">
        <f t="shared" si="153"/>
        <v>0</v>
      </c>
      <c r="AT384" s="31">
        <f t="shared" si="167"/>
        <v>0</v>
      </c>
      <c r="AU384" s="31">
        <f t="shared" si="154"/>
        <v>0</v>
      </c>
      <c r="AV384" s="31">
        <f t="shared" si="155"/>
        <v>0</v>
      </c>
      <c r="AW384" s="31">
        <f t="shared" si="156"/>
        <v>0</v>
      </c>
      <c r="AX384" s="31">
        <f t="shared" si="157"/>
        <v>0</v>
      </c>
      <c r="AY384" s="31">
        <f t="shared" si="158"/>
        <v>0</v>
      </c>
      <c r="AZ384" s="31">
        <f t="shared" si="159"/>
        <v>0</v>
      </c>
      <c r="BA384" s="31">
        <f t="shared" si="160"/>
        <v>0</v>
      </c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35"/>
      <c r="CW384" s="35"/>
      <c r="CX384" s="35"/>
      <c r="CY384" s="35"/>
      <c r="CZ384" s="35"/>
      <c r="DA384" s="35"/>
      <c r="DB384" s="35"/>
      <c r="DC384" s="35"/>
      <c r="DD384" s="40"/>
      <c r="DE384" s="40"/>
      <c r="DF384" s="40"/>
      <c r="DG384" s="40"/>
      <c r="DH384" s="40"/>
      <c r="DI384" s="40"/>
      <c r="DJ384" s="40"/>
      <c r="DK384" s="40"/>
      <c r="DL384" s="36"/>
      <c r="DM384" s="36"/>
      <c r="DN384" s="36"/>
      <c r="DO384" s="36"/>
      <c r="DP384" s="36"/>
      <c r="DQ384" s="36"/>
      <c r="DR384" s="36"/>
      <c r="DS384" s="36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40"/>
      <c r="ES384" s="40"/>
      <c r="ET384" s="40"/>
      <c r="EU384" s="40"/>
      <c r="EV384" s="40"/>
      <c r="EW384" s="40"/>
      <c r="EX384" s="40"/>
      <c r="EY384" s="40"/>
      <c r="EZ384" s="35"/>
      <c r="FA384" s="35"/>
      <c r="FB384" s="35"/>
      <c r="FC384" s="35"/>
      <c r="FD384" s="35"/>
      <c r="FE384" s="35"/>
      <c r="FF384" s="35"/>
      <c r="FG384" s="35"/>
    </row>
    <row r="385" spans="1:163">
      <c r="A385" s="62">
        <v>368</v>
      </c>
      <c r="E385" s="63" t="s">
        <v>231</v>
      </c>
      <c r="F385" s="56" t="s">
        <v>86</v>
      </c>
      <c r="G385" s="70" t="s">
        <v>737</v>
      </c>
      <c r="H385" s="66" t="str">
        <f t="shared" si="146"/>
        <v xml:space="preserve"> 593</v>
      </c>
      <c r="I385" s="67" t="s">
        <v>737</v>
      </c>
      <c r="J385" s="68">
        <f t="shared" si="147"/>
        <v>0</v>
      </c>
      <c r="K385" s="63" t="s">
        <v>375</v>
      </c>
      <c r="L385" s="1" t="s">
        <v>46</v>
      </c>
      <c r="O385" s="64" t="s">
        <v>789</v>
      </c>
      <c r="P385" s="82">
        <v>0</v>
      </c>
      <c r="Q385" s="74">
        <f t="shared" si="166"/>
        <v>55000</v>
      </c>
      <c r="R385" s="71">
        <v>55000</v>
      </c>
      <c r="S385" s="72">
        <f t="shared" si="163"/>
        <v>7900</v>
      </c>
      <c r="T385" s="68" t="s">
        <v>791</v>
      </c>
      <c r="U385" s="73">
        <f t="shared" si="164"/>
        <v>47100</v>
      </c>
      <c r="V385" s="73">
        <f>4850+600+200+250+2000</f>
        <v>7900</v>
      </c>
      <c r="W385" s="2">
        <f t="shared" si="148"/>
        <v>55000</v>
      </c>
      <c r="Y385" s="80">
        <f t="shared" si="149"/>
        <v>55000</v>
      </c>
      <c r="Z385" s="93"/>
      <c r="AA385" s="93"/>
      <c r="AB385" s="94"/>
      <c r="AE385" s="2">
        <v>87000</v>
      </c>
      <c r="AF385" s="28">
        <f t="shared" si="168"/>
        <v>87000</v>
      </c>
      <c r="AG385" s="55" t="s">
        <v>125</v>
      </c>
      <c r="AI385" s="20" t="s">
        <v>45</v>
      </c>
      <c r="AJ385" s="2">
        <f t="shared" si="150"/>
        <v>32000</v>
      </c>
      <c r="AN385" s="29">
        <f t="shared" si="151"/>
        <v>0.36781609195402298</v>
      </c>
      <c r="AP385" s="3" t="s">
        <v>29</v>
      </c>
      <c r="AQ385" s="1" t="s">
        <v>203</v>
      </c>
      <c r="AR385" s="31">
        <f t="shared" si="152"/>
        <v>0</v>
      </c>
      <c r="AS385" s="31">
        <f t="shared" si="153"/>
        <v>0</v>
      </c>
      <c r="AT385" s="31">
        <f t="shared" si="167"/>
        <v>0</v>
      </c>
      <c r="AU385" s="31">
        <f t="shared" si="154"/>
        <v>0</v>
      </c>
      <c r="AV385" s="31">
        <f t="shared" si="155"/>
        <v>0</v>
      </c>
      <c r="AW385" s="31">
        <f t="shared" si="156"/>
        <v>0</v>
      </c>
      <c r="AX385" s="31">
        <f t="shared" si="157"/>
        <v>0</v>
      </c>
      <c r="AY385" s="31">
        <f t="shared" si="158"/>
        <v>0</v>
      </c>
      <c r="AZ385" s="31">
        <f t="shared" si="159"/>
        <v>0</v>
      </c>
      <c r="BA385" s="31">
        <f t="shared" si="160"/>
        <v>0</v>
      </c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35"/>
      <c r="CW385" s="35"/>
      <c r="CX385" s="35"/>
      <c r="CY385" s="35"/>
      <c r="CZ385" s="35"/>
      <c r="DA385" s="35"/>
      <c r="DB385" s="35"/>
      <c r="DC385" s="35"/>
      <c r="DD385" s="40"/>
      <c r="DE385" s="40"/>
      <c r="DF385" s="40"/>
      <c r="DG385" s="40"/>
      <c r="DH385" s="40"/>
      <c r="DI385" s="40"/>
      <c r="DJ385" s="40"/>
      <c r="DK385" s="40"/>
      <c r="DL385" s="35"/>
      <c r="DM385" s="35"/>
      <c r="DN385" s="35"/>
      <c r="DO385" s="35"/>
      <c r="DP385" s="35"/>
      <c r="DQ385" s="35"/>
      <c r="DR385" s="35"/>
      <c r="DS385" s="35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40"/>
      <c r="ES385" s="40"/>
      <c r="ET385" s="40"/>
      <c r="EU385" s="40"/>
      <c r="EV385" s="40"/>
      <c r="EW385" s="40"/>
      <c r="EX385" s="40"/>
      <c r="EY385" s="40"/>
    </row>
    <row r="386" spans="1:163">
      <c r="A386" s="62">
        <v>245</v>
      </c>
      <c r="E386" s="63" t="s">
        <v>219</v>
      </c>
      <c r="F386" s="56" t="s">
        <v>92</v>
      </c>
      <c r="G386" s="70" t="s">
        <v>621</v>
      </c>
      <c r="H386" s="66" t="str">
        <f t="shared" si="146"/>
        <v xml:space="preserve"> 708</v>
      </c>
      <c r="I386" s="67" t="s">
        <v>621</v>
      </c>
      <c r="J386" s="68">
        <f t="shared" si="147"/>
        <v>0</v>
      </c>
      <c r="K386" s="63" t="s">
        <v>337</v>
      </c>
      <c r="L386" s="1" t="s">
        <v>46</v>
      </c>
      <c r="O386" s="64" t="s">
        <v>789</v>
      </c>
      <c r="P386" s="82">
        <v>0</v>
      </c>
      <c r="Q386" s="74">
        <f t="shared" si="166"/>
        <v>143000</v>
      </c>
      <c r="R386" s="71">
        <v>143000</v>
      </c>
      <c r="S386" s="72">
        <f t="shared" si="163"/>
        <v>10250</v>
      </c>
      <c r="T386" s="68" t="s">
        <v>791</v>
      </c>
      <c r="U386" s="73">
        <f t="shared" si="164"/>
        <v>132750</v>
      </c>
      <c r="V386" s="75">
        <f>2000+6200+600+200+250+1000</f>
        <v>10250</v>
      </c>
      <c r="W386" s="2">
        <f t="shared" si="148"/>
        <v>143000</v>
      </c>
      <c r="Y386" s="80">
        <f t="shared" si="149"/>
        <v>143000</v>
      </c>
      <c r="Z386" s="93"/>
      <c r="AA386" s="93"/>
      <c r="AB386" s="94"/>
      <c r="AE386" s="2">
        <v>124000</v>
      </c>
      <c r="AF386" s="28">
        <f t="shared" si="168"/>
        <v>124000</v>
      </c>
      <c r="AG386" s="55" t="s">
        <v>125</v>
      </c>
      <c r="AI386" s="20" t="s">
        <v>45</v>
      </c>
      <c r="AJ386" s="2">
        <f t="shared" si="150"/>
        <v>-19000</v>
      </c>
      <c r="AN386" s="29">
        <f t="shared" si="151"/>
        <v>-0.15322580645161291</v>
      </c>
      <c r="AP386" s="3" t="s">
        <v>29</v>
      </c>
      <c r="AQ386" s="1" t="s">
        <v>190</v>
      </c>
      <c r="AR386" s="31">
        <f t="shared" si="152"/>
        <v>0</v>
      </c>
      <c r="AS386" s="31">
        <f t="shared" si="153"/>
        <v>0</v>
      </c>
      <c r="AT386" s="31">
        <f t="shared" si="167"/>
        <v>0</v>
      </c>
      <c r="AU386" s="31">
        <f t="shared" si="154"/>
        <v>0</v>
      </c>
      <c r="AV386" s="31">
        <f t="shared" si="155"/>
        <v>0</v>
      </c>
      <c r="AW386" s="31">
        <f t="shared" si="156"/>
        <v>0</v>
      </c>
      <c r="AX386" s="31">
        <f t="shared" si="157"/>
        <v>0</v>
      </c>
      <c r="AY386" s="31">
        <f t="shared" si="158"/>
        <v>0</v>
      </c>
      <c r="AZ386" s="31">
        <f t="shared" si="159"/>
        <v>0</v>
      </c>
      <c r="BA386" s="31">
        <f t="shared" si="160"/>
        <v>0</v>
      </c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35"/>
      <c r="CW386" s="35"/>
      <c r="CX386" s="35"/>
      <c r="CY386" s="35"/>
      <c r="CZ386" s="35"/>
      <c r="DA386" s="35"/>
      <c r="DB386" s="35"/>
      <c r="DC386" s="35"/>
      <c r="DD386" s="40"/>
      <c r="DE386" s="40"/>
      <c r="DF386" s="40"/>
      <c r="DG386" s="40"/>
      <c r="DH386" s="40"/>
      <c r="DI386" s="40"/>
      <c r="DJ386" s="40"/>
      <c r="DK386" s="40"/>
      <c r="DL386" s="35"/>
      <c r="DM386" s="35"/>
      <c r="DN386" s="35"/>
      <c r="DO386" s="35"/>
      <c r="DP386" s="35"/>
      <c r="DQ386" s="35"/>
      <c r="DR386" s="35"/>
      <c r="DS386" s="35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40"/>
      <c r="ES386" s="40"/>
      <c r="ET386" s="40"/>
      <c r="EU386" s="40"/>
      <c r="EV386" s="40"/>
      <c r="EW386" s="40"/>
      <c r="EX386" s="40"/>
      <c r="EY386" s="40"/>
      <c r="EZ386" s="35"/>
      <c r="FA386" s="35"/>
      <c r="FB386" s="35"/>
      <c r="FC386" s="35"/>
      <c r="FD386" s="35"/>
      <c r="FE386" s="35"/>
      <c r="FF386" s="35"/>
      <c r="FG386" s="35"/>
    </row>
    <row r="387" spans="1:163">
      <c r="A387" s="62">
        <v>352</v>
      </c>
      <c r="E387" s="63" t="s">
        <v>227</v>
      </c>
      <c r="F387" s="56" t="s">
        <v>85</v>
      </c>
      <c r="G387" s="70" t="s">
        <v>722</v>
      </c>
      <c r="H387" s="66" t="str">
        <f t="shared" si="146"/>
        <v xml:space="preserve"> 454</v>
      </c>
      <c r="I387" s="67" t="s">
        <v>722</v>
      </c>
      <c r="J387" s="68">
        <f t="shared" si="147"/>
        <v>0</v>
      </c>
      <c r="K387" s="63" t="s">
        <v>337</v>
      </c>
      <c r="L387" s="1" t="s">
        <v>46</v>
      </c>
      <c r="O387" s="64" t="s">
        <v>789</v>
      </c>
      <c r="P387" s="82">
        <v>0</v>
      </c>
      <c r="Q387" s="74">
        <f t="shared" si="166"/>
        <v>75000</v>
      </c>
      <c r="R387" s="71">
        <v>75000</v>
      </c>
      <c r="S387" s="72">
        <f t="shared" si="163"/>
        <v>9250</v>
      </c>
      <c r="T387" s="68" t="s">
        <v>791</v>
      </c>
      <c r="U387" s="73">
        <f t="shared" si="164"/>
        <v>65750</v>
      </c>
      <c r="V387" s="75">
        <f>2000+5200+600+200+250+1000</f>
        <v>9250</v>
      </c>
      <c r="W387" s="2">
        <f t="shared" si="148"/>
        <v>75000</v>
      </c>
      <c r="Y387" s="80">
        <f t="shared" si="149"/>
        <v>75000</v>
      </c>
      <c r="Z387" s="93"/>
      <c r="AA387" s="93"/>
      <c r="AB387" s="94"/>
      <c r="AC387" s="2">
        <v>3000</v>
      </c>
      <c r="AD387" s="2">
        <f>Z387+AC387</f>
        <v>3000</v>
      </c>
      <c r="AF387" s="28">
        <f t="shared" si="168"/>
        <v>0</v>
      </c>
      <c r="AG387" s="55" t="s">
        <v>125</v>
      </c>
      <c r="AI387" s="20" t="s">
        <v>45</v>
      </c>
      <c r="AJ387" s="2">
        <f t="shared" si="150"/>
        <v>-75000</v>
      </c>
      <c r="AN387" s="29" t="e">
        <f t="shared" si="151"/>
        <v>#DIV/0!</v>
      </c>
      <c r="AO387" s="29" t="e">
        <f>AN387-AB387</f>
        <v>#DIV/0!</v>
      </c>
      <c r="AP387" s="3" t="s">
        <v>29</v>
      </c>
      <c r="AQ387" s="1" t="s">
        <v>203</v>
      </c>
      <c r="AR387" s="31">
        <f t="shared" si="152"/>
        <v>0</v>
      </c>
      <c r="AS387" s="31">
        <f t="shared" si="153"/>
        <v>0</v>
      </c>
      <c r="AT387" s="31">
        <f t="shared" si="167"/>
        <v>0</v>
      </c>
      <c r="AU387" s="31">
        <f t="shared" si="154"/>
        <v>0</v>
      </c>
      <c r="AV387" s="31">
        <f t="shared" si="155"/>
        <v>0</v>
      </c>
      <c r="AW387" s="31">
        <f t="shared" si="156"/>
        <v>0</v>
      </c>
      <c r="AX387" s="31">
        <f t="shared" si="157"/>
        <v>0</v>
      </c>
      <c r="AY387" s="31">
        <f t="shared" si="158"/>
        <v>0</v>
      </c>
      <c r="AZ387" s="31">
        <f t="shared" si="159"/>
        <v>0</v>
      </c>
      <c r="BA387" s="31">
        <f t="shared" si="160"/>
        <v>0</v>
      </c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35"/>
      <c r="CW387" s="35"/>
      <c r="CX387" s="35"/>
      <c r="CY387" s="35"/>
      <c r="CZ387" s="35"/>
      <c r="DA387" s="35"/>
      <c r="DB387" s="35"/>
      <c r="DC387" s="35"/>
      <c r="DD387" s="40"/>
      <c r="DE387" s="40"/>
      <c r="DF387" s="40"/>
      <c r="DG387" s="40"/>
      <c r="DH387" s="40"/>
      <c r="DI387" s="40"/>
      <c r="DJ387" s="40"/>
      <c r="DK387" s="40"/>
      <c r="DL387" s="35"/>
      <c r="DM387" s="35"/>
      <c r="DN387" s="35"/>
      <c r="DO387" s="35"/>
      <c r="DP387" s="35"/>
      <c r="DQ387" s="35"/>
      <c r="DR387" s="35"/>
      <c r="DS387" s="35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40"/>
      <c r="ES387" s="40"/>
      <c r="ET387" s="40"/>
      <c r="EU387" s="40"/>
      <c r="EV387" s="40"/>
      <c r="EW387" s="40"/>
      <c r="EX387" s="40"/>
      <c r="EY387" s="40"/>
    </row>
    <row r="388" spans="1:163">
      <c r="A388" s="62">
        <v>246</v>
      </c>
      <c r="E388" s="63" t="s">
        <v>222</v>
      </c>
      <c r="F388" s="56" t="s">
        <v>92</v>
      </c>
      <c r="G388" s="70" t="s">
        <v>622</v>
      </c>
      <c r="H388" s="66" t="str">
        <f t="shared" si="146"/>
        <v xml:space="preserve"> 482</v>
      </c>
      <c r="I388" s="67" t="s">
        <v>622</v>
      </c>
      <c r="J388" s="68">
        <f t="shared" si="147"/>
        <v>0</v>
      </c>
      <c r="K388" s="63" t="s">
        <v>337</v>
      </c>
      <c r="L388" s="1" t="s">
        <v>46</v>
      </c>
      <c r="O388" s="88" t="s">
        <v>790</v>
      </c>
      <c r="P388" s="89">
        <v>0</v>
      </c>
      <c r="Q388" s="90">
        <f t="shared" si="166"/>
        <v>153000</v>
      </c>
      <c r="R388" s="71">
        <v>153000</v>
      </c>
      <c r="S388" s="72">
        <f t="shared" si="163"/>
        <v>9750</v>
      </c>
      <c r="T388" s="68" t="s">
        <v>791</v>
      </c>
      <c r="U388" s="73">
        <f t="shared" si="164"/>
        <v>143250</v>
      </c>
      <c r="V388" s="75">
        <f>2000+6200+600+200+250+500</f>
        <v>9750</v>
      </c>
      <c r="W388" s="2">
        <f t="shared" si="148"/>
        <v>153000</v>
      </c>
      <c r="Y388" s="81">
        <f t="shared" si="149"/>
        <v>153000</v>
      </c>
      <c r="Z388" s="96">
        <v>0</v>
      </c>
      <c r="AA388" s="97">
        <f>U388-Z388</f>
        <v>143250</v>
      </c>
      <c r="AB388" s="98" t="e">
        <f>AA388/Z388</f>
        <v>#DIV/0!</v>
      </c>
      <c r="AC388" s="2">
        <v>4000</v>
      </c>
      <c r="AD388" s="2">
        <f>Z388+AC388</f>
        <v>4000</v>
      </c>
      <c r="AF388" s="28">
        <f t="shared" si="168"/>
        <v>4000</v>
      </c>
      <c r="AG388" s="55" t="s">
        <v>125</v>
      </c>
      <c r="AI388" s="20" t="s">
        <v>45</v>
      </c>
      <c r="AJ388" s="2">
        <f t="shared" si="150"/>
        <v>-149000</v>
      </c>
      <c r="AN388" s="29">
        <f t="shared" si="151"/>
        <v>-37.25</v>
      </c>
      <c r="AO388" s="29" t="e">
        <f>AN388-AB388</f>
        <v>#DIV/0!</v>
      </c>
      <c r="AP388" s="3" t="s">
        <v>29</v>
      </c>
      <c r="AQ388" s="1" t="s">
        <v>190</v>
      </c>
      <c r="AR388" s="31">
        <f t="shared" si="152"/>
        <v>0</v>
      </c>
      <c r="AS388" s="31">
        <f t="shared" si="153"/>
        <v>0</v>
      </c>
      <c r="AT388" s="31">
        <f t="shared" si="167"/>
        <v>0</v>
      </c>
      <c r="AU388" s="31">
        <f t="shared" si="154"/>
        <v>0</v>
      </c>
      <c r="AV388" s="31">
        <f t="shared" si="155"/>
        <v>0</v>
      </c>
      <c r="AW388" s="31">
        <f t="shared" si="156"/>
        <v>0</v>
      </c>
      <c r="AX388" s="31">
        <f t="shared" si="157"/>
        <v>0</v>
      </c>
      <c r="AY388" s="31">
        <f t="shared" si="158"/>
        <v>0</v>
      </c>
      <c r="AZ388" s="31">
        <f t="shared" si="159"/>
        <v>0</v>
      </c>
      <c r="BA388" s="31">
        <f t="shared" si="160"/>
        <v>0</v>
      </c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35"/>
      <c r="CW388" s="35"/>
      <c r="CX388" s="35"/>
      <c r="CY388" s="35"/>
      <c r="CZ388" s="35"/>
      <c r="DA388" s="35"/>
      <c r="DB388" s="35"/>
      <c r="DC388" s="35"/>
      <c r="DD388" s="40"/>
      <c r="DE388" s="40"/>
      <c r="DF388" s="40"/>
      <c r="DG388" s="40"/>
      <c r="DH388" s="40"/>
      <c r="DI388" s="40"/>
      <c r="DJ388" s="40"/>
      <c r="DK388" s="40"/>
      <c r="DL388" s="35"/>
      <c r="DM388" s="35"/>
      <c r="DN388" s="35"/>
      <c r="DO388" s="35"/>
      <c r="DP388" s="35"/>
      <c r="DQ388" s="35"/>
      <c r="DR388" s="35"/>
      <c r="DS388" s="35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40"/>
      <c r="ES388" s="40"/>
      <c r="ET388" s="40"/>
      <c r="EU388" s="40"/>
      <c r="EV388" s="40"/>
      <c r="EW388" s="40"/>
      <c r="EX388" s="40"/>
      <c r="EY388" s="40"/>
      <c r="EZ388" s="35"/>
      <c r="FA388" s="35"/>
      <c r="FB388" s="35"/>
      <c r="FC388" s="35"/>
      <c r="FD388" s="35"/>
      <c r="FE388" s="35"/>
      <c r="FF388" s="35"/>
      <c r="FG388" s="35"/>
    </row>
    <row r="389" spans="1:163">
      <c r="A389" s="62">
        <v>244</v>
      </c>
      <c r="E389" s="63" t="s">
        <v>219</v>
      </c>
      <c r="F389" s="56" t="s">
        <v>92</v>
      </c>
      <c r="G389" s="70" t="s">
        <v>620</v>
      </c>
      <c r="H389" s="66" t="str">
        <f t="shared" si="146"/>
        <v xml:space="preserve"> 624</v>
      </c>
      <c r="I389" s="67" t="s">
        <v>620</v>
      </c>
      <c r="J389" s="68">
        <f t="shared" si="147"/>
        <v>0</v>
      </c>
      <c r="K389" s="63" t="s">
        <v>337</v>
      </c>
      <c r="L389" s="1" t="s">
        <v>46</v>
      </c>
      <c r="O389" s="88" t="s">
        <v>790</v>
      </c>
      <c r="P389" s="89">
        <v>0</v>
      </c>
      <c r="Q389" s="90">
        <f t="shared" si="166"/>
        <v>153000</v>
      </c>
      <c r="R389" s="71">
        <v>153000</v>
      </c>
      <c r="S389" s="72">
        <f t="shared" si="163"/>
        <v>9750</v>
      </c>
      <c r="T389" s="68" t="s">
        <v>791</v>
      </c>
      <c r="U389" s="73">
        <f t="shared" si="164"/>
        <v>143250</v>
      </c>
      <c r="V389" s="75">
        <f>2000+6200+600+200+250+500</f>
        <v>9750</v>
      </c>
      <c r="W389" s="2">
        <f t="shared" si="148"/>
        <v>153000</v>
      </c>
      <c r="Y389" s="81">
        <f t="shared" si="149"/>
        <v>153000</v>
      </c>
      <c r="Z389" s="96">
        <v>0</v>
      </c>
      <c r="AA389" s="97">
        <f>U389-Z389</f>
        <v>143250</v>
      </c>
      <c r="AB389" s="98" t="e">
        <f>AA389/Z389</f>
        <v>#DIV/0!</v>
      </c>
      <c r="AE389" s="2">
        <v>124000</v>
      </c>
      <c r="AF389" s="28">
        <f t="shared" si="168"/>
        <v>0</v>
      </c>
      <c r="AG389" s="55" t="s">
        <v>125</v>
      </c>
      <c r="AI389" s="20" t="s">
        <v>45</v>
      </c>
      <c r="AJ389" s="2">
        <f t="shared" si="150"/>
        <v>-153000</v>
      </c>
      <c r="AN389" s="29" t="e">
        <f t="shared" si="151"/>
        <v>#DIV/0!</v>
      </c>
      <c r="AP389" s="3" t="s">
        <v>29</v>
      </c>
      <c r="AQ389" s="1" t="s">
        <v>190</v>
      </c>
      <c r="AR389" s="31">
        <f t="shared" si="152"/>
        <v>0</v>
      </c>
      <c r="AS389" s="31">
        <f t="shared" si="153"/>
        <v>0</v>
      </c>
      <c r="AT389" s="31">
        <f t="shared" si="167"/>
        <v>0</v>
      </c>
      <c r="AU389" s="31">
        <f t="shared" si="154"/>
        <v>0</v>
      </c>
      <c r="AV389" s="31">
        <f t="shared" si="155"/>
        <v>0</v>
      </c>
      <c r="AW389" s="31">
        <f t="shared" si="156"/>
        <v>0</v>
      </c>
      <c r="AX389" s="31">
        <f t="shared" si="157"/>
        <v>0</v>
      </c>
      <c r="AY389" s="31">
        <f t="shared" si="158"/>
        <v>0</v>
      </c>
      <c r="AZ389" s="31">
        <f t="shared" si="159"/>
        <v>0</v>
      </c>
      <c r="BA389" s="31">
        <f t="shared" si="160"/>
        <v>0</v>
      </c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35"/>
      <c r="CW389" s="35"/>
      <c r="CX389" s="35"/>
      <c r="CY389" s="35"/>
      <c r="CZ389" s="35"/>
      <c r="DA389" s="35"/>
      <c r="DB389" s="35"/>
      <c r="DC389" s="35"/>
      <c r="DD389" s="40"/>
      <c r="DE389" s="40"/>
      <c r="DF389" s="40"/>
      <c r="DG389" s="40"/>
      <c r="DH389" s="40"/>
      <c r="DI389" s="40"/>
      <c r="DJ389" s="40"/>
      <c r="DK389" s="40"/>
      <c r="DL389" s="35"/>
      <c r="DM389" s="35"/>
      <c r="DN389" s="35"/>
      <c r="DO389" s="35"/>
      <c r="DP389" s="35"/>
      <c r="DQ389" s="35"/>
      <c r="DR389" s="35"/>
      <c r="DS389" s="35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40"/>
      <c r="ES389" s="40"/>
      <c r="ET389" s="40"/>
      <c r="EU389" s="40"/>
      <c r="EV389" s="40"/>
      <c r="EW389" s="40"/>
      <c r="EX389" s="40"/>
      <c r="EY389" s="40"/>
      <c r="EZ389" s="35"/>
      <c r="FA389" s="35"/>
      <c r="FB389" s="35"/>
      <c r="FC389" s="35"/>
      <c r="FD389" s="35"/>
      <c r="FE389" s="35"/>
      <c r="FF389" s="35"/>
      <c r="FG389" s="35"/>
    </row>
    <row r="390" spans="1:163">
      <c r="A390" s="60">
        <v>114</v>
      </c>
      <c r="E390" s="63" t="s">
        <v>56</v>
      </c>
      <c r="F390" s="56" t="s">
        <v>59</v>
      </c>
      <c r="G390" s="70" t="s">
        <v>493</v>
      </c>
      <c r="H390" s="66" t="str">
        <f t="shared" si="146"/>
        <v xml:space="preserve"> 837</v>
      </c>
      <c r="I390" s="67" t="s">
        <v>493</v>
      </c>
      <c r="J390" s="68">
        <f t="shared" si="147"/>
        <v>0</v>
      </c>
      <c r="K390" s="63" t="s">
        <v>282</v>
      </c>
      <c r="L390" s="1" t="s">
        <v>46</v>
      </c>
      <c r="O390" s="64" t="s">
        <v>789</v>
      </c>
      <c r="P390" s="82">
        <v>0</v>
      </c>
      <c r="Q390" s="74">
        <f t="shared" si="166"/>
        <v>66000</v>
      </c>
      <c r="R390" s="71">
        <v>66000</v>
      </c>
      <c r="S390" s="72">
        <f t="shared" si="163"/>
        <v>7900</v>
      </c>
      <c r="T390" s="68" t="s">
        <v>791</v>
      </c>
      <c r="U390" s="73">
        <f t="shared" si="164"/>
        <v>58100</v>
      </c>
      <c r="V390" s="73">
        <f>2000+4850+600+200+250</f>
        <v>7900</v>
      </c>
      <c r="W390" s="2">
        <f t="shared" si="148"/>
        <v>66000</v>
      </c>
      <c r="Y390" s="80">
        <f t="shared" si="149"/>
        <v>66000</v>
      </c>
      <c r="Z390" s="93"/>
      <c r="AA390" s="93"/>
      <c r="AB390" s="94"/>
      <c r="AE390" s="2">
        <v>96000</v>
      </c>
      <c r="AF390" s="28">
        <f t="shared" si="168"/>
        <v>96000</v>
      </c>
      <c r="AG390" s="55" t="s">
        <v>125</v>
      </c>
      <c r="AI390" s="20" t="s">
        <v>206</v>
      </c>
      <c r="AJ390" s="2">
        <f t="shared" si="150"/>
        <v>30000</v>
      </c>
      <c r="AN390" s="29">
        <f t="shared" si="151"/>
        <v>0.3125</v>
      </c>
      <c r="AP390" s="3" t="s">
        <v>29</v>
      </c>
      <c r="AQ390" s="1" t="s">
        <v>139</v>
      </c>
      <c r="AR390" s="31">
        <f t="shared" si="152"/>
        <v>0</v>
      </c>
      <c r="AS390" s="31">
        <f t="shared" si="153"/>
        <v>0</v>
      </c>
      <c r="AT390" s="31">
        <f t="shared" si="167"/>
        <v>0</v>
      </c>
      <c r="AU390" s="31">
        <f t="shared" si="154"/>
        <v>0</v>
      </c>
      <c r="AV390" s="31">
        <f t="shared" si="155"/>
        <v>0</v>
      </c>
      <c r="AW390" s="31">
        <f t="shared" si="156"/>
        <v>0</v>
      </c>
      <c r="AX390" s="31">
        <f t="shared" si="157"/>
        <v>0</v>
      </c>
      <c r="AY390" s="31">
        <f t="shared" si="158"/>
        <v>0</v>
      </c>
      <c r="AZ390" s="31">
        <f t="shared" si="159"/>
        <v>0</v>
      </c>
      <c r="BA390" s="31">
        <f t="shared" si="160"/>
        <v>0</v>
      </c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41"/>
      <c r="BM390" s="41"/>
      <c r="BN390" s="41"/>
      <c r="BO390" s="37"/>
      <c r="BP390" s="38"/>
      <c r="BQ390" s="37"/>
      <c r="BR390" s="40"/>
      <c r="BS390" s="39"/>
      <c r="BT390" s="39"/>
      <c r="BU390" s="39"/>
      <c r="BV390" s="39"/>
      <c r="BW390" s="39"/>
      <c r="BX390" s="36"/>
      <c r="BY390" s="33"/>
      <c r="BZ390" s="33"/>
      <c r="CA390" s="33"/>
      <c r="CB390" s="34"/>
      <c r="CC390" s="33"/>
      <c r="CD390" s="35"/>
      <c r="CE390" s="48"/>
      <c r="CF390" s="48"/>
      <c r="CG390" s="48"/>
      <c r="CH390" s="48"/>
      <c r="CI390" s="48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35"/>
      <c r="CW390" s="35"/>
      <c r="CX390" s="35"/>
      <c r="CY390" s="35"/>
      <c r="CZ390" s="35"/>
      <c r="DA390" s="35"/>
      <c r="DB390" s="35"/>
      <c r="DC390" s="35"/>
      <c r="DD390" s="40"/>
      <c r="DE390" s="40"/>
      <c r="DF390" s="40"/>
      <c r="DG390" s="40"/>
      <c r="DH390" s="40"/>
      <c r="DI390" s="40"/>
      <c r="DJ390" s="40"/>
      <c r="DK390" s="40"/>
      <c r="DL390" s="35"/>
      <c r="DM390" s="35"/>
      <c r="DN390" s="35"/>
      <c r="DO390" s="35"/>
      <c r="DP390" s="35"/>
      <c r="DQ390" s="35"/>
      <c r="DR390" s="35"/>
      <c r="DS390" s="35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40"/>
      <c r="ES390" s="40"/>
      <c r="ET390" s="40"/>
      <c r="EU390" s="40"/>
      <c r="EV390" s="40"/>
      <c r="EW390" s="40"/>
      <c r="EX390" s="40"/>
      <c r="EY390" s="40"/>
      <c r="EZ390" s="35"/>
      <c r="FA390" s="35"/>
      <c r="FB390" s="35"/>
      <c r="FC390" s="35"/>
      <c r="FD390" s="35"/>
      <c r="FE390" s="35"/>
      <c r="FF390" s="35"/>
      <c r="FG390" s="35"/>
    </row>
    <row r="391" spans="1:163">
      <c r="A391" s="60">
        <v>115</v>
      </c>
      <c r="E391" s="63" t="s">
        <v>58</v>
      </c>
      <c r="F391" s="56" t="s">
        <v>59</v>
      </c>
      <c r="G391" s="70" t="s">
        <v>494</v>
      </c>
      <c r="H391" s="66" t="str">
        <f t="shared" ref="H391:H454" si="169">REPLACE(G391,1,3, )</f>
        <v xml:space="preserve"> 208</v>
      </c>
      <c r="I391" s="67" t="s">
        <v>494</v>
      </c>
      <c r="J391" s="68">
        <f t="shared" ref="J391:J454" si="170">IF(G391=I391,0,1)</f>
        <v>0</v>
      </c>
      <c r="K391" s="63" t="s">
        <v>282</v>
      </c>
      <c r="L391" s="1" t="s">
        <v>46</v>
      </c>
      <c r="O391" s="64" t="s">
        <v>789</v>
      </c>
      <c r="P391" s="82">
        <v>0</v>
      </c>
      <c r="Q391" s="74">
        <f t="shared" si="166"/>
        <v>66000</v>
      </c>
      <c r="R391" s="77">
        <v>66000</v>
      </c>
      <c r="S391" s="72">
        <f t="shared" si="163"/>
        <v>7900</v>
      </c>
      <c r="T391" s="68" t="s">
        <v>791</v>
      </c>
      <c r="U391" s="73">
        <f t="shared" si="164"/>
        <v>58100</v>
      </c>
      <c r="V391" s="73">
        <f>2000+4850+600+200+250</f>
        <v>7900</v>
      </c>
      <c r="W391" s="2">
        <f t="shared" ref="W391:W426" si="171">Q391-P391</f>
        <v>66000</v>
      </c>
      <c r="Y391" s="80">
        <f t="shared" ref="Y391:Y426" si="172">Q391</f>
        <v>66000</v>
      </c>
      <c r="Z391" s="93"/>
      <c r="AA391" s="93"/>
      <c r="AB391" s="94"/>
      <c r="AC391" s="2">
        <v>3000</v>
      </c>
      <c r="AD391" s="2">
        <f>Z391+AC391</f>
        <v>3000</v>
      </c>
      <c r="AF391" s="28">
        <f t="shared" si="168"/>
        <v>0</v>
      </c>
      <c r="AG391" s="55" t="s">
        <v>125</v>
      </c>
      <c r="AI391" s="20" t="s">
        <v>206</v>
      </c>
      <c r="AJ391" s="2">
        <f t="shared" ref="AJ391:AJ426" si="173">AF391-Y391</f>
        <v>-66000</v>
      </c>
      <c r="AN391" s="29" t="e">
        <f t="shared" ref="AN391:AN426" si="174">AJ391/AF391</f>
        <v>#DIV/0!</v>
      </c>
      <c r="AO391" s="29" t="e">
        <f>AN391-AB391</f>
        <v>#DIV/0!</v>
      </c>
      <c r="AP391" s="3" t="s">
        <v>29</v>
      </c>
      <c r="AQ391" s="1" t="s">
        <v>139</v>
      </c>
      <c r="AR391" s="31">
        <f t="shared" ref="AR391:AR426" si="175">IF(BN391&lt;&gt;"", AF391-BN391, 0)</f>
        <v>0</v>
      </c>
      <c r="AS391" s="31">
        <f t="shared" ref="AS391:AS426" si="176">IF(CV391&lt;&gt;"", AF391-CV391, 0)</f>
        <v>0</v>
      </c>
      <c r="AT391" s="31">
        <f t="shared" si="167"/>
        <v>0</v>
      </c>
      <c r="AU391" s="31">
        <f t="shared" ref="AU391:AU426" si="177">IF(DD391&lt;&gt;"", AF391-DD391, 0)</f>
        <v>0</v>
      </c>
      <c r="AV391" s="31">
        <f t="shared" ref="AV391:AV426" si="178">IF(CL391&lt;&gt;"", AF391-CL391, 0)</f>
        <v>0</v>
      </c>
      <c r="AW391" s="31">
        <f t="shared" ref="AW391:AW426" si="179">IF(DL391&lt;&gt;"", AF391-DL391, 0)</f>
        <v>0</v>
      </c>
      <c r="AX391" s="31">
        <f t="shared" ref="AX391:AX426" si="180">IF(DV391&lt;&gt;"",AF391-DV391, 0)</f>
        <v>0</v>
      </c>
      <c r="AY391" s="31">
        <f t="shared" ref="AY391:AY426" si="181">IF(EH391&lt;&gt;"",AF391-EH391, 0)</f>
        <v>0</v>
      </c>
      <c r="AZ391" s="31">
        <f t="shared" ref="AZ391:AZ426" si="182">IF(ER391&lt;&gt;"", AF391-ER391, 0)</f>
        <v>0</v>
      </c>
      <c r="BA391" s="31">
        <f t="shared" ref="BA391:BA426" si="183">IF(EZ391&lt;&gt;"", AF391-EZ391, 0)</f>
        <v>0</v>
      </c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41"/>
      <c r="BM391" s="41"/>
      <c r="BN391" s="41"/>
      <c r="BO391" s="37"/>
      <c r="BP391" s="38"/>
      <c r="BQ391" s="37"/>
      <c r="BR391" s="40"/>
      <c r="BS391" s="39"/>
      <c r="BT391" s="39"/>
      <c r="BU391" s="39"/>
      <c r="BV391" s="39"/>
      <c r="BW391" s="39"/>
      <c r="BX391" s="36"/>
      <c r="BY391" s="33"/>
      <c r="BZ391" s="33"/>
      <c r="CA391" s="33"/>
      <c r="CB391" s="34"/>
      <c r="CC391" s="33"/>
      <c r="CD391" s="35"/>
      <c r="CE391" s="48"/>
      <c r="CF391" s="48"/>
      <c r="CG391" s="48"/>
      <c r="CH391" s="48"/>
      <c r="CI391" s="48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35"/>
      <c r="CW391" s="35"/>
      <c r="CX391" s="35"/>
      <c r="CY391" s="35"/>
      <c r="CZ391" s="35"/>
      <c r="DA391" s="35"/>
      <c r="DB391" s="35"/>
      <c r="DC391" s="35"/>
      <c r="DD391" s="40"/>
      <c r="DE391" s="40"/>
      <c r="DF391" s="40"/>
      <c r="DG391" s="40"/>
      <c r="DH391" s="40"/>
      <c r="DI391" s="40"/>
      <c r="DJ391" s="40"/>
      <c r="DK391" s="40"/>
      <c r="DL391" s="35"/>
      <c r="DM391" s="35"/>
      <c r="DN391" s="35"/>
      <c r="DO391" s="35"/>
      <c r="DP391" s="35"/>
      <c r="DQ391" s="35"/>
      <c r="DR391" s="35"/>
      <c r="DS391" s="35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40"/>
      <c r="ES391" s="40"/>
      <c r="ET391" s="40"/>
      <c r="EU391" s="40"/>
      <c r="EV391" s="40"/>
      <c r="EW391" s="40"/>
      <c r="EX391" s="40"/>
      <c r="EY391" s="40"/>
      <c r="EZ391" s="35"/>
      <c r="FA391" s="35"/>
      <c r="FB391" s="35"/>
      <c r="FC391" s="35"/>
      <c r="FD391" s="35"/>
      <c r="FE391" s="35"/>
      <c r="FF391" s="35"/>
      <c r="FG391" s="35"/>
    </row>
    <row r="392" spans="1:163">
      <c r="A392" s="60">
        <v>126</v>
      </c>
      <c r="E392" s="63" t="s">
        <v>58</v>
      </c>
      <c r="F392" s="56" t="s">
        <v>60</v>
      </c>
      <c r="G392" s="70" t="s">
        <v>505</v>
      </c>
      <c r="H392" s="66" t="str">
        <f t="shared" si="169"/>
        <v xml:space="preserve"> 333</v>
      </c>
      <c r="I392" s="67" t="s">
        <v>505</v>
      </c>
      <c r="J392" s="68">
        <f t="shared" si="170"/>
        <v>0</v>
      </c>
      <c r="K392" s="63" t="s">
        <v>282</v>
      </c>
      <c r="L392" s="1" t="s">
        <v>46</v>
      </c>
      <c r="O392" s="64" t="s">
        <v>789</v>
      </c>
      <c r="P392" s="82">
        <v>0</v>
      </c>
      <c r="Q392" s="74">
        <f t="shared" ref="Q392:Q426" si="184">U392+V392</f>
        <v>66000</v>
      </c>
      <c r="R392" s="77">
        <v>66000</v>
      </c>
      <c r="S392" s="72">
        <f t="shared" si="163"/>
        <v>7900</v>
      </c>
      <c r="T392" s="68" t="s">
        <v>791</v>
      </c>
      <c r="U392" s="73">
        <f t="shared" si="164"/>
        <v>58100</v>
      </c>
      <c r="V392" s="73">
        <f>2000+4850+600+200+250</f>
        <v>7900</v>
      </c>
      <c r="W392" s="2">
        <f t="shared" si="171"/>
        <v>66000</v>
      </c>
      <c r="Y392" s="80">
        <f t="shared" si="172"/>
        <v>66000</v>
      </c>
      <c r="Z392" s="93"/>
      <c r="AA392" s="93"/>
      <c r="AB392" s="94"/>
      <c r="AE392" s="2">
        <v>132000</v>
      </c>
      <c r="AF392" s="28">
        <f t="shared" si="168"/>
        <v>132000</v>
      </c>
      <c r="AG392" s="55" t="s">
        <v>125</v>
      </c>
      <c r="AI392" s="20" t="s">
        <v>204</v>
      </c>
      <c r="AJ392" s="2">
        <f t="shared" si="173"/>
        <v>66000</v>
      </c>
      <c r="AN392" s="29">
        <f t="shared" si="174"/>
        <v>0.5</v>
      </c>
      <c r="AP392" s="3" t="s">
        <v>140</v>
      </c>
      <c r="AQ392" s="57" t="s">
        <v>141</v>
      </c>
      <c r="AR392" s="31">
        <f t="shared" si="175"/>
        <v>0</v>
      </c>
      <c r="AS392" s="31">
        <f t="shared" si="176"/>
        <v>-840</v>
      </c>
      <c r="AT392" s="31">
        <f t="shared" si="167"/>
        <v>0</v>
      </c>
      <c r="AU392" s="31">
        <f t="shared" si="177"/>
        <v>0</v>
      </c>
      <c r="AV392" s="31">
        <f t="shared" si="178"/>
        <v>0</v>
      </c>
      <c r="AW392" s="31">
        <f t="shared" si="179"/>
        <v>0</v>
      </c>
      <c r="AX392" s="31">
        <f t="shared" si="180"/>
        <v>0</v>
      </c>
      <c r="AY392" s="31">
        <f t="shared" si="181"/>
        <v>0</v>
      </c>
      <c r="AZ392" s="31">
        <f t="shared" si="182"/>
        <v>0</v>
      </c>
      <c r="BA392" s="31">
        <f t="shared" si="183"/>
        <v>0</v>
      </c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41"/>
      <c r="BM392" s="41"/>
      <c r="BN392" s="41"/>
      <c r="BO392" s="37"/>
      <c r="BP392" s="38"/>
      <c r="BQ392" s="37"/>
      <c r="BR392" s="40"/>
      <c r="BS392" s="39"/>
      <c r="BT392" s="39"/>
      <c r="BU392" s="39"/>
      <c r="BV392" s="39"/>
      <c r="BW392" s="39"/>
      <c r="BX392" s="36"/>
      <c r="BY392" s="33"/>
      <c r="BZ392" s="33"/>
      <c r="CA392" s="33"/>
      <c r="CB392" s="34"/>
      <c r="CC392" s="33"/>
      <c r="CD392" s="35"/>
      <c r="CE392" s="48"/>
      <c r="CF392" s="48"/>
      <c r="CG392" s="48"/>
      <c r="CH392" s="48"/>
      <c r="CI392" s="48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36">
        <v>132840</v>
      </c>
      <c r="CW392" s="36">
        <f>CV392-Y392</f>
        <v>66840</v>
      </c>
      <c r="CX392" s="46">
        <f>CW392/CV392</f>
        <v>0.50316169828364954</v>
      </c>
      <c r="CY392" s="36">
        <f>AF392-CV392</f>
        <v>-840</v>
      </c>
      <c r="CZ392" s="35" t="s">
        <v>127</v>
      </c>
      <c r="DA392" s="35"/>
      <c r="DB392" s="35"/>
      <c r="DC392" s="35"/>
      <c r="DD392" s="40"/>
      <c r="DE392" s="40"/>
      <c r="DF392" s="40"/>
      <c r="DG392" s="40"/>
      <c r="DH392" s="40"/>
      <c r="DI392" s="40"/>
      <c r="DJ392" s="40"/>
      <c r="DK392" s="40"/>
      <c r="DL392" s="35"/>
      <c r="DM392" s="35"/>
      <c r="DN392" s="35"/>
      <c r="DO392" s="35"/>
      <c r="DP392" s="35"/>
      <c r="DQ392" s="35"/>
      <c r="DR392" s="35"/>
      <c r="DS392" s="35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40"/>
      <c r="ES392" s="40"/>
      <c r="ET392" s="40"/>
      <c r="EU392" s="40"/>
      <c r="EV392" s="40"/>
      <c r="EW392" s="40"/>
      <c r="EX392" s="40"/>
      <c r="EY392" s="40"/>
      <c r="EZ392" s="35"/>
      <c r="FA392" s="35"/>
      <c r="FB392" s="35"/>
      <c r="FC392" s="35"/>
      <c r="FD392" s="35"/>
      <c r="FE392" s="35"/>
      <c r="FF392" s="35"/>
      <c r="FG392" s="35"/>
    </row>
    <row r="393" spans="1:163">
      <c r="A393" s="60">
        <v>132</v>
      </c>
      <c r="E393" s="63" t="s">
        <v>58</v>
      </c>
      <c r="F393" s="56" t="s">
        <v>113</v>
      </c>
      <c r="G393" s="70" t="s">
        <v>511</v>
      </c>
      <c r="H393" s="66" t="str">
        <f t="shared" si="169"/>
        <v xml:space="preserve"> 424</v>
      </c>
      <c r="I393" s="67" t="s">
        <v>511</v>
      </c>
      <c r="J393" s="68">
        <f t="shared" si="170"/>
        <v>0</v>
      </c>
      <c r="K393" s="63" t="s">
        <v>282</v>
      </c>
      <c r="L393" s="1" t="s">
        <v>46</v>
      </c>
      <c r="O393" s="88" t="s">
        <v>790</v>
      </c>
      <c r="P393" s="89">
        <v>0</v>
      </c>
      <c r="Q393" s="90">
        <f t="shared" si="184"/>
        <v>63000</v>
      </c>
      <c r="R393" s="71">
        <v>63000</v>
      </c>
      <c r="S393" s="72">
        <f t="shared" si="163"/>
        <v>8150</v>
      </c>
      <c r="T393" s="68" t="s">
        <v>791</v>
      </c>
      <c r="U393" s="73">
        <f t="shared" si="164"/>
        <v>54850</v>
      </c>
      <c r="V393" s="73">
        <f>2000+5100+600+200+250</f>
        <v>8150</v>
      </c>
      <c r="W393" s="2">
        <f t="shared" si="171"/>
        <v>63000</v>
      </c>
      <c r="Y393" s="81">
        <f t="shared" si="172"/>
        <v>63000</v>
      </c>
      <c r="Z393" s="96">
        <v>0</v>
      </c>
      <c r="AA393" s="97">
        <f>U393-Z393</f>
        <v>54850</v>
      </c>
      <c r="AB393" s="98" t="e">
        <f>AA393/Z393</f>
        <v>#DIV/0!</v>
      </c>
      <c r="AE393" s="2">
        <v>107000</v>
      </c>
      <c r="AF393" s="28">
        <f t="shared" si="168"/>
        <v>0</v>
      </c>
      <c r="AG393" s="55" t="s">
        <v>125</v>
      </c>
      <c r="AI393" s="20" t="s">
        <v>45</v>
      </c>
      <c r="AJ393" s="2">
        <f t="shared" si="173"/>
        <v>-63000</v>
      </c>
      <c r="AK393" s="2">
        <f>AVERAGE(AF393,AF315,AF314,AF313,AF311,AF309,AF310,AF308,AF307,AF306,AF305,AF304,AF303,AF302,AF301,AF300,AF299,AF298,AF297,AF296,AF295,AF294,AF293,AF292,AF291,AF290,AF289,AF288,AF287,AF282)</f>
        <v>50966.666666666664</v>
      </c>
      <c r="AL393" s="2">
        <f>MIN(AF393,AF315,AF314,AF313,AF311,AF309,AF310,AF308,AF307,AF306,AF305,AF304,AF303,AF302,AF301,AF300,AF299,AF298,AF297,AF296,AF295,AF294,AF293,AF292,AF291,AF290,AF289,AF288,AF287,AF282)</f>
        <v>0</v>
      </c>
      <c r="AM393" s="2">
        <f>MAX(AF393,AF315,AF314,AF313,AF311,AF309,AF310,AF308,AF307,AF306,AF305,AF304,AF303,AF302,AF301,AF300,AF299,AF298,AF297,AF296,AF295,AF294,AF293,AF292,AF291,AF290,AF289,AF288,AF287,AF282)</f>
        <v>170000</v>
      </c>
      <c r="AN393" s="29" t="e">
        <f t="shared" si="174"/>
        <v>#DIV/0!</v>
      </c>
      <c r="AP393" s="3" t="s">
        <v>29</v>
      </c>
      <c r="AQ393" s="1" t="s">
        <v>148</v>
      </c>
      <c r="AR393" s="31">
        <f t="shared" si="175"/>
        <v>0</v>
      </c>
      <c r="AS393" s="31">
        <f t="shared" si="176"/>
        <v>0</v>
      </c>
      <c r="AT393" s="31">
        <f t="shared" si="167"/>
        <v>0</v>
      </c>
      <c r="AU393" s="31">
        <f t="shared" si="177"/>
        <v>0</v>
      </c>
      <c r="AV393" s="31">
        <f t="shared" si="178"/>
        <v>0</v>
      </c>
      <c r="AW393" s="31">
        <f t="shared" si="179"/>
        <v>0</v>
      </c>
      <c r="AX393" s="31">
        <f t="shared" si="180"/>
        <v>0</v>
      </c>
      <c r="AY393" s="31">
        <f t="shared" si="181"/>
        <v>0</v>
      </c>
      <c r="AZ393" s="31">
        <f t="shared" si="182"/>
        <v>0</v>
      </c>
      <c r="BA393" s="31">
        <f t="shared" si="183"/>
        <v>0</v>
      </c>
      <c r="BB393" s="32">
        <f>IF(BS393&lt;&gt;"", AK393-BS393, 0)</f>
        <v>-51583.333333333336</v>
      </c>
      <c r="BC393" s="32">
        <f>IF(DA393&lt;&gt;"", AK393-DA393, 0)</f>
        <v>-47501.333333333336</v>
      </c>
      <c r="BD393" s="32">
        <f>IF(CE393&lt;&gt;"", AK393-CE393, )</f>
        <v>-49273.333333333336</v>
      </c>
      <c r="BE393" s="32">
        <f>IF(DI393&lt;&gt;"", AK393-DI393, 0)</f>
        <v>-45309.333333333336</v>
      </c>
      <c r="BF393" s="32">
        <f>IF(CQ393&lt;&gt;"",AK393-CQ393, 0)</f>
        <v>0</v>
      </c>
      <c r="BG393" s="32">
        <f>IF(DQ393&lt;&gt;"", AK393-DQ393, 0)</f>
        <v>-39741.333333333336</v>
      </c>
      <c r="BH393" s="32">
        <f>IF(EA393&lt;&gt;"", AK393-EA393, 0)</f>
        <v>-46739.333333333336</v>
      </c>
      <c r="BI393" s="32">
        <f>IF(EM393&lt;&gt;"", AK393-EM393, 0)</f>
        <v>-52124.333333333336</v>
      </c>
      <c r="BJ393" s="32">
        <f>IF(EW393&lt;&gt;"", AK393-EW393, 0)</f>
        <v>-78758.333333333343</v>
      </c>
      <c r="BK393" s="32">
        <f>IF(FE393&lt;&gt;"", AK393-FE393, 0)</f>
        <v>0</v>
      </c>
      <c r="BL393" s="41"/>
      <c r="BM393" s="41"/>
      <c r="BN393" s="41"/>
      <c r="BO393" s="37"/>
      <c r="BP393" s="38"/>
      <c r="BQ393" s="37"/>
      <c r="BR393" s="40"/>
      <c r="BS393" s="41">
        <f>BU393+BT393</f>
        <v>102550</v>
      </c>
      <c r="BT393" s="41">
        <v>2500</v>
      </c>
      <c r="BU393" s="41">
        <v>100050</v>
      </c>
      <c r="BV393" s="41">
        <v>109800</v>
      </c>
      <c r="BW393" s="41">
        <v>89100</v>
      </c>
      <c r="BX393" s="36"/>
      <c r="BY393" s="33"/>
      <c r="BZ393" s="33"/>
      <c r="CA393" s="33"/>
      <c r="CB393" s="34"/>
      <c r="CC393" s="33"/>
      <c r="CD393" s="35"/>
      <c r="CE393" s="36">
        <f>CG393+CF393</f>
        <v>100240</v>
      </c>
      <c r="CF393" s="36">
        <v>2500</v>
      </c>
      <c r="CG393" s="36">
        <v>97740</v>
      </c>
      <c r="CH393" s="36">
        <v>108900</v>
      </c>
      <c r="CI393" s="36">
        <v>82800</v>
      </c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35"/>
      <c r="CW393" s="35"/>
      <c r="CX393" s="35"/>
      <c r="CY393" s="35"/>
      <c r="CZ393" s="35"/>
      <c r="DA393" s="36">
        <v>98468</v>
      </c>
      <c r="DB393" s="36">
        <v>112320</v>
      </c>
      <c r="DC393" s="36">
        <v>87480</v>
      </c>
      <c r="DD393" s="40"/>
      <c r="DE393" s="40"/>
      <c r="DF393" s="40"/>
      <c r="DG393" s="40"/>
      <c r="DH393" s="40"/>
      <c r="DI393" s="41">
        <v>96276</v>
      </c>
      <c r="DJ393" s="41">
        <v>133326</v>
      </c>
      <c r="DK393" s="41">
        <v>80460</v>
      </c>
      <c r="DL393" s="35"/>
      <c r="DM393" s="35"/>
      <c r="DN393" s="35"/>
      <c r="DO393" s="35"/>
      <c r="DP393" s="35"/>
      <c r="DQ393" s="36">
        <v>90708</v>
      </c>
      <c r="DR393" s="36">
        <v>142800</v>
      </c>
      <c r="DS393" s="36">
        <v>75337</v>
      </c>
      <c r="DT393" s="40"/>
      <c r="DU393" s="40"/>
      <c r="DV393" s="40"/>
      <c r="DW393" s="40"/>
      <c r="DX393" s="40"/>
      <c r="DY393" s="40"/>
      <c r="DZ393" s="40"/>
      <c r="EA393" s="41">
        <f>EC393+EB393</f>
        <v>97706</v>
      </c>
      <c r="EB393" s="41">
        <v>3000</v>
      </c>
      <c r="EC393" s="41">
        <v>94706</v>
      </c>
      <c r="ED393" s="41">
        <v>115237</v>
      </c>
      <c r="EE393" s="41">
        <v>72712</v>
      </c>
      <c r="EF393" s="35"/>
      <c r="EG393" s="35"/>
      <c r="EH393" s="35"/>
      <c r="EI393" s="35"/>
      <c r="EJ393" s="35"/>
      <c r="EK393" s="35"/>
      <c r="EL393" s="35"/>
      <c r="EM393" s="36">
        <f>EO393+EN393</f>
        <v>103091</v>
      </c>
      <c r="EN393" s="36">
        <v>3000</v>
      </c>
      <c r="EO393" s="36">
        <v>100091</v>
      </c>
      <c r="EP393" s="36">
        <v>111720</v>
      </c>
      <c r="EQ393" s="36">
        <v>78225</v>
      </c>
      <c r="ER393" s="40"/>
      <c r="ES393" s="40"/>
      <c r="ET393" s="40"/>
      <c r="EU393" s="40"/>
      <c r="EV393" s="40"/>
      <c r="EW393" s="41">
        <v>129725</v>
      </c>
      <c r="EX393" s="41">
        <v>171000</v>
      </c>
      <c r="EY393" s="41">
        <v>99000</v>
      </c>
      <c r="EZ393" s="35"/>
      <c r="FA393" s="35"/>
      <c r="FB393" s="35"/>
      <c r="FC393" s="35"/>
      <c r="FD393" s="35"/>
      <c r="FE393" s="35"/>
      <c r="FF393" s="35"/>
      <c r="FG393" s="35"/>
    </row>
    <row r="394" spans="1:163">
      <c r="A394" s="60">
        <v>123</v>
      </c>
      <c r="E394" s="63" t="s">
        <v>212</v>
      </c>
      <c r="F394" s="56" t="s">
        <v>59</v>
      </c>
      <c r="G394" s="70" t="s">
        <v>502</v>
      </c>
      <c r="H394" s="66" t="str">
        <f t="shared" si="169"/>
        <v xml:space="preserve"> 721</v>
      </c>
      <c r="I394" s="67" t="s">
        <v>502</v>
      </c>
      <c r="J394" s="68">
        <f t="shared" si="170"/>
        <v>0</v>
      </c>
      <c r="K394" s="63" t="s">
        <v>282</v>
      </c>
      <c r="L394" s="1" t="s">
        <v>46</v>
      </c>
      <c r="O394" s="88" t="s">
        <v>790</v>
      </c>
      <c r="P394" s="89">
        <v>0</v>
      </c>
      <c r="Q394" s="90">
        <f t="shared" si="184"/>
        <v>63000</v>
      </c>
      <c r="R394" s="71">
        <v>63000</v>
      </c>
      <c r="S394" s="72">
        <f t="shared" si="163"/>
        <v>8150</v>
      </c>
      <c r="T394" s="68" t="s">
        <v>791</v>
      </c>
      <c r="U394" s="73">
        <f t="shared" si="164"/>
        <v>54850</v>
      </c>
      <c r="V394" s="73">
        <f>2000+5100+600+200+250</f>
        <v>8150</v>
      </c>
      <c r="W394" s="2">
        <f t="shared" si="171"/>
        <v>63000</v>
      </c>
      <c r="Y394" s="81">
        <f t="shared" si="172"/>
        <v>63000</v>
      </c>
      <c r="Z394" s="96">
        <v>0</v>
      </c>
      <c r="AA394" s="97">
        <f>U394-Z394</f>
        <v>54850</v>
      </c>
      <c r="AB394" s="98" t="e">
        <f>AA394/Z394</f>
        <v>#DIV/0!</v>
      </c>
      <c r="AE394" s="2">
        <v>105000</v>
      </c>
      <c r="AF394" s="28">
        <f t="shared" si="168"/>
        <v>0</v>
      </c>
      <c r="AG394" s="55" t="s">
        <v>125</v>
      </c>
      <c r="AI394" s="20" t="s">
        <v>206</v>
      </c>
      <c r="AJ394" s="2">
        <f t="shared" si="173"/>
        <v>-63000</v>
      </c>
      <c r="AN394" s="29" t="e">
        <f t="shared" si="174"/>
        <v>#DIV/0!</v>
      </c>
      <c r="AP394" s="3" t="s">
        <v>29</v>
      </c>
      <c r="AQ394" s="1" t="s">
        <v>139</v>
      </c>
      <c r="AR394" s="31">
        <f t="shared" si="175"/>
        <v>0</v>
      </c>
      <c r="AS394" s="31">
        <f t="shared" si="176"/>
        <v>0</v>
      </c>
      <c r="AT394" s="31">
        <f t="shared" si="167"/>
        <v>0</v>
      </c>
      <c r="AU394" s="31">
        <f t="shared" si="177"/>
        <v>0</v>
      </c>
      <c r="AV394" s="31">
        <f t="shared" si="178"/>
        <v>0</v>
      </c>
      <c r="AW394" s="31">
        <f t="shared" si="179"/>
        <v>0</v>
      </c>
      <c r="AX394" s="31">
        <f t="shared" si="180"/>
        <v>0</v>
      </c>
      <c r="AY394" s="31">
        <f t="shared" si="181"/>
        <v>0</v>
      </c>
      <c r="AZ394" s="31">
        <f t="shared" si="182"/>
        <v>0</v>
      </c>
      <c r="BA394" s="31">
        <f t="shared" si="183"/>
        <v>0</v>
      </c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41"/>
      <c r="BM394" s="41"/>
      <c r="BN394" s="41"/>
      <c r="BO394" s="37"/>
      <c r="BP394" s="38"/>
      <c r="BQ394" s="37"/>
      <c r="BR394" s="40"/>
      <c r="BS394" s="39"/>
      <c r="BT394" s="39"/>
      <c r="BU394" s="39"/>
      <c r="BV394" s="39"/>
      <c r="BW394" s="39"/>
      <c r="BX394" s="36"/>
      <c r="BY394" s="33"/>
      <c r="BZ394" s="33"/>
      <c r="CA394" s="33"/>
      <c r="CB394" s="34"/>
      <c r="CC394" s="33"/>
      <c r="CD394" s="35"/>
      <c r="CE394" s="48"/>
      <c r="CF394" s="48"/>
      <c r="CG394" s="48"/>
      <c r="CH394" s="48"/>
      <c r="CI394" s="48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35"/>
      <c r="CW394" s="35"/>
      <c r="CX394" s="35"/>
      <c r="CY394" s="35"/>
      <c r="CZ394" s="35"/>
      <c r="DA394" s="35"/>
      <c r="DB394" s="35"/>
      <c r="DC394" s="35"/>
      <c r="DD394" s="40"/>
      <c r="DE394" s="40"/>
      <c r="DF394" s="40"/>
      <c r="DG394" s="40"/>
      <c r="DH394" s="40"/>
      <c r="DI394" s="40"/>
      <c r="DJ394" s="40"/>
      <c r="DK394" s="40"/>
      <c r="DL394" s="35"/>
      <c r="DM394" s="35"/>
      <c r="DN394" s="35"/>
      <c r="DO394" s="35"/>
      <c r="DP394" s="35"/>
      <c r="DQ394" s="35"/>
      <c r="DR394" s="35"/>
      <c r="DS394" s="35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40"/>
      <c r="ES394" s="40"/>
      <c r="ET394" s="40"/>
      <c r="EU394" s="40"/>
      <c r="EV394" s="40"/>
      <c r="EW394" s="40"/>
      <c r="EX394" s="40"/>
      <c r="EY394" s="40"/>
      <c r="EZ394" s="35"/>
      <c r="FA394" s="35"/>
      <c r="FB394" s="35"/>
      <c r="FC394" s="35"/>
      <c r="FD394" s="35"/>
      <c r="FE394" s="35"/>
      <c r="FF394" s="35"/>
      <c r="FG394" s="35"/>
    </row>
    <row r="395" spans="1:163">
      <c r="A395" s="60">
        <v>18</v>
      </c>
      <c r="E395" s="63" t="s">
        <v>211</v>
      </c>
      <c r="F395" s="56" t="s">
        <v>114</v>
      </c>
      <c r="G395" s="70" t="s">
        <v>400</v>
      </c>
      <c r="H395" s="66" t="str">
        <f t="shared" si="169"/>
        <v xml:space="preserve"> 756</v>
      </c>
      <c r="I395" s="67" t="s">
        <v>400</v>
      </c>
      <c r="J395" s="68">
        <f t="shared" si="170"/>
        <v>0</v>
      </c>
      <c r="K395" s="63" t="s">
        <v>250</v>
      </c>
      <c r="L395" s="1" t="s">
        <v>46</v>
      </c>
      <c r="O395" s="88" t="s">
        <v>790</v>
      </c>
      <c r="P395" s="89">
        <v>73000</v>
      </c>
      <c r="Q395" s="90">
        <f t="shared" si="184"/>
        <v>0</v>
      </c>
      <c r="R395" s="71"/>
      <c r="S395" s="72">
        <f t="shared" si="163"/>
        <v>0</v>
      </c>
      <c r="T395" s="68"/>
      <c r="U395" s="73">
        <f t="shared" si="164"/>
        <v>0</v>
      </c>
      <c r="V395" s="73"/>
      <c r="W395" s="2">
        <f t="shared" si="171"/>
        <v>-73000</v>
      </c>
      <c r="Y395" s="81">
        <f t="shared" si="172"/>
        <v>0</v>
      </c>
      <c r="Z395" s="96">
        <v>0</v>
      </c>
      <c r="AA395" s="97">
        <f>U395-Z395</f>
        <v>0</v>
      </c>
      <c r="AB395" s="98" t="e">
        <f>AA395/Z395</f>
        <v>#DIV/0!</v>
      </c>
      <c r="AC395" s="2">
        <v>3000</v>
      </c>
      <c r="AD395" s="2">
        <f>Z395+AC395</f>
        <v>3000</v>
      </c>
      <c r="AF395" s="28">
        <f t="shared" si="168"/>
        <v>3000</v>
      </c>
      <c r="AG395" s="55" t="s">
        <v>125</v>
      </c>
      <c r="AI395" s="20" t="s">
        <v>206</v>
      </c>
      <c r="AJ395" s="2">
        <f t="shared" si="173"/>
        <v>3000</v>
      </c>
      <c r="AN395" s="29">
        <f t="shared" si="174"/>
        <v>1</v>
      </c>
      <c r="AO395" s="29" t="e">
        <f>AN395-AB395</f>
        <v>#DIV/0!</v>
      </c>
      <c r="AP395" s="3" t="s">
        <v>29</v>
      </c>
      <c r="AQ395" s="1" t="s">
        <v>154</v>
      </c>
      <c r="AR395" s="31">
        <f t="shared" si="175"/>
        <v>0</v>
      </c>
      <c r="AS395" s="31">
        <f t="shared" si="176"/>
        <v>0</v>
      </c>
      <c r="AT395" s="31">
        <f t="shared" si="167"/>
        <v>0</v>
      </c>
      <c r="AU395" s="31">
        <f t="shared" si="177"/>
        <v>0</v>
      </c>
      <c r="AV395" s="31">
        <f t="shared" si="178"/>
        <v>0</v>
      </c>
      <c r="AW395" s="31">
        <f t="shared" si="179"/>
        <v>0</v>
      </c>
      <c r="AX395" s="31">
        <f t="shared" si="180"/>
        <v>0</v>
      </c>
      <c r="AY395" s="31">
        <f t="shared" si="181"/>
        <v>0</v>
      </c>
      <c r="AZ395" s="31">
        <f t="shared" si="182"/>
        <v>0</v>
      </c>
      <c r="BA395" s="31">
        <f t="shared" si="183"/>
        <v>0</v>
      </c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41"/>
      <c r="BM395" s="41"/>
      <c r="BN395" s="41"/>
      <c r="BO395" s="37"/>
      <c r="BP395" s="38"/>
      <c r="BQ395" s="37"/>
      <c r="BR395" s="40"/>
      <c r="BS395" s="39"/>
      <c r="BT395" s="39"/>
      <c r="BU395" s="39"/>
      <c r="BV395" s="39"/>
      <c r="BW395" s="39"/>
      <c r="BX395" s="36"/>
      <c r="BY395" s="33"/>
      <c r="BZ395" s="33"/>
      <c r="CA395" s="33"/>
      <c r="CB395" s="34"/>
      <c r="CC395" s="33"/>
      <c r="CD395" s="35"/>
      <c r="CE395" s="48"/>
      <c r="CF395" s="48"/>
      <c r="CG395" s="48"/>
      <c r="CH395" s="48"/>
      <c r="CI395" s="48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35"/>
      <c r="CW395" s="35"/>
      <c r="CX395" s="35"/>
      <c r="CY395" s="35"/>
      <c r="CZ395" s="35"/>
      <c r="DA395" s="35"/>
      <c r="DB395" s="35"/>
      <c r="DC395" s="35"/>
      <c r="DD395" s="40"/>
      <c r="DE395" s="40"/>
      <c r="DF395" s="40"/>
      <c r="DG395" s="40"/>
      <c r="DH395" s="40"/>
      <c r="DI395" s="40"/>
      <c r="DJ395" s="40"/>
      <c r="DK395" s="40"/>
      <c r="DL395" s="35"/>
      <c r="DM395" s="35"/>
      <c r="DN395" s="35"/>
      <c r="DO395" s="35"/>
      <c r="DP395" s="35"/>
      <c r="DQ395" s="35"/>
      <c r="DR395" s="35"/>
      <c r="DS395" s="35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40"/>
      <c r="ES395" s="40"/>
      <c r="ET395" s="40"/>
      <c r="EU395" s="40"/>
      <c r="EV395" s="40"/>
      <c r="EW395" s="40"/>
      <c r="EX395" s="40"/>
      <c r="EY395" s="40"/>
      <c r="EZ395" s="35"/>
      <c r="FA395" s="35"/>
      <c r="FB395" s="35"/>
      <c r="FC395" s="35"/>
      <c r="FD395" s="35"/>
      <c r="FE395" s="35"/>
      <c r="FF395" s="35"/>
      <c r="FG395" s="35"/>
    </row>
    <row r="396" spans="1:163">
      <c r="A396" s="60">
        <v>67</v>
      </c>
      <c r="E396" s="63" t="s">
        <v>113</v>
      </c>
      <c r="F396" s="56" t="s">
        <v>115</v>
      </c>
      <c r="G396" s="70" t="s">
        <v>448</v>
      </c>
      <c r="H396" s="66" t="str">
        <f t="shared" si="169"/>
        <v xml:space="preserve"> 773</v>
      </c>
      <c r="I396" s="67" t="s">
        <v>448</v>
      </c>
      <c r="J396" s="68">
        <f t="shared" si="170"/>
        <v>0</v>
      </c>
      <c r="K396" s="63" t="s">
        <v>257</v>
      </c>
      <c r="L396" s="1" t="s">
        <v>46</v>
      </c>
      <c r="O396" s="64" t="s">
        <v>789</v>
      </c>
      <c r="P396" s="82">
        <v>0</v>
      </c>
      <c r="Q396" s="74">
        <f t="shared" si="184"/>
        <v>67500</v>
      </c>
      <c r="R396" s="71">
        <v>67500</v>
      </c>
      <c r="S396" s="72">
        <f t="shared" si="163"/>
        <v>8150</v>
      </c>
      <c r="T396" s="68" t="s">
        <v>791</v>
      </c>
      <c r="U396" s="73">
        <f t="shared" si="164"/>
        <v>59350</v>
      </c>
      <c r="V396" s="75">
        <f>2000+5100+600+200+250</f>
        <v>8150</v>
      </c>
      <c r="W396" s="2">
        <f t="shared" si="171"/>
        <v>67500</v>
      </c>
      <c r="Y396" s="80">
        <f t="shared" si="172"/>
        <v>67500</v>
      </c>
      <c r="Z396" s="93"/>
      <c r="AA396" s="93"/>
      <c r="AB396" s="94"/>
      <c r="AE396" s="2">
        <v>100000</v>
      </c>
      <c r="AF396" s="28">
        <f t="shared" si="168"/>
        <v>100000</v>
      </c>
      <c r="AG396" s="55" t="s">
        <v>125</v>
      </c>
      <c r="AI396" s="20" t="s">
        <v>45</v>
      </c>
      <c r="AJ396" s="2">
        <f t="shared" si="173"/>
        <v>32500</v>
      </c>
      <c r="AN396" s="29">
        <f t="shared" si="174"/>
        <v>0.32500000000000001</v>
      </c>
      <c r="AP396" s="3" t="s">
        <v>29</v>
      </c>
      <c r="AQ396" s="1" t="s">
        <v>153</v>
      </c>
      <c r="AR396" s="31">
        <f t="shared" si="175"/>
        <v>0</v>
      </c>
      <c r="AS396" s="31">
        <f t="shared" si="176"/>
        <v>0</v>
      </c>
      <c r="AT396" s="31">
        <f t="shared" si="167"/>
        <v>0</v>
      </c>
      <c r="AU396" s="31">
        <f t="shared" si="177"/>
        <v>0</v>
      </c>
      <c r="AV396" s="31">
        <f t="shared" si="178"/>
        <v>0</v>
      </c>
      <c r="AW396" s="31">
        <f t="shared" si="179"/>
        <v>0</v>
      </c>
      <c r="AX396" s="31">
        <f t="shared" si="180"/>
        <v>0</v>
      </c>
      <c r="AY396" s="31">
        <f t="shared" si="181"/>
        <v>0</v>
      </c>
      <c r="AZ396" s="31">
        <f t="shared" si="182"/>
        <v>0</v>
      </c>
      <c r="BA396" s="31">
        <f t="shared" si="183"/>
        <v>0</v>
      </c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41"/>
      <c r="BM396" s="41"/>
      <c r="BN396" s="41"/>
      <c r="BO396" s="37"/>
      <c r="BP396" s="38"/>
      <c r="BQ396" s="37"/>
      <c r="BR396" s="40"/>
      <c r="BS396" s="39"/>
      <c r="BT396" s="39"/>
      <c r="BU396" s="39"/>
      <c r="BV396" s="39"/>
      <c r="BW396" s="39"/>
      <c r="BX396" s="36"/>
      <c r="BY396" s="33"/>
      <c r="BZ396" s="33"/>
      <c r="CA396" s="33"/>
      <c r="CB396" s="34"/>
      <c r="CC396" s="33"/>
      <c r="CD396" s="35"/>
      <c r="CE396" s="48"/>
      <c r="CF396" s="48"/>
      <c r="CG396" s="48"/>
      <c r="CH396" s="48"/>
      <c r="CI396" s="48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35"/>
      <c r="CW396" s="35"/>
      <c r="CX396" s="35"/>
      <c r="CY396" s="35"/>
      <c r="CZ396" s="35"/>
      <c r="DA396" s="35"/>
      <c r="DB396" s="35"/>
      <c r="DC396" s="35"/>
      <c r="DD396" s="40"/>
      <c r="DE396" s="40"/>
      <c r="DF396" s="40"/>
      <c r="DG396" s="40"/>
      <c r="DH396" s="40"/>
      <c r="DI396" s="40"/>
      <c r="DJ396" s="40"/>
      <c r="DK396" s="40"/>
      <c r="DL396" s="35"/>
      <c r="DM396" s="35"/>
      <c r="DN396" s="35"/>
      <c r="DO396" s="35"/>
      <c r="DP396" s="35"/>
      <c r="DQ396" s="35"/>
      <c r="DR396" s="35"/>
      <c r="DS396" s="35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40"/>
      <c r="ES396" s="40"/>
      <c r="ET396" s="40"/>
      <c r="EU396" s="40"/>
      <c r="EV396" s="40"/>
      <c r="EW396" s="40"/>
      <c r="EX396" s="40"/>
      <c r="EY396" s="40"/>
      <c r="EZ396" s="35"/>
      <c r="FA396" s="35"/>
      <c r="FB396" s="35"/>
      <c r="FC396" s="35"/>
      <c r="FD396" s="35"/>
      <c r="FE396" s="35"/>
      <c r="FF396" s="35"/>
      <c r="FG396" s="35"/>
    </row>
    <row r="397" spans="1:163">
      <c r="A397" s="62">
        <v>26</v>
      </c>
      <c r="E397" s="63" t="s">
        <v>114</v>
      </c>
      <c r="F397" s="56" t="s">
        <v>113</v>
      </c>
      <c r="G397" s="70" t="s">
        <v>408</v>
      </c>
      <c r="H397" s="66" t="str">
        <f t="shared" si="169"/>
        <v xml:space="preserve"> 472</v>
      </c>
      <c r="I397" s="67" t="s">
        <v>408</v>
      </c>
      <c r="J397" s="68">
        <f t="shared" si="170"/>
        <v>0</v>
      </c>
      <c r="K397" s="63" t="s">
        <v>257</v>
      </c>
      <c r="L397" s="1" t="s">
        <v>46</v>
      </c>
      <c r="O397" s="88" t="s">
        <v>790</v>
      </c>
      <c r="P397" s="89">
        <v>0</v>
      </c>
      <c r="Q397" s="90">
        <f t="shared" si="184"/>
        <v>74000</v>
      </c>
      <c r="R397" s="71">
        <v>74000</v>
      </c>
      <c r="S397" s="72">
        <f t="shared" si="163"/>
        <v>8250</v>
      </c>
      <c r="T397" s="68" t="s">
        <v>791</v>
      </c>
      <c r="U397" s="73">
        <f t="shared" si="164"/>
        <v>65750</v>
      </c>
      <c r="V397" s="73">
        <f>2000+5200+600+200+250</f>
        <v>8250</v>
      </c>
      <c r="W397" s="2">
        <f t="shared" si="171"/>
        <v>74000</v>
      </c>
      <c r="Y397" s="81">
        <f t="shared" si="172"/>
        <v>74000</v>
      </c>
      <c r="Z397" s="96">
        <v>0</v>
      </c>
      <c r="AA397" s="97">
        <f>U397-Z397</f>
        <v>65750</v>
      </c>
      <c r="AB397" s="98" t="e">
        <f>AA397/Z397</f>
        <v>#DIV/0!</v>
      </c>
      <c r="AE397" s="2">
        <v>122000</v>
      </c>
      <c r="AF397" s="28">
        <f t="shared" si="168"/>
        <v>0</v>
      </c>
      <c r="AG397" s="55" t="s">
        <v>125</v>
      </c>
      <c r="AI397" s="20" t="s">
        <v>45</v>
      </c>
      <c r="AJ397" s="2">
        <f t="shared" si="173"/>
        <v>-74000</v>
      </c>
      <c r="AN397" s="29" t="e">
        <f t="shared" si="174"/>
        <v>#DIV/0!</v>
      </c>
      <c r="AP397" s="3" t="s">
        <v>29</v>
      </c>
      <c r="AQ397" s="1" t="s">
        <v>148</v>
      </c>
      <c r="AR397" s="31">
        <f t="shared" si="175"/>
        <v>0</v>
      </c>
      <c r="AS397" s="31">
        <f t="shared" si="176"/>
        <v>0</v>
      </c>
      <c r="AT397" s="31">
        <f t="shared" si="167"/>
        <v>0</v>
      </c>
      <c r="AU397" s="31">
        <f t="shared" si="177"/>
        <v>0</v>
      </c>
      <c r="AV397" s="31">
        <f t="shared" si="178"/>
        <v>0</v>
      </c>
      <c r="AW397" s="31">
        <f t="shared" si="179"/>
        <v>0</v>
      </c>
      <c r="AX397" s="31">
        <f t="shared" si="180"/>
        <v>0</v>
      </c>
      <c r="AY397" s="31">
        <f t="shared" si="181"/>
        <v>0</v>
      </c>
      <c r="AZ397" s="31">
        <f t="shared" si="182"/>
        <v>0</v>
      </c>
      <c r="BA397" s="31">
        <f t="shared" si="183"/>
        <v>0</v>
      </c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41"/>
      <c r="BM397" s="41"/>
      <c r="BN397" s="41"/>
      <c r="BO397" s="37"/>
      <c r="BP397" s="38"/>
      <c r="BQ397" s="37"/>
      <c r="BR397" s="40"/>
      <c r="BS397" s="39"/>
      <c r="BT397" s="39"/>
      <c r="BU397" s="39"/>
      <c r="BV397" s="39"/>
      <c r="BW397" s="39"/>
      <c r="BX397" s="36"/>
      <c r="BY397" s="33"/>
      <c r="BZ397" s="33"/>
      <c r="CA397" s="33"/>
      <c r="CB397" s="34"/>
      <c r="CC397" s="33"/>
      <c r="CD397" s="35"/>
      <c r="CE397" s="48"/>
      <c r="CF397" s="48"/>
      <c r="CG397" s="48"/>
      <c r="CH397" s="48"/>
      <c r="CI397" s="48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35"/>
      <c r="CW397" s="35"/>
      <c r="CX397" s="35"/>
      <c r="CY397" s="35"/>
      <c r="CZ397" s="35"/>
      <c r="DA397" s="35"/>
      <c r="DB397" s="35"/>
      <c r="DC397" s="35"/>
      <c r="DD397" s="40"/>
      <c r="DE397" s="40"/>
      <c r="DF397" s="40"/>
      <c r="DG397" s="40"/>
      <c r="DH397" s="40"/>
      <c r="DI397" s="40"/>
      <c r="DJ397" s="40"/>
      <c r="DK397" s="40"/>
      <c r="DL397" s="35"/>
      <c r="DM397" s="35"/>
      <c r="DN397" s="35"/>
      <c r="DO397" s="35"/>
      <c r="DP397" s="35"/>
      <c r="DQ397" s="35"/>
      <c r="DR397" s="35"/>
      <c r="DS397" s="35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40"/>
      <c r="ES397" s="40"/>
      <c r="ET397" s="40"/>
      <c r="EU397" s="40"/>
      <c r="EV397" s="40"/>
      <c r="EW397" s="40"/>
      <c r="EX397" s="40"/>
      <c r="EY397" s="40"/>
      <c r="EZ397" s="35"/>
      <c r="FA397" s="35"/>
      <c r="FB397" s="35"/>
      <c r="FC397" s="35"/>
      <c r="FD397" s="35"/>
      <c r="FE397" s="35"/>
      <c r="FF397" s="35"/>
      <c r="FG397" s="35"/>
    </row>
    <row r="398" spans="1:163">
      <c r="A398" s="60">
        <v>35</v>
      </c>
      <c r="E398" s="63" t="s">
        <v>114</v>
      </c>
      <c r="F398" s="56" t="s">
        <v>113</v>
      </c>
      <c r="G398" s="70" t="s">
        <v>415</v>
      </c>
      <c r="H398" s="66" t="str">
        <f t="shared" si="169"/>
        <v xml:space="preserve"> 918</v>
      </c>
      <c r="I398" s="67" t="s">
        <v>415</v>
      </c>
      <c r="J398" s="68">
        <f t="shared" si="170"/>
        <v>0</v>
      </c>
      <c r="K398" s="63" t="s">
        <v>257</v>
      </c>
      <c r="L398" s="1" t="s">
        <v>46</v>
      </c>
      <c r="O398" s="88" t="s">
        <v>790</v>
      </c>
      <c r="P398" s="89">
        <v>0</v>
      </c>
      <c r="Q398" s="90">
        <f t="shared" si="184"/>
        <v>66000</v>
      </c>
      <c r="R398" s="71">
        <v>66000</v>
      </c>
      <c r="S398" s="72">
        <f t="shared" si="163"/>
        <v>8250</v>
      </c>
      <c r="T398" s="68" t="s">
        <v>791</v>
      </c>
      <c r="U398" s="73">
        <f t="shared" si="164"/>
        <v>57750</v>
      </c>
      <c r="V398" s="75">
        <f>2000+5200+600+200+250</f>
        <v>8250</v>
      </c>
      <c r="W398" s="2">
        <f t="shared" si="171"/>
        <v>66000</v>
      </c>
      <c r="Y398" s="81">
        <f t="shared" si="172"/>
        <v>66000</v>
      </c>
      <c r="Z398" s="96">
        <v>0</v>
      </c>
      <c r="AA398" s="97">
        <f>U398-Z398</f>
        <v>57750</v>
      </c>
      <c r="AB398" s="98" t="e">
        <f>AA398/Z398</f>
        <v>#DIV/0!</v>
      </c>
      <c r="AE398" s="2">
        <v>113000</v>
      </c>
      <c r="AF398" s="28">
        <f t="shared" si="168"/>
        <v>0</v>
      </c>
      <c r="AG398" s="55" t="s">
        <v>125</v>
      </c>
      <c r="AI398" s="20" t="s">
        <v>45</v>
      </c>
      <c r="AJ398" s="2">
        <f t="shared" si="173"/>
        <v>-66000</v>
      </c>
      <c r="AN398" s="29" t="e">
        <f t="shared" si="174"/>
        <v>#DIV/0!</v>
      </c>
      <c r="AP398" s="3" t="s">
        <v>29</v>
      </c>
      <c r="AQ398" s="1" t="s">
        <v>148</v>
      </c>
      <c r="AR398" s="31">
        <f t="shared" si="175"/>
        <v>0</v>
      </c>
      <c r="AS398" s="31">
        <f t="shared" si="176"/>
        <v>0</v>
      </c>
      <c r="AT398" s="31">
        <f t="shared" si="167"/>
        <v>0</v>
      </c>
      <c r="AU398" s="31">
        <f t="shared" si="177"/>
        <v>0</v>
      </c>
      <c r="AV398" s="31">
        <f t="shared" si="178"/>
        <v>0</v>
      </c>
      <c r="AW398" s="31">
        <f t="shared" si="179"/>
        <v>0</v>
      </c>
      <c r="AX398" s="31">
        <f t="shared" si="180"/>
        <v>0</v>
      </c>
      <c r="AY398" s="31">
        <f t="shared" si="181"/>
        <v>0</v>
      </c>
      <c r="AZ398" s="31">
        <f t="shared" si="182"/>
        <v>0</v>
      </c>
      <c r="BA398" s="31">
        <f t="shared" si="183"/>
        <v>0</v>
      </c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41"/>
      <c r="BM398" s="41"/>
      <c r="BN398" s="41"/>
      <c r="BO398" s="37"/>
      <c r="BP398" s="38"/>
      <c r="BQ398" s="37"/>
      <c r="BR398" s="40"/>
      <c r="BS398" s="39"/>
      <c r="BT398" s="39"/>
      <c r="BU398" s="39"/>
      <c r="BV398" s="39"/>
      <c r="BW398" s="39"/>
      <c r="BX398" s="36"/>
      <c r="BY398" s="33"/>
      <c r="BZ398" s="33"/>
      <c r="CA398" s="33"/>
      <c r="CB398" s="34"/>
      <c r="CC398" s="33"/>
      <c r="CD398" s="35"/>
      <c r="CE398" s="48"/>
      <c r="CF398" s="48"/>
      <c r="CG398" s="48"/>
      <c r="CH398" s="48"/>
      <c r="CI398" s="48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35"/>
      <c r="CW398" s="35"/>
      <c r="CX398" s="35"/>
      <c r="CY398" s="35"/>
      <c r="CZ398" s="35"/>
      <c r="DA398" s="35"/>
      <c r="DB398" s="35"/>
      <c r="DC398" s="35"/>
      <c r="DD398" s="40"/>
      <c r="DE398" s="40"/>
      <c r="DF398" s="40"/>
      <c r="DG398" s="40"/>
      <c r="DH398" s="40"/>
      <c r="DI398" s="40"/>
      <c r="DJ398" s="40"/>
      <c r="DK398" s="40"/>
      <c r="DL398" s="35"/>
      <c r="DM398" s="35"/>
      <c r="DN398" s="35"/>
      <c r="DO398" s="35"/>
      <c r="DP398" s="35"/>
      <c r="DQ398" s="35"/>
      <c r="DR398" s="35"/>
      <c r="DS398" s="35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40"/>
      <c r="ES398" s="40"/>
      <c r="ET398" s="40"/>
      <c r="EU398" s="40"/>
      <c r="EV398" s="40"/>
      <c r="EW398" s="40"/>
      <c r="EX398" s="40"/>
      <c r="EY398" s="40"/>
      <c r="EZ398" s="35"/>
      <c r="FA398" s="35"/>
      <c r="FB398" s="35"/>
      <c r="FC398" s="35"/>
      <c r="FD398" s="35"/>
      <c r="FE398" s="35"/>
      <c r="FF398" s="35"/>
      <c r="FG398" s="35"/>
    </row>
    <row r="399" spans="1:163">
      <c r="A399" s="62">
        <v>309</v>
      </c>
      <c r="E399" s="63" t="s">
        <v>76</v>
      </c>
      <c r="F399" s="56" t="s">
        <v>74</v>
      </c>
      <c r="G399" s="70" t="s">
        <v>681</v>
      </c>
      <c r="H399" s="66" t="str">
        <f t="shared" si="169"/>
        <v xml:space="preserve"> 679</v>
      </c>
      <c r="I399" s="67" t="s">
        <v>681</v>
      </c>
      <c r="J399" s="68">
        <f t="shared" si="170"/>
        <v>0</v>
      </c>
      <c r="K399" s="63" t="s">
        <v>333</v>
      </c>
      <c r="L399" s="1" t="s">
        <v>46</v>
      </c>
      <c r="O399" s="88" t="s">
        <v>790</v>
      </c>
      <c r="P399" s="89">
        <v>74000</v>
      </c>
      <c r="Q399" s="90">
        <f t="shared" si="184"/>
        <v>0</v>
      </c>
      <c r="R399" s="71"/>
      <c r="S399" s="72">
        <f t="shared" si="163"/>
        <v>0</v>
      </c>
      <c r="T399" s="68"/>
      <c r="U399" s="73">
        <f t="shared" si="164"/>
        <v>0</v>
      </c>
      <c r="V399" s="73"/>
      <c r="W399" s="2">
        <f t="shared" si="171"/>
        <v>-74000</v>
      </c>
      <c r="Y399" s="81">
        <f t="shared" si="172"/>
        <v>0</v>
      </c>
      <c r="Z399" s="96">
        <v>0</v>
      </c>
      <c r="AA399" s="97">
        <f>U399-Z399</f>
        <v>0</v>
      </c>
      <c r="AB399" s="98" t="e">
        <f>AA399/Z399</f>
        <v>#DIV/0!</v>
      </c>
      <c r="AE399" s="2">
        <v>92000</v>
      </c>
      <c r="AF399" s="28">
        <f t="shared" si="168"/>
        <v>0</v>
      </c>
      <c r="AG399" s="55" t="s">
        <v>125</v>
      </c>
      <c r="AI399" s="20" t="s">
        <v>45</v>
      </c>
      <c r="AJ399" s="2">
        <f t="shared" si="173"/>
        <v>0</v>
      </c>
      <c r="AN399" s="29" t="e">
        <f t="shared" si="174"/>
        <v>#DIV/0!</v>
      </c>
      <c r="AP399" s="3" t="s">
        <v>29</v>
      </c>
      <c r="AQ399" s="1" t="s">
        <v>185</v>
      </c>
      <c r="AR399" s="31">
        <f t="shared" si="175"/>
        <v>0</v>
      </c>
      <c r="AS399" s="31">
        <f t="shared" si="176"/>
        <v>0</v>
      </c>
      <c r="AT399" s="31">
        <f t="shared" si="167"/>
        <v>0</v>
      </c>
      <c r="AU399" s="31">
        <f t="shared" si="177"/>
        <v>0</v>
      </c>
      <c r="AV399" s="31">
        <f t="shared" si="178"/>
        <v>0</v>
      </c>
      <c r="AW399" s="31">
        <f t="shared" si="179"/>
        <v>0</v>
      </c>
      <c r="AX399" s="31">
        <f t="shared" si="180"/>
        <v>0</v>
      </c>
      <c r="AY399" s="31">
        <f t="shared" si="181"/>
        <v>0</v>
      </c>
      <c r="AZ399" s="31">
        <f t="shared" si="182"/>
        <v>0</v>
      </c>
      <c r="BA399" s="31">
        <f t="shared" si="183"/>
        <v>0</v>
      </c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41"/>
      <c r="BM399" s="41"/>
      <c r="BN399" s="41"/>
      <c r="BO399" s="37"/>
      <c r="BP399" s="38"/>
      <c r="BQ399" s="37"/>
      <c r="BR399" s="40"/>
      <c r="BS399" s="39"/>
      <c r="BT399" s="39"/>
      <c r="BU399" s="39"/>
      <c r="BV399" s="39"/>
      <c r="BW399" s="39"/>
      <c r="BX399" s="36"/>
      <c r="BY399" s="33"/>
      <c r="BZ399" s="33"/>
      <c r="CA399" s="33"/>
      <c r="CB399" s="34"/>
      <c r="CC399" s="33"/>
      <c r="CD399" s="35"/>
      <c r="CE399" s="48"/>
      <c r="CF399" s="48"/>
      <c r="CG399" s="48"/>
      <c r="CH399" s="48"/>
      <c r="CI399" s="48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35"/>
      <c r="CW399" s="35"/>
      <c r="CX399" s="35"/>
      <c r="CY399" s="35"/>
      <c r="CZ399" s="35"/>
      <c r="DA399" s="35"/>
      <c r="DB399" s="35"/>
      <c r="DC399" s="35"/>
      <c r="DD399" s="40"/>
      <c r="DE399" s="40"/>
      <c r="DF399" s="40"/>
      <c r="DG399" s="40"/>
      <c r="DH399" s="40"/>
      <c r="DI399" s="40"/>
      <c r="DJ399" s="40"/>
      <c r="DK399" s="40"/>
      <c r="DL399" s="35"/>
      <c r="DM399" s="35"/>
      <c r="DN399" s="35"/>
      <c r="DO399" s="35"/>
      <c r="DP399" s="35"/>
      <c r="DQ399" s="35"/>
      <c r="DR399" s="35"/>
      <c r="DS399" s="35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40"/>
      <c r="ES399" s="40"/>
      <c r="ET399" s="40"/>
      <c r="EU399" s="40"/>
      <c r="EV399" s="40"/>
      <c r="EW399" s="40"/>
      <c r="EX399" s="40"/>
      <c r="EY399" s="40"/>
      <c r="EZ399" s="35"/>
      <c r="FA399" s="35"/>
      <c r="FB399" s="35"/>
      <c r="FC399" s="35"/>
      <c r="FD399" s="35"/>
      <c r="FE399" s="35"/>
      <c r="FF399" s="35"/>
      <c r="FG399" s="35"/>
    </row>
    <row r="400" spans="1:163">
      <c r="A400" s="62">
        <v>234</v>
      </c>
      <c r="E400" s="63" t="s">
        <v>218</v>
      </c>
      <c r="F400" s="56" t="s">
        <v>92</v>
      </c>
      <c r="G400" s="70" t="s">
        <v>610</v>
      </c>
      <c r="H400" s="66" t="str">
        <f t="shared" si="169"/>
        <v xml:space="preserve"> 747</v>
      </c>
      <c r="I400" s="67" t="s">
        <v>610</v>
      </c>
      <c r="J400" s="68">
        <f t="shared" si="170"/>
        <v>0</v>
      </c>
      <c r="K400" s="63" t="s">
        <v>333</v>
      </c>
      <c r="L400" s="1" t="s">
        <v>46</v>
      </c>
      <c r="O400" s="88" t="s">
        <v>790</v>
      </c>
      <c r="P400" s="89">
        <v>93000</v>
      </c>
      <c r="Q400" s="90">
        <f t="shared" si="184"/>
        <v>0</v>
      </c>
      <c r="R400" s="73"/>
      <c r="S400" s="72">
        <f t="shared" si="163"/>
        <v>0</v>
      </c>
      <c r="T400" s="68"/>
      <c r="U400" s="73">
        <f t="shared" si="164"/>
        <v>0</v>
      </c>
      <c r="V400" s="73"/>
      <c r="W400" s="2">
        <f t="shared" si="171"/>
        <v>-93000</v>
      </c>
      <c r="Y400" s="81">
        <f t="shared" si="172"/>
        <v>0</v>
      </c>
      <c r="Z400" s="96">
        <v>0</v>
      </c>
      <c r="AA400" s="97"/>
      <c r="AB400" s="98"/>
      <c r="AC400" s="2">
        <v>4000</v>
      </c>
      <c r="AD400" s="2">
        <f>Z400+AC400</f>
        <v>4000</v>
      </c>
      <c r="AF400" s="28">
        <f t="shared" si="168"/>
        <v>4000</v>
      </c>
      <c r="AG400" s="55" t="s">
        <v>125</v>
      </c>
      <c r="AI400" s="20" t="s">
        <v>45</v>
      </c>
      <c r="AJ400" s="2">
        <f t="shared" si="173"/>
        <v>4000</v>
      </c>
      <c r="AN400" s="29">
        <f t="shared" si="174"/>
        <v>1</v>
      </c>
      <c r="AO400" s="29">
        <f>AN400-AB400</f>
        <v>1</v>
      </c>
      <c r="AP400" s="3" t="s">
        <v>29</v>
      </c>
      <c r="AQ400" s="1" t="s">
        <v>190</v>
      </c>
      <c r="AR400" s="31">
        <f t="shared" si="175"/>
        <v>0</v>
      </c>
      <c r="AS400" s="31">
        <f t="shared" si="176"/>
        <v>0</v>
      </c>
      <c r="AT400" s="31">
        <f t="shared" si="167"/>
        <v>0</v>
      </c>
      <c r="AU400" s="31">
        <f t="shared" si="177"/>
        <v>0</v>
      </c>
      <c r="AV400" s="31">
        <f t="shared" si="178"/>
        <v>0</v>
      </c>
      <c r="AW400" s="31">
        <f t="shared" si="179"/>
        <v>0</v>
      </c>
      <c r="AX400" s="31">
        <f t="shared" si="180"/>
        <v>0</v>
      </c>
      <c r="AY400" s="31">
        <f t="shared" si="181"/>
        <v>0</v>
      </c>
      <c r="AZ400" s="31">
        <f t="shared" si="182"/>
        <v>0</v>
      </c>
      <c r="BA400" s="31">
        <f t="shared" si="183"/>
        <v>0</v>
      </c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35"/>
      <c r="CW400" s="35"/>
      <c r="CX400" s="35"/>
      <c r="CY400" s="35"/>
      <c r="CZ400" s="35"/>
      <c r="DA400" s="35"/>
      <c r="DB400" s="35"/>
      <c r="DC400" s="35"/>
      <c r="DD400" s="40"/>
      <c r="DE400" s="40"/>
      <c r="DF400" s="40"/>
      <c r="DG400" s="40"/>
      <c r="DH400" s="40"/>
      <c r="DI400" s="40"/>
      <c r="DJ400" s="40"/>
      <c r="DK400" s="40"/>
      <c r="DL400" s="35"/>
      <c r="DM400" s="35"/>
      <c r="DN400" s="35"/>
      <c r="DO400" s="35"/>
      <c r="DP400" s="35"/>
      <c r="DQ400" s="35"/>
      <c r="DR400" s="35"/>
      <c r="DS400" s="35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40"/>
      <c r="ES400" s="40"/>
      <c r="ET400" s="40"/>
      <c r="EU400" s="40"/>
      <c r="EV400" s="40"/>
      <c r="EW400" s="40"/>
      <c r="EX400" s="40"/>
      <c r="EY400" s="40"/>
      <c r="EZ400" s="35"/>
      <c r="FA400" s="35"/>
      <c r="FB400" s="35"/>
      <c r="FC400" s="35"/>
      <c r="FD400" s="35"/>
      <c r="FE400" s="35"/>
      <c r="FF400" s="35"/>
      <c r="FG400" s="35"/>
    </row>
    <row r="401" spans="1:163">
      <c r="A401" s="62">
        <v>50</v>
      </c>
      <c r="E401" s="63" t="s">
        <v>113</v>
      </c>
      <c r="F401" s="56" t="s">
        <v>113</v>
      </c>
      <c r="G401" s="65" t="s">
        <v>430</v>
      </c>
      <c r="H401" s="66" t="str">
        <f t="shared" si="169"/>
        <v xml:space="preserve"> 496</v>
      </c>
      <c r="I401" s="67" t="s">
        <v>430</v>
      </c>
      <c r="J401" s="68">
        <f t="shared" si="170"/>
        <v>0</v>
      </c>
      <c r="K401" s="63" t="s">
        <v>265</v>
      </c>
      <c r="L401" s="1" t="s">
        <v>46</v>
      </c>
      <c r="O401" s="64" t="s">
        <v>789</v>
      </c>
      <c r="P401" s="82">
        <v>0</v>
      </c>
      <c r="Q401" s="74">
        <f t="shared" si="184"/>
        <v>69000</v>
      </c>
      <c r="R401" s="71">
        <v>69000</v>
      </c>
      <c r="S401" s="72">
        <f t="shared" si="163"/>
        <v>8150</v>
      </c>
      <c r="T401" s="68" t="s">
        <v>791</v>
      </c>
      <c r="U401" s="73">
        <f t="shared" si="164"/>
        <v>60850</v>
      </c>
      <c r="V401" s="73">
        <f>2000+5100+600+200+250</f>
        <v>8150</v>
      </c>
      <c r="W401" s="2">
        <f t="shared" si="171"/>
        <v>69000</v>
      </c>
      <c r="Y401" s="80">
        <f t="shared" si="172"/>
        <v>69000</v>
      </c>
      <c r="Z401" s="93"/>
      <c r="AA401" s="93"/>
      <c r="AB401" s="94"/>
      <c r="AE401" s="2">
        <v>95000</v>
      </c>
      <c r="AF401" s="28">
        <f t="shared" si="168"/>
        <v>95000</v>
      </c>
      <c r="AG401" s="55" t="s">
        <v>125</v>
      </c>
      <c r="AI401" s="20" t="s">
        <v>45</v>
      </c>
      <c r="AJ401" s="2">
        <f t="shared" si="173"/>
        <v>26000</v>
      </c>
      <c r="AN401" s="29">
        <f t="shared" si="174"/>
        <v>0.27368421052631581</v>
      </c>
      <c r="AP401" s="3" t="s">
        <v>29</v>
      </c>
      <c r="AQ401" s="1" t="s">
        <v>148</v>
      </c>
      <c r="AR401" s="31">
        <f t="shared" si="175"/>
        <v>0</v>
      </c>
      <c r="AS401" s="31">
        <f t="shared" si="176"/>
        <v>0</v>
      </c>
      <c r="AT401" s="31">
        <f t="shared" si="167"/>
        <v>0</v>
      </c>
      <c r="AU401" s="31">
        <f t="shared" si="177"/>
        <v>0</v>
      </c>
      <c r="AV401" s="31">
        <f t="shared" si="178"/>
        <v>0</v>
      </c>
      <c r="AW401" s="31">
        <f t="shared" si="179"/>
        <v>0</v>
      </c>
      <c r="AX401" s="31">
        <f t="shared" si="180"/>
        <v>0</v>
      </c>
      <c r="AY401" s="31">
        <f t="shared" si="181"/>
        <v>0</v>
      </c>
      <c r="AZ401" s="31">
        <f t="shared" si="182"/>
        <v>0</v>
      </c>
      <c r="BA401" s="31">
        <f t="shared" si="183"/>
        <v>0</v>
      </c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41"/>
      <c r="BM401" s="41"/>
      <c r="BN401" s="41"/>
      <c r="BO401" s="37"/>
      <c r="BP401" s="38"/>
      <c r="BQ401" s="37"/>
      <c r="BR401" s="40"/>
      <c r="BS401" s="39"/>
      <c r="BT401" s="39"/>
      <c r="BU401" s="39"/>
      <c r="BV401" s="39"/>
      <c r="BW401" s="39"/>
      <c r="BX401" s="36"/>
      <c r="BY401" s="33"/>
      <c r="BZ401" s="33"/>
      <c r="CA401" s="33"/>
      <c r="CB401" s="34"/>
      <c r="CC401" s="33"/>
      <c r="CD401" s="35"/>
      <c r="CE401" s="48"/>
      <c r="CF401" s="48"/>
      <c r="CG401" s="48"/>
      <c r="CH401" s="48"/>
      <c r="CI401" s="48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35"/>
      <c r="CW401" s="35"/>
      <c r="CX401" s="35"/>
      <c r="CY401" s="35"/>
      <c r="CZ401" s="35"/>
      <c r="DA401" s="35"/>
      <c r="DB401" s="35"/>
      <c r="DC401" s="35"/>
      <c r="DD401" s="40"/>
      <c r="DE401" s="40"/>
      <c r="DF401" s="40"/>
      <c r="DG401" s="40"/>
      <c r="DH401" s="40"/>
      <c r="DI401" s="40"/>
      <c r="DJ401" s="40"/>
      <c r="DK401" s="40"/>
      <c r="DL401" s="35"/>
      <c r="DM401" s="35"/>
      <c r="DN401" s="35"/>
      <c r="DO401" s="35"/>
      <c r="DP401" s="35"/>
      <c r="DQ401" s="35"/>
      <c r="DR401" s="35"/>
      <c r="DS401" s="35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40"/>
      <c r="ES401" s="40"/>
      <c r="ET401" s="40"/>
      <c r="EU401" s="40"/>
      <c r="EV401" s="40"/>
      <c r="EW401" s="40"/>
      <c r="EX401" s="40"/>
      <c r="EY401" s="40"/>
      <c r="EZ401" s="35"/>
      <c r="FA401" s="35"/>
      <c r="FB401" s="35"/>
      <c r="FC401" s="35"/>
      <c r="FD401" s="35"/>
      <c r="FE401" s="35"/>
      <c r="FF401" s="35"/>
      <c r="FG401" s="35"/>
    </row>
    <row r="402" spans="1:163">
      <c r="A402" s="62">
        <v>186</v>
      </c>
      <c r="E402" s="63" t="s">
        <v>62</v>
      </c>
      <c r="F402" s="56" t="s">
        <v>64</v>
      </c>
      <c r="G402" s="69" t="s">
        <v>566</v>
      </c>
      <c r="H402" s="66" t="str">
        <f t="shared" si="169"/>
        <v xml:space="preserve"> 884</v>
      </c>
      <c r="I402" s="67" t="s">
        <v>566</v>
      </c>
      <c r="J402" s="68">
        <f t="shared" si="170"/>
        <v>0</v>
      </c>
      <c r="K402" s="63" t="s">
        <v>312</v>
      </c>
      <c r="L402" s="1" t="s">
        <v>46</v>
      </c>
      <c r="O402" s="64" t="s">
        <v>789</v>
      </c>
      <c r="P402" s="82">
        <v>0</v>
      </c>
      <c r="Q402" s="74">
        <f t="shared" si="184"/>
        <v>80000</v>
      </c>
      <c r="R402" s="78">
        <v>80000</v>
      </c>
      <c r="S402" s="72">
        <f t="shared" si="163"/>
        <v>7900</v>
      </c>
      <c r="T402" s="68" t="s">
        <v>791</v>
      </c>
      <c r="U402" s="73">
        <f t="shared" si="164"/>
        <v>72100</v>
      </c>
      <c r="V402" s="79">
        <f>2000+4850+600+200+250</f>
        <v>7900</v>
      </c>
      <c r="W402" s="2">
        <f t="shared" si="171"/>
        <v>80000</v>
      </c>
      <c r="Y402" s="80">
        <f t="shared" si="172"/>
        <v>80000</v>
      </c>
      <c r="Z402" s="93"/>
      <c r="AA402" s="93"/>
      <c r="AB402" s="94"/>
      <c r="AE402" s="2">
        <v>112000</v>
      </c>
      <c r="AF402" s="28">
        <f t="shared" si="168"/>
        <v>112000</v>
      </c>
      <c r="AG402" s="55" t="s">
        <v>125</v>
      </c>
      <c r="AI402" s="20" t="s">
        <v>206</v>
      </c>
      <c r="AJ402" s="2">
        <f t="shared" si="173"/>
        <v>32000</v>
      </c>
      <c r="AN402" s="29">
        <f t="shared" si="174"/>
        <v>0.2857142857142857</v>
      </c>
      <c r="AP402" s="3" t="s">
        <v>140</v>
      </c>
      <c r="AQ402" s="1" t="s">
        <v>162</v>
      </c>
      <c r="AR402" s="31">
        <f t="shared" si="175"/>
        <v>-3219</v>
      </c>
      <c r="AS402" s="31">
        <f t="shared" si="176"/>
        <v>-15608</v>
      </c>
      <c r="AT402" s="31">
        <f t="shared" si="167"/>
        <v>-4962</v>
      </c>
      <c r="AU402" s="31">
        <f t="shared" si="177"/>
        <v>0</v>
      </c>
      <c r="AV402" s="31">
        <f t="shared" si="178"/>
        <v>0</v>
      </c>
      <c r="AW402" s="31">
        <f t="shared" si="179"/>
        <v>0</v>
      </c>
      <c r="AX402" s="31">
        <f t="shared" si="180"/>
        <v>3238</v>
      </c>
      <c r="AY402" s="31">
        <f t="shared" si="181"/>
        <v>0</v>
      </c>
      <c r="AZ402" s="31">
        <f t="shared" si="182"/>
        <v>0</v>
      </c>
      <c r="BA402" s="31">
        <f t="shared" si="183"/>
        <v>0</v>
      </c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41">
        <v>112219</v>
      </c>
      <c r="BM402" s="41">
        <v>3000</v>
      </c>
      <c r="BN402" s="41">
        <f>BL402+BM402</f>
        <v>115219</v>
      </c>
      <c r="BO402" s="37">
        <f>BN402-Y402</f>
        <v>35219</v>
      </c>
      <c r="BP402" s="38">
        <f>BO402/BL402</f>
        <v>0.31384168456322015</v>
      </c>
      <c r="BQ402" s="37">
        <f>AF402-BN402</f>
        <v>-3219</v>
      </c>
      <c r="BR402" s="40" t="s">
        <v>29</v>
      </c>
      <c r="BS402" s="39"/>
      <c r="BT402" s="39"/>
      <c r="BU402" s="39"/>
      <c r="BV402" s="39"/>
      <c r="BW402" s="39"/>
      <c r="BX402" s="36">
        <v>113962</v>
      </c>
      <c r="BY402" s="33">
        <v>3000</v>
      </c>
      <c r="BZ402" s="33">
        <f>BX402+BY402</f>
        <v>116962</v>
      </c>
      <c r="CA402" s="33">
        <f>BZ402-Y402</f>
        <v>36962</v>
      </c>
      <c r="CB402" s="34">
        <f>CA402/BX402</f>
        <v>0.32433618223618399</v>
      </c>
      <c r="CC402" s="33">
        <f>AF402-BZ402</f>
        <v>-4962</v>
      </c>
      <c r="CD402" s="35" t="s">
        <v>29</v>
      </c>
      <c r="CE402" s="48"/>
      <c r="CF402" s="48"/>
      <c r="CG402" s="48"/>
      <c r="CH402" s="48"/>
      <c r="CI402" s="48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36">
        <v>127608</v>
      </c>
      <c r="CW402" s="36">
        <f>CV402-Y402</f>
        <v>47608</v>
      </c>
      <c r="CX402" s="46">
        <f>CW402/CV402</f>
        <v>0.37308005767663471</v>
      </c>
      <c r="CY402" s="36">
        <f>AF402-CV402</f>
        <v>-15608</v>
      </c>
      <c r="CZ402" s="35" t="s">
        <v>29</v>
      </c>
      <c r="DA402" s="35"/>
      <c r="DB402" s="35"/>
      <c r="DC402" s="35"/>
      <c r="DD402" s="40"/>
      <c r="DE402" s="40"/>
      <c r="DF402" s="40"/>
      <c r="DG402" s="40"/>
      <c r="DH402" s="40"/>
      <c r="DI402" s="40"/>
      <c r="DJ402" s="40"/>
      <c r="DK402" s="40"/>
      <c r="DL402" s="35"/>
      <c r="DM402" s="35"/>
      <c r="DN402" s="35"/>
      <c r="DO402" s="35"/>
      <c r="DP402" s="35"/>
      <c r="DQ402" s="35"/>
      <c r="DR402" s="35"/>
      <c r="DS402" s="35"/>
      <c r="DT402" s="41">
        <v>105262</v>
      </c>
      <c r="DU402" s="37">
        <v>3500</v>
      </c>
      <c r="DV402" s="41">
        <f>DT402+DU402</f>
        <v>108762</v>
      </c>
      <c r="DW402" s="37">
        <f>DV402-Y402</f>
        <v>28762</v>
      </c>
      <c r="DX402" s="38">
        <f>DW402/DV402</f>
        <v>0.264448980342399</v>
      </c>
      <c r="DY402" s="37">
        <f>AF402-DV402</f>
        <v>3238</v>
      </c>
      <c r="DZ402" s="40" t="s">
        <v>29</v>
      </c>
      <c r="EA402" s="40"/>
      <c r="EB402" s="40"/>
      <c r="EC402" s="40"/>
      <c r="ED402" s="40"/>
      <c r="EE402" s="40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40"/>
      <c r="ES402" s="40"/>
      <c r="ET402" s="40"/>
      <c r="EU402" s="40"/>
      <c r="EV402" s="40"/>
      <c r="EW402" s="40"/>
      <c r="EX402" s="40"/>
      <c r="EY402" s="40"/>
      <c r="EZ402" s="35"/>
      <c r="FA402" s="35"/>
      <c r="FB402" s="35"/>
      <c r="FC402" s="35"/>
      <c r="FD402" s="35"/>
      <c r="FE402" s="35"/>
      <c r="FF402" s="35"/>
      <c r="FG402" s="35"/>
    </row>
    <row r="403" spans="1:163">
      <c r="A403" s="62">
        <v>283</v>
      </c>
      <c r="E403" s="63" t="s">
        <v>223</v>
      </c>
      <c r="F403" s="56" t="s">
        <v>95</v>
      </c>
      <c r="G403" s="70" t="s">
        <v>657</v>
      </c>
      <c r="H403" s="66" t="str">
        <f t="shared" si="169"/>
        <v xml:space="preserve"> 331</v>
      </c>
      <c r="I403" s="67" t="s">
        <v>657</v>
      </c>
      <c r="J403" s="68">
        <f t="shared" si="170"/>
        <v>0</v>
      </c>
      <c r="K403" s="63" t="s">
        <v>349</v>
      </c>
      <c r="L403" s="1" t="s">
        <v>46</v>
      </c>
      <c r="O403" s="64" t="s">
        <v>789</v>
      </c>
      <c r="P403" s="82">
        <v>0</v>
      </c>
      <c r="Q403" s="74">
        <f t="shared" si="184"/>
        <v>0</v>
      </c>
      <c r="R403" s="71"/>
      <c r="S403" s="72">
        <f t="shared" si="163"/>
        <v>0</v>
      </c>
      <c r="T403" s="68"/>
      <c r="U403" s="73">
        <f t="shared" si="164"/>
        <v>0</v>
      </c>
      <c r="V403" s="75"/>
      <c r="W403" s="2">
        <f t="shared" si="171"/>
        <v>0</v>
      </c>
      <c r="Y403" s="80">
        <f t="shared" si="172"/>
        <v>0</v>
      </c>
      <c r="Z403" s="93"/>
      <c r="AA403" s="93"/>
      <c r="AB403" s="94"/>
      <c r="AE403" s="2">
        <v>112000</v>
      </c>
      <c r="AF403" s="28">
        <f t="shared" si="168"/>
        <v>112000</v>
      </c>
      <c r="AG403" s="55" t="s">
        <v>125</v>
      </c>
      <c r="AI403" s="20" t="s">
        <v>45</v>
      </c>
      <c r="AJ403" s="2">
        <f t="shared" si="173"/>
        <v>112000</v>
      </c>
      <c r="AN403" s="29">
        <f t="shared" si="174"/>
        <v>1</v>
      </c>
      <c r="AP403" s="3" t="s">
        <v>29</v>
      </c>
      <c r="AQ403" s="1" t="s">
        <v>190</v>
      </c>
      <c r="AR403" s="31">
        <f t="shared" si="175"/>
        <v>0</v>
      </c>
      <c r="AS403" s="31">
        <f t="shared" si="176"/>
        <v>0</v>
      </c>
      <c r="AT403" s="31">
        <f t="shared" si="167"/>
        <v>0</v>
      </c>
      <c r="AU403" s="31">
        <f t="shared" si="177"/>
        <v>0</v>
      </c>
      <c r="AV403" s="31">
        <f t="shared" si="178"/>
        <v>0</v>
      </c>
      <c r="AW403" s="31">
        <f t="shared" si="179"/>
        <v>0</v>
      </c>
      <c r="AX403" s="31">
        <f t="shared" si="180"/>
        <v>0</v>
      </c>
      <c r="AY403" s="31">
        <f t="shared" si="181"/>
        <v>0</v>
      </c>
      <c r="AZ403" s="31">
        <f t="shared" si="182"/>
        <v>0</v>
      </c>
      <c r="BA403" s="31">
        <f t="shared" si="183"/>
        <v>0</v>
      </c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35"/>
      <c r="CW403" s="35"/>
      <c r="CX403" s="35"/>
      <c r="CY403" s="35"/>
      <c r="CZ403" s="35"/>
      <c r="DA403" s="35"/>
      <c r="DB403" s="35"/>
      <c r="DC403" s="35"/>
      <c r="DD403" s="40"/>
      <c r="DE403" s="40"/>
      <c r="DF403" s="40"/>
      <c r="DG403" s="40"/>
      <c r="DH403" s="40"/>
      <c r="DI403" s="40"/>
      <c r="DJ403" s="40"/>
      <c r="DK403" s="40"/>
      <c r="DL403" s="35"/>
      <c r="DM403" s="35"/>
      <c r="DN403" s="35"/>
      <c r="DO403" s="35"/>
      <c r="DP403" s="35"/>
      <c r="DQ403" s="35"/>
      <c r="DR403" s="35"/>
      <c r="DS403" s="35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40"/>
      <c r="ES403" s="40"/>
      <c r="ET403" s="40"/>
      <c r="EU403" s="40"/>
      <c r="EV403" s="40"/>
      <c r="EW403" s="40"/>
      <c r="EX403" s="40"/>
      <c r="EY403" s="40"/>
      <c r="EZ403" s="35"/>
      <c r="FA403" s="35"/>
      <c r="FB403" s="35"/>
      <c r="FC403" s="35"/>
      <c r="FD403" s="35"/>
      <c r="FE403" s="35"/>
      <c r="FF403" s="35"/>
      <c r="FG403" s="35"/>
    </row>
    <row r="404" spans="1:163">
      <c r="A404" s="62">
        <v>275</v>
      </c>
      <c r="E404" s="63" t="s">
        <v>221</v>
      </c>
      <c r="F404" s="56" t="s">
        <v>95</v>
      </c>
      <c r="G404" s="70" t="s">
        <v>650</v>
      </c>
      <c r="H404" s="66" t="str">
        <f t="shared" si="169"/>
        <v xml:space="preserve"> 956</v>
      </c>
      <c r="I404" s="67" t="s">
        <v>650</v>
      </c>
      <c r="J404" s="68">
        <f t="shared" si="170"/>
        <v>0</v>
      </c>
      <c r="K404" s="63" t="s">
        <v>349</v>
      </c>
      <c r="L404" s="1" t="s">
        <v>46</v>
      </c>
      <c r="O404" s="88" t="s">
        <v>790</v>
      </c>
      <c r="P404" s="89">
        <v>0</v>
      </c>
      <c r="Q404" s="90">
        <f t="shared" si="184"/>
        <v>0</v>
      </c>
      <c r="R404" s="71"/>
      <c r="S404" s="72">
        <f t="shared" si="163"/>
        <v>0</v>
      </c>
      <c r="T404" s="68"/>
      <c r="U404" s="73">
        <f t="shared" si="164"/>
        <v>0</v>
      </c>
      <c r="V404" s="73"/>
      <c r="W404" s="2">
        <f t="shared" si="171"/>
        <v>0</v>
      </c>
      <c r="Y404" s="81">
        <f t="shared" si="172"/>
        <v>0</v>
      </c>
      <c r="Z404" s="96">
        <v>0</v>
      </c>
      <c r="AA404" s="97">
        <f>U404-Z404</f>
        <v>0</v>
      </c>
      <c r="AB404" s="98" t="e">
        <f>AA404/Z404</f>
        <v>#DIV/0!</v>
      </c>
      <c r="AC404" s="2">
        <v>3000</v>
      </c>
      <c r="AD404" s="2">
        <f>Z404+AC404</f>
        <v>3000</v>
      </c>
      <c r="AF404" s="28">
        <f t="shared" si="168"/>
        <v>3000</v>
      </c>
      <c r="AG404" s="55" t="s">
        <v>125</v>
      </c>
      <c r="AI404" s="20" t="s">
        <v>45</v>
      </c>
      <c r="AJ404" s="2">
        <f t="shared" si="173"/>
        <v>3000</v>
      </c>
      <c r="AN404" s="29">
        <f t="shared" si="174"/>
        <v>1</v>
      </c>
      <c r="AO404" s="29" t="e">
        <f>AN404-AB404</f>
        <v>#DIV/0!</v>
      </c>
      <c r="AP404" s="3" t="s">
        <v>29</v>
      </c>
      <c r="AQ404" s="1" t="s">
        <v>190</v>
      </c>
      <c r="AR404" s="31">
        <f t="shared" si="175"/>
        <v>0</v>
      </c>
      <c r="AS404" s="31">
        <f t="shared" si="176"/>
        <v>0</v>
      </c>
      <c r="AT404" s="31">
        <f t="shared" si="167"/>
        <v>0</v>
      </c>
      <c r="AU404" s="31">
        <f t="shared" si="177"/>
        <v>0</v>
      </c>
      <c r="AV404" s="31">
        <f t="shared" si="178"/>
        <v>0</v>
      </c>
      <c r="AW404" s="31">
        <f t="shared" si="179"/>
        <v>0</v>
      </c>
      <c r="AX404" s="31">
        <f t="shared" si="180"/>
        <v>0</v>
      </c>
      <c r="AY404" s="31">
        <f t="shared" si="181"/>
        <v>0</v>
      </c>
      <c r="AZ404" s="31">
        <f t="shared" si="182"/>
        <v>0</v>
      </c>
      <c r="BA404" s="31">
        <f t="shared" si="183"/>
        <v>0</v>
      </c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35"/>
      <c r="CW404" s="35"/>
      <c r="CX404" s="35"/>
      <c r="CY404" s="35"/>
      <c r="CZ404" s="35"/>
      <c r="DA404" s="35"/>
      <c r="DB404" s="35"/>
      <c r="DC404" s="35"/>
      <c r="DD404" s="40"/>
      <c r="DE404" s="40"/>
      <c r="DF404" s="40"/>
      <c r="DG404" s="40"/>
      <c r="DH404" s="40"/>
      <c r="DI404" s="40"/>
      <c r="DJ404" s="40"/>
      <c r="DK404" s="40"/>
      <c r="DL404" s="35"/>
      <c r="DM404" s="35"/>
      <c r="DN404" s="35"/>
      <c r="DO404" s="35"/>
      <c r="DP404" s="35"/>
      <c r="DQ404" s="35"/>
      <c r="DR404" s="35"/>
      <c r="DS404" s="35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40"/>
      <c r="ES404" s="40"/>
      <c r="ET404" s="40"/>
      <c r="EU404" s="40"/>
      <c r="EV404" s="40"/>
      <c r="EW404" s="40"/>
      <c r="EX404" s="40"/>
      <c r="EY404" s="40"/>
      <c r="EZ404" s="35"/>
      <c r="FA404" s="35"/>
      <c r="FB404" s="35"/>
      <c r="FC404" s="35"/>
      <c r="FD404" s="35"/>
      <c r="FE404" s="35"/>
      <c r="FF404" s="35"/>
      <c r="FG404" s="35"/>
    </row>
    <row r="405" spans="1:163">
      <c r="A405" s="62">
        <v>388</v>
      </c>
      <c r="E405" s="63" t="s">
        <v>87</v>
      </c>
      <c r="F405" s="56" t="s">
        <v>87</v>
      </c>
      <c r="G405" s="70" t="s">
        <v>756</v>
      </c>
      <c r="H405" s="66" t="str">
        <f t="shared" si="169"/>
        <v xml:space="preserve"> 829</v>
      </c>
      <c r="I405" s="67" t="s">
        <v>756</v>
      </c>
      <c r="J405" s="68">
        <f t="shared" si="170"/>
        <v>0</v>
      </c>
      <c r="K405" s="63" t="s">
        <v>350</v>
      </c>
      <c r="L405" s="1" t="s">
        <v>46</v>
      </c>
      <c r="O405" s="64" t="s">
        <v>789</v>
      </c>
      <c r="P405" s="82">
        <v>0</v>
      </c>
      <c r="Q405" s="74">
        <f t="shared" si="184"/>
        <v>69000</v>
      </c>
      <c r="R405" s="71">
        <v>69000</v>
      </c>
      <c r="S405" s="72">
        <f t="shared" si="163"/>
        <v>8900</v>
      </c>
      <c r="T405" s="68" t="s">
        <v>791</v>
      </c>
      <c r="U405" s="73">
        <f t="shared" si="164"/>
        <v>60100</v>
      </c>
      <c r="V405" s="73">
        <f>2000+4850+600+200+250+1000</f>
        <v>8900</v>
      </c>
      <c r="W405" s="2">
        <f t="shared" si="171"/>
        <v>69000</v>
      </c>
      <c r="Y405" s="80">
        <f t="shared" si="172"/>
        <v>69000</v>
      </c>
      <c r="Z405" s="93"/>
      <c r="AA405" s="93"/>
      <c r="AB405" s="94"/>
      <c r="AE405" s="2">
        <v>93000</v>
      </c>
      <c r="AF405" s="28">
        <f t="shared" si="168"/>
        <v>93000</v>
      </c>
      <c r="AG405" s="55" t="s">
        <v>125</v>
      </c>
      <c r="AI405" s="20" t="s">
        <v>206</v>
      </c>
      <c r="AJ405" s="2">
        <f t="shared" si="173"/>
        <v>24000</v>
      </c>
      <c r="AN405" s="29">
        <f t="shared" si="174"/>
        <v>0.25806451612903225</v>
      </c>
      <c r="AP405" s="3" t="s">
        <v>140</v>
      </c>
      <c r="AQ405" s="1" t="s">
        <v>199</v>
      </c>
      <c r="AR405" s="31">
        <f t="shared" si="175"/>
        <v>0</v>
      </c>
      <c r="AS405" s="31">
        <f t="shared" si="176"/>
        <v>0</v>
      </c>
      <c r="AT405" s="31">
        <f t="shared" si="167"/>
        <v>0</v>
      </c>
      <c r="AU405" s="31">
        <f t="shared" si="177"/>
        <v>0</v>
      </c>
      <c r="AV405" s="31">
        <f t="shared" si="178"/>
        <v>0</v>
      </c>
      <c r="AW405" s="31">
        <f t="shared" si="179"/>
        <v>0</v>
      </c>
      <c r="AX405" s="31">
        <f t="shared" si="180"/>
        <v>0</v>
      </c>
      <c r="AY405" s="31">
        <f t="shared" si="181"/>
        <v>0</v>
      </c>
      <c r="AZ405" s="31">
        <f t="shared" si="182"/>
        <v>0</v>
      </c>
      <c r="BA405" s="31">
        <f t="shared" si="183"/>
        <v>0</v>
      </c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35"/>
      <c r="CW405" s="35"/>
      <c r="CX405" s="35"/>
      <c r="CY405" s="35"/>
      <c r="CZ405" s="35"/>
      <c r="DA405" s="35"/>
      <c r="DB405" s="35"/>
      <c r="DC405" s="35"/>
      <c r="DD405" s="40"/>
      <c r="DE405" s="40"/>
      <c r="DF405" s="40"/>
      <c r="DG405" s="40"/>
      <c r="DH405" s="40"/>
      <c r="DI405" s="40"/>
      <c r="DJ405" s="40"/>
      <c r="DK405" s="40"/>
      <c r="DL405" s="35"/>
      <c r="DM405" s="35"/>
      <c r="DN405" s="35"/>
      <c r="DO405" s="35"/>
      <c r="DP405" s="35"/>
      <c r="DQ405" s="35"/>
      <c r="DR405" s="35"/>
      <c r="DS405" s="35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40"/>
      <c r="ES405" s="40"/>
      <c r="ET405" s="40"/>
      <c r="EU405" s="40"/>
      <c r="EV405" s="40"/>
      <c r="EW405" s="40"/>
      <c r="EX405" s="40"/>
      <c r="EY405" s="40"/>
      <c r="EZ405" s="35"/>
      <c r="FA405" s="35"/>
      <c r="FB405" s="35"/>
      <c r="FC405" s="35"/>
      <c r="FD405" s="35"/>
      <c r="FE405" s="35"/>
      <c r="FF405" s="35"/>
      <c r="FG405" s="35"/>
    </row>
    <row r="406" spans="1:163">
      <c r="A406" s="62">
        <v>278</v>
      </c>
      <c r="E406" s="63" t="s">
        <v>218</v>
      </c>
      <c r="F406" s="56" t="s">
        <v>95</v>
      </c>
      <c r="G406" s="70" t="s">
        <v>653</v>
      </c>
      <c r="H406" s="66" t="str">
        <f t="shared" si="169"/>
        <v xml:space="preserve"> 197</v>
      </c>
      <c r="I406" s="67" t="s">
        <v>653</v>
      </c>
      <c r="J406" s="68">
        <f t="shared" si="170"/>
        <v>0</v>
      </c>
      <c r="K406" s="63" t="s">
        <v>350</v>
      </c>
      <c r="L406" s="1" t="s">
        <v>46</v>
      </c>
      <c r="O406" s="88" t="s">
        <v>790</v>
      </c>
      <c r="P406" s="89">
        <v>0</v>
      </c>
      <c r="Q406" s="90">
        <f t="shared" si="184"/>
        <v>80000</v>
      </c>
      <c r="R406" s="76">
        <v>80000</v>
      </c>
      <c r="S406" s="72">
        <f t="shared" si="163"/>
        <v>9050</v>
      </c>
      <c r="T406" s="68"/>
      <c r="U406" s="73">
        <f t="shared" si="164"/>
        <v>70950</v>
      </c>
      <c r="V406" s="76">
        <f>2000+5500+600+200+250+500</f>
        <v>9050</v>
      </c>
      <c r="W406" s="2">
        <f t="shared" si="171"/>
        <v>80000</v>
      </c>
      <c r="Y406" s="81">
        <f t="shared" si="172"/>
        <v>80000</v>
      </c>
      <c r="Z406" s="96">
        <v>0</v>
      </c>
      <c r="AA406" s="97">
        <f>U406-Z406</f>
        <v>70950</v>
      </c>
      <c r="AB406" s="98" t="e">
        <f>AA406/Z406</f>
        <v>#DIV/0!</v>
      </c>
      <c r="AE406" s="2">
        <v>119000</v>
      </c>
      <c r="AF406" s="28">
        <f t="shared" si="168"/>
        <v>0</v>
      </c>
      <c r="AG406" s="55" t="s">
        <v>125</v>
      </c>
      <c r="AI406" s="20" t="s">
        <v>45</v>
      </c>
      <c r="AJ406" s="2">
        <f t="shared" si="173"/>
        <v>-80000</v>
      </c>
      <c r="AN406" s="29" t="e">
        <f t="shared" si="174"/>
        <v>#DIV/0!</v>
      </c>
      <c r="AP406" s="3" t="s">
        <v>29</v>
      </c>
      <c r="AQ406" s="1" t="s">
        <v>190</v>
      </c>
      <c r="AR406" s="31">
        <f t="shared" si="175"/>
        <v>0</v>
      </c>
      <c r="AS406" s="31">
        <f t="shared" si="176"/>
        <v>0</v>
      </c>
      <c r="AT406" s="31">
        <f t="shared" si="167"/>
        <v>0</v>
      </c>
      <c r="AU406" s="31">
        <f t="shared" si="177"/>
        <v>0</v>
      </c>
      <c r="AV406" s="31">
        <f t="shared" si="178"/>
        <v>0</v>
      </c>
      <c r="AW406" s="31">
        <f t="shared" si="179"/>
        <v>0</v>
      </c>
      <c r="AX406" s="31">
        <f t="shared" si="180"/>
        <v>0</v>
      </c>
      <c r="AY406" s="31">
        <f t="shared" si="181"/>
        <v>0</v>
      </c>
      <c r="AZ406" s="31">
        <f t="shared" si="182"/>
        <v>0</v>
      </c>
      <c r="BA406" s="31">
        <f t="shared" si="183"/>
        <v>0</v>
      </c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35"/>
      <c r="CW406" s="35"/>
      <c r="CX406" s="35"/>
      <c r="CY406" s="35"/>
      <c r="CZ406" s="35"/>
      <c r="DA406" s="35"/>
      <c r="DB406" s="35"/>
      <c r="DC406" s="35"/>
      <c r="DD406" s="40"/>
      <c r="DE406" s="40"/>
      <c r="DF406" s="40"/>
      <c r="DG406" s="40"/>
      <c r="DH406" s="40"/>
      <c r="DI406" s="40"/>
      <c r="DJ406" s="40"/>
      <c r="DK406" s="40"/>
      <c r="DL406" s="35"/>
      <c r="DM406" s="35"/>
      <c r="DN406" s="35"/>
      <c r="DO406" s="35"/>
      <c r="DP406" s="35"/>
      <c r="DQ406" s="35"/>
      <c r="DR406" s="35"/>
      <c r="DS406" s="35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40"/>
      <c r="ES406" s="40"/>
      <c r="ET406" s="40"/>
      <c r="EU406" s="40"/>
      <c r="EV406" s="40"/>
      <c r="EW406" s="40"/>
      <c r="EX406" s="40"/>
      <c r="EY406" s="40"/>
      <c r="EZ406" s="35"/>
      <c r="FA406" s="35"/>
      <c r="FB406" s="35"/>
      <c r="FC406" s="35"/>
      <c r="FD406" s="35"/>
      <c r="FE406" s="35"/>
      <c r="FF406" s="35"/>
      <c r="FG406" s="35"/>
    </row>
    <row r="407" spans="1:163">
      <c r="A407" s="60">
        <v>155</v>
      </c>
      <c r="E407" s="63" t="s">
        <v>214</v>
      </c>
      <c r="F407" s="56" t="s">
        <v>56</v>
      </c>
      <c r="G407" s="69" t="s">
        <v>534</v>
      </c>
      <c r="H407" s="66" t="str">
        <f t="shared" si="169"/>
        <v xml:space="preserve"> 983</v>
      </c>
      <c r="I407" s="67" t="s">
        <v>534</v>
      </c>
      <c r="J407" s="68">
        <f t="shared" si="170"/>
        <v>0</v>
      </c>
      <c r="K407" s="63" t="s">
        <v>295</v>
      </c>
      <c r="L407" s="1" t="s">
        <v>46</v>
      </c>
      <c r="O407" s="64" t="s">
        <v>789</v>
      </c>
      <c r="P407" s="82">
        <v>0</v>
      </c>
      <c r="Q407" s="74">
        <f t="shared" si="184"/>
        <v>80000</v>
      </c>
      <c r="R407" s="76">
        <v>80000</v>
      </c>
      <c r="S407" s="72">
        <f t="shared" ref="S407:S470" si="185">R407-U407</f>
        <v>9550</v>
      </c>
      <c r="T407" s="68" t="s">
        <v>791</v>
      </c>
      <c r="U407" s="73">
        <f t="shared" ref="U407:U470" si="186">R407-V407</f>
        <v>70450</v>
      </c>
      <c r="V407" s="76">
        <f>2000+5500+600+200+250+1000</f>
        <v>9550</v>
      </c>
      <c r="W407" s="2">
        <f t="shared" si="171"/>
        <v>80000</v>
      </c>
      <c r="Y407" s="80">
        <f t="shared" si="172"/>
        <v>80000</v>
      </c>
      <c r="Z407" s="93"/>
      <c r="AA407" s="93"/>
      <c r="AB407" s="94"/>
      <c r="AE407" s="2">
        <v>96000</v>
      </c>
      <c r="AF407" s="28">
        <f t="shared" si="168"/>
        <v>96000</v>
      </c>
      <c r="AG407" s="55" t="s">
        <v>125</v>
      </c>
      <c r="AI407" s="20" t="s">
        <v>204</v>
      </c>
      <c r="AJ407" s="2">
        <f t="shared" si="173"/>
        <v>16000</v>
      </c>
      <c r="AK407" s="2">
        <f>AVERAGE(AF407,AF348,AF347,AF346,AF342,AF341,AF335,AF334,AF332,AF331,AF330,AF329,AF328,AF326)</f>
        <v>39321.428571428572</v>
      </c>
      <c r="AL407" s="2">
        <f>MIN(AF407,AF348,AF347,AF346,AF342,AF341,AF335,AF334,AF332,AF331,AF330,AF329,AF328,AF326)</f>
        <v>0</v>
      </c>
      <c r="AM407" s="2">
        <f>MAX(AF407,AF348,AF347,AF346,AF342,AF341,AF335,AF334,AF332,AF331,AF330,AF329,AF328,AF326)</f>
        <v>122000</v>
      </c>
      <c r="AN407" s="29">
        <f t="shared" si="174"/>
        <v>0.16666666666666666</v>
      </c>
      <c r="AP407" s="3" t="s">
        <v>29</v>
      </c>
      <c r="AQ407" s="1" t="s">
        <v>145</v>
      </c>
      <c r="AR407" s="31">
        <f t="shared" si="175"/>
        <v>0</v>
      </c>
      <c r="AS407" s="31">
        <f t="shared" si="176"/>
        <v>0</v>
      </c>
      <c r="AT407" s="31">
        <f t="shared" si="167"/>
        <v>0</v>
      </c>
      <c r="AU407" s="31">
        <f t="shared" si="177"/>
        <v>0</v>
      </c>
      <c r="AV407" s="31">
        <f t="shared" si="178"/>
        <v>0</v>
      </c>
      <c r="AW407" s="31">
        <f t="shared" si="179"/>
        <v>0</v>
      </c>
      <c r="AX407" s="31">
        <f t="shared" si="180"/>
        <v>0</v>
      </c>
      <c r="AY407" s="31">
        <f t="shared" si="181"/>
        <v>0</v>
      </c>
      <c r="AZ407" s="31">
        <f t="shared" si="182"/>
        <v>0</v>
      </c>
      <c r="BA407" s="31">
        <f t="shared" si="183"/>
        <v>0</v>
      </c>
      <c r="BB407" s="32">
        <f>IF(BS407&lt;&gt;"", AK407-BS407, 0)</f>
        <v>-54650.571428571428</v>
      </c>
      <c r="BC407" s="32">
        <f>IF(DA407&lt;&gt;"", AK407-DA407, 0)</f>
        <v>-51590.571428571428</v>
      </c>
      <c r="BD407" s="32">
        <f>IF(CE407&lt;&gt;"", AK407-CE407, )</f>
        <v>-55115.571428571428</v>
      </c>
      <c r="BE407" s="32">
        <f>IF(DI407&lt;&gt;"", AK407-DI407, 0)</f>
        <v>-53760.571428571428</v>
      </c>
      <c r="BF407" s="32">
        <f>IF(CQ407&lt;&gt;"",AK407-CQ407, 0)</f>
        <v>0</v>
      </c>
      <c r="BG407" s="32">
        <f>IF(DQ407&lt;&gt;"", AK407-DQ407, 0)</f>
        <v>-50475.571428571428</v>
      </c>
      <c r="BH407" s="32">
        <f>IF(EA407&lt;&gt;"", AK407-EA407, 0)</f>
        <v>-45184.571428571428</v>
      </c>
      <c r="BI407" s="32">
        <f>IF(EM407&lt;&gt;"", AK407-EM407, 0)</f>
        <v>-48104.571428571428</v>
      </c>
      <c r="BJ407" s="32">
        <f>IF(EW407&lt;&gt;"", AK407-EW407, 0)</f>
        <v>-70257.57142857142</v>
      </c>
      <c r="BK407" s="32">
        <f>IF(FE407&lt;&gt;"", AK407-FE407, 0)</f>
        <v>0</v>
      </c>
      <c r="BL407" s="41"/>
      <c r="BM407" s="41"/>
      <c r="BN407" s="41"/>
      <c r="BO407" s="37"/>
      <c r="BP407" s="38"/>
      <c r="BQ407" s="37"/>
      <c r="BR407" s="40"/>
      <c r="BS407" s="41">
        <f>BU407+BT407</f>
        <v>93972</v>
      </c>
      <c r="BT407" s="41">
        <v>3500</v>
      </c>
      <c r="BU407" s="53">
        <v>90472</v>
      </c>
      <c r="BV407" s="53">
        <v>107100</v>
      </c>
      <c r="BW407" s="53">
        <v>85500</v>
      </c>
      <c r="BX407" s="36"/>
      <c r="BY407" s="33"/>
      <c r="BZ407" s="33"/>
      <c r="CA407" s="33"/>
      <c r="CB407" s="34"/>
      <c r="CC407" s="33"/>
      <c r="CD407" s="35"/>
      <c r="CE407" s="36">
        <f>CG407+CF407</f>
        <v>94437</v>
      </c>
      <c r="CF407" s="36">
        <v>3500</v>
      </c>
      <c r="CG407" s="36">
        <v>90937</v>
      </c>
      <c r="CH407" s="36">
        <v>98550</v>
      </c>
      <c r="CI407" s="36">
        <v>82800</v>
      </c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35"/>
      <c r="CW407" s="35"/>
      <c r="CX407" s="35"/>
      <c r="CY407" s="35"/>
      <c r="CZ407" s="35"/>
      <c r="DA407" s="36">
        <v>90912</v>
      </c>
      <c r="DB407" s="36">
        <v>108000</v>
      </c>
      <c r="DC407" s="36">
        <v>81540</v>
      </c>
      <c r="DD407" s="40"/>
      <c r="DE407" s="40"/>
      <c r="DF407" s="40"/>
      <c r="DG407" s="40"/>
      <c r="DH407" s="40"/>
      <c r="DI407" s="41">
        <v>93082</v>
      </c>
      <c r="DJ407" s="41">
        <v>121770</v>
      </c>
      <c r="DK407" s="41">
        <v>72306</v>
      </c>
      <c r="DL407" s="35"/>
      <c r="DM407" s="35"/>
      <c r="DN407" s="35"/>
      <c r="DO407" s="35"/>
      <c r="DP407" s="35"/>
      <c r="DQ407" s="36">
        <v>89797</v>
      </c>
      <c r="DR407" s="36">
        <v>97125</v>
      </c>
      <c r="DS407" s="36">
        <v>72450</v>
      </c>
      <c r="DT407" s="40"/>
      <c r="DU407" s="40"/>
      <c r="DV407" s="40"/>
      <c r="DW407" s="40"/>
      <c r="DX407" s="40"/>
      <c r="DY407" s="40"/>
      <c r="DZ407" s="40"/>
      <c r="EA407" s="41">
        <f>EC407+EB407</f>
        <v>84506</v>
      </c>
      <c r="EB407" s="41">
        <v>3000</v>
      </c>
      <c r="EC407" s="41">
        <v>81506</v>
      </c>
      <c r="ED407" s="41">
        <v>90772</v>
      </c>
      <c r="EE407" s="41">
        <v>73447</v>
      </c>
      <c r="EF407" s="35"/>
      <c r="EG407" s="35"/>
      <c r="EH407" s="35"/>
      <c r="EI407" s="35"/>
      <c r="EJ407" s="35"/>
      <c r="EK407" s="35"/>
      <c r="EL407" s="35"/>
      <c r="EM407" s="49">
        <f>EO407+EN407</f>
        <v>87426</v>
      </c>
      <c r="EN407" s="36">
        <v>3000</v>
      </c>
      <c r="EO407" s="36">
        <v>84426</v>
      </c>
      <c r="EP407" s="36">
        <v>88987</v>
      </c>
      <c r="EQ407" s="36">
        <v>72712</v>
      </c>
      <c r="ER407" s="40"/>
      <c r="ES407" s="40"/>
      <c r="ET407" s="40"/>
      <c r="EU407" s="40"/>
      <c r="EV407" s="40"/>
      <c r="EW407" s="41">
        <v>109579</v>
      </c>
      <c r="EX407" s="41">
        <v>129999</v>
      </c>
      <c r="EY407" s="41">
        <v>94000</v>
      </c>
      <c r="EZ407" s="35"/>
      <c r="FA407" s="35"/>
      <c r="FB407" s="35"/>
      <c r="FC407" s="35"/>
      <c r="FD407" s="35"/>
      <c r="FE407" s="35"/>
      <c r="FF407" s="35"/>
      <c r="FG407" s="35"/>
    </row>
    <row r="408" spans="1:163">
      <c r="A408" s="60">
        <v>149</v>
      </c>
      <c r="E408" s="63" t="s">
        <v>63</v>
      </c>
      <c r="F408" s="56" t="s">
        <v>62</v>
      </c>
      <c r="G408" s="69" t="s">
        <v>528</v>
      </c>
      <c r="H408" s="66" t="str">
        <f t="shared" si="169"/>
        <v xml:space="preserve"> 696</v>
      </c>
      <c r="I408" s="67" t="s">
        <v>528</v>
      </c>
      <c r="J408" s="68">
        <f t="shared" si="170"/>
        <v>0</v>
      </c>
      <c r="K408" s="63" t="s">
        <v>295</v>
      </c>
      <c r="L408" s="1" t="s">
        <v>46</v>
      </c>
      <c r="O408" s="88" t="s">
        <v>790</v>
      </c>
      <c r="P408" s="89">
        <v>0</v>
      </c>
      <c r="Q408" s="90">
        <f t="shared" si="184"/>
        <v>71500</v>
      </c>
      <c r="R408" s="76">
        <v>71500</v>
      </c>
      <c r="S408" s="72">
        <f t="shared" si="185"/>
        <v>7900</v>
      </c>
      <c r="T408" s="68" t="s">
        <v>791</v>
      </c>
      <c r="U408" s="73">
        <f t="shared" si="186"/>
        <v>63600</v>
      </c>
      <c r="V408" s="76">
        <f>2000+4850+600+200+250</f>
        <v>7900</v>
      </c>
      <c r="W408" s="2">
        <f t="shared" si="171"/>
        <v>71500</v>
      </c>
      <c r="Y408" s="81">
        <f t="shared" si="172"/>
        <v>71500</v>
      </c>
      <c r="Z408" s="96">
        <v>0</v>
      </c>
      <c r="AA408" s="97">
        <f>U408-Z408</f>
        <v>63600</v>
      </c>
      <c r="AB408" s="98" t="e">
        <f>AA408/Z408</f>
        <v>#DIV/0!</v>
      </c>
      <c r="AE408" s="2">
        <v>97000</v>
      </c>
      <c r="AF408" s="28">
        <f t="shared" si="168"/>
        <v>0</v>
      </c>
      <c r="AG408" s="55" t="s">
        <v>125</v>
      </c>
      <c r="AI408" s="20" t="s">
        <v>45</v>
      </c>
      <c r="AJ408" s="2">
        <f t="shared" si="173"/>
        <v>-71500</v>
      </c>
      <c r="AN408" s="29" t="e">
        <f t="shared" si="174"/>
        <v>#DIV/0!</v>
      </c>
      <c r="AP408" s="3" t="s">
        <v>29</v>
      </c>
      <c r="AQ408" s="1" t="s">
        <v>155</v>
      </c>
      <c r="AR408" s="31">
        <f t="shared" si="175"/>
        <v>0</v>
      </c>
      <c r="AS408" s="31">
        <f t="shared" si="176"/>
        <v>0</v>
      </c>
      <c r="AT408" s="31">
        <f t="shared" si="167"/>
        <v>0</v>
      </c>
      <c r="AU408" s="31">
        <f t="shared" si="177"/>
        <v>0</v>
      </c>
      <c r="AV408" s="31">
        <f t="shared" si="178"/>
        <v>0</v>
      </c>
      <c r="AW408" s="31">
        <f t="shared" si="179"/>
        <v>0</v>
      </c>
      <c r="AX408" s="31">
        <f t="shared" si="180"/>
        <v>0</v>
      </c>
      <c r="AY408" s="31">
        <f t="shared" si="181"/>
        <v>0</v>
      </c>
      <c r="AZ408" s="31">
        <f t="shared" si="182"/>
        <v>0</v>
      </c>
      <c r="BA408" s="31">
        <f t="shared" si="183"/>
        <v>0</v>
      </c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35"/>
      <c r="CW408" s="35"/>
      <c r="CX408" s="35"/>
      <c r="CY408" s="35"/>
      <c r="CZ408" s="35"/>
      <c r="DA408" s="35"/>
      <c r="DB408" s="35"/>
      <c r="DC408" s="35"/>
      <c r="DD408" s="40"/>
      <c r="DE408" s="40"/>
      <c r="DF408" s="40"/>
      <c r="DG408" s="40"/>
      <c r="DH408" s="40"/>
      <c r="DI408" s="40"/>
      <c r="DJ408" s="40"/>
      <c r="DK408" s="40"/>
      <c r="DL408" s="35"/>
      <c r="DM408" s="35"/>
      <c r="DN408" s="35"/>
      <c r="DO408" s="35"/>
      <c r="DP408" s="35"/>
      <c r="DQ408" s="35"/>
      <c r="DR408" s="35"/>
      <c r="DS408" s="35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40"/>
      <c r="ES408" s="40"/>
      <c r="ET408" s="40"/>
      <c r="EU408" s="40"/>
      <c r="EV408" s="40"/>
      <c r="EW408" s="40"/>
      <c r="EX408" s="40"/>
      <c r="EY408" s="40"/>
      <c r="EZ408" s="35"/>
      <c r="FA408" s="35"/>
      <c r="FB408" s="35"/>
      <c r="FC408" s="35"/>
      <c r="FD408" s="35"/>
      <c r="FE408" s="35"/>
      <c r="FF408" s="35"/>
      <c r="FG408" s="35"/>
    </row>
    <row r="409" spans="1:163">
      <c r="A409" s="60">
        <v>143</v>
      </c>
      <c r="E409" s="63" t="s">
        <v>65</v>
      </c>
      <c r="F409" s="56" t="s">
        <v>124</v>
      </c>
      <c r="G409" s="65" t="s">
        <v>522</v>
      </c>
      <c r="H409" s="66" t="str">
        <f t="shared" si="169"/>
        <v xml:space="preserve"> 206</v>
      </c>
      <c r="I409" s="67" t="s">
        <v>522</v>
      </c>
      <c r="J409" s="68">
        <f t="shared" si="170"/>
        <v>0</v>
      </c>
      <c r="K409" s="63" t="s">
        <v>292</v>
      </c>
      <c r="L409" s="1" t="s">
        <v>46</v>
      </c>
      <c r="O409" s="64" t="s">
        <v>789</v>
      </c>
      <c r="P409" s="82">
        <v>0</v>
      </c>
      <c r="Q409" s="74">
        <f t="shared" si="184"/>
        <v>123500</v>
      </c>
      <c r="R409" s="71">
        <v>123500</v>
      </c>
      <c r="S409" s="72">
        <f t="shared" si="185"/>
        <v>9550</v>
      </c>
      <c r="T409" s="68" t="s">
        <v>791</v>
      </c>
      <c r="U409" s="73">
        <f t="shared" si="186"/>
        <v>113950</v>
      </c>
      <c r="V409" s="73">
        <f>2000+5500+600+200+250+1000</f>
        <v>9550</v>
      </c>
      <c r="W409" s="2">
        <f t="shared" si="171"/>
        <v>123500</v>
      </c>
      <c r="Y409" s="80">
        <f t="shared" si="172"/>
        <v>123500</v>
      </c>
      <c r="Z409" s="93"/>
      <c r="AA409" s="93"/>
      <c r="AB409" s="94"/>
      <c r="AC409" s="2">
        <v>3000</v>
      </c>
      <c r="AD409" s="2">
        <f>Z409+AC409</f>
        <v>3000</v>
      </c>
      <c r="AF409" s="28">
        <f t="shared" si="168"/>
        <v>0</v>
      </c>
      <c r="AG409" s="55" t="s">
        <v>125</v>
      </c>
      <c r="AI409" s="20" t="s">
        <v>45</v>
      </c>
      <c r="AJ409" s="2">
        <f t="shared" si="173"/>
        <v>-123500</v>
      </c>
      <c r="AN409" s="29" t="e">
        <f t="shared" si="174"/>
        <v>#DIV/0!</v>
      </c>
      <c r="AO409" s="29" t="e">
        <f>AN409-AB409</f>
        <v>#DIV/0!</v>
      </c>
      <c r="AP409" s="3" t="s">
        <v>29</v>
      </c>
      <c r="AQ409" s="1" t="s">
        <v>171</v>
      </c>
      <c r="AR409" s="31">
        <f t="shared" si="175"/>
        <v>0</v>
      </c>
      <c r="AS409" s="31">
        <f t="shared" si="176"/>
        <v>0</v>
      </c>
      <c r="AT409" s="31">
        <f t="shared" si="167"/>
        <v>0</v>
      </c>
      <c r="AU409" s="31">
        <f t="shared" si="177"/>
        <v>0</v>
      </c>
      <c r="AV409" s="31">
        <f t="shared" si="178"/>
        <v>0</v>
      </c>
      <c r="AW409" s="31">
        <f t="shared" si="179"/>
        <v>0</v>
      </c>
      <c r="AX409" s="31">
        <f t="shared" si="180"/>
        <v>0</v>
      </c>
      <c r="AY409" s="31">
        <f t="shared" si="181"/>
        <v>0</v>
      </c>
      <c r="AZ409" s="31">
        <f t="shared" si="182"/>
        <v>0</v>
      </c>
      <c r="BA409" s="31">
        <f t="shared" si="183"/>
        <v>0</v>
      </c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41"/>
      <c r="BM409" s="41"/>
      <c r="BN409" s="41"/>
      <c r="BO409" s="37"/>
      <c r="BP409" s="38"/>
      <c r="BQ409" s="37"/>
      <c r="BR409" s="40"/>
      <c r="BS409" s="39"/>
      <c r="BT409" s="39"/>
      <c r="BU409" s="39"/>
      <c r="BV409" s="39"/>
      <c r="BW409" s="39"/>
      <c r="BX409" s="36"/>
      <c r="BY409" s="33"/>
      <c r="BZ409" s="33"/>
      <c r="CA409" s="33"/>
      <c r="CB409" s="34"/>
      <c r="CC409" s="33"/>
      <c r="CD409" s="35"/>
      <c r="CE409" s="48"/>
      <c r="CF409" s="48"/>
      <c r="CG409" s="48"/>
      <c r="CH409" s="48"/>
      <c r="CI409" s="48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35"/>
      <c r="CW409" s="35"/>
      <c r="CX409" s="35"/>
      <c r="CY409" s="35"/>
      <c r="CZ409" s="35"/>
      <c r="DA409" s="35"/>
      <c r="DB409" s="35"/>
      <c r="DC409" s="35"/>
      <c r="DD409" s="40"/>
      <c r="DE409" s="40"/>
      <c r="DF409" s="40"/>
      <c r="DG409" s="40"/>
      <c r="DH409" s="40"/>
      <c r="DI409" s="40"/>
      <c r="DJ409" s="40"/>
      <c r="DK409" s="40"/>
      <c r="DL409" s="35"/>
      <c r="DM409" s="35"/>
      <c r="DN409" s="35"/>
      <c r="DO409" s="35"/>
      <c r="DP409" s="35"/>
      <c r="DQ409" s="35"/>
      <c r="DR409" s="35"/>
      <c r="DS409" s="35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40"/>
      <c r="ES409" s="40"/>
      <c r="ET409" s="40"/>
      <c r="EU409" s="40"/>
      <c r="EV409" s="40"/>
      <c r="EW409" s="40"/>
      <c r="EX409" s="40"/>
      <c r="EY409" s="40"/>
      <c r="EZ409" s="35"/>
      <c r="FA409" s="35"/>
      <c r="FB409" s="35"/>
      <c r="FC409" s="35"/>
      <c r="FD409" s="35"/>
      <c r="FE409" s="35"/>
      <c r="FF409" s="35"/>
      <c r="FG409" s="35"/>
    </row>
    <row r="410" spans="1:163">
      <c r="A410" s="60">
        <v>153</v>
      </c>
      <c r="E410" s="63" t="s">
        <v>63</v>
      </c>
      <c r="F410" s="56" t="s">
        <v>62</v>
      </c>
      <c r="G410" s="65" t="s">
        <v>532</v>
      </c>
      <c r="H410" s="66" t="str">
        <f t="shared" si="169"/>
        <v xml:space="preserve"> 843</v>
      </c>
      <c r="I410" s="67" t="s">
        <v>532</v>
      </c>
      <c r="J410" s="68">
        <f t="shared" si="170"/>
        <v>0</v>
      </c>
      <c r="K410" s="63" t="s">
        <v>292</v>
      </c>
      <c r="L410" s="1" t="s">
        <v>46</v>
      </c>
      <c r="O410" s="64" t="s">
        <v>789</v>
      </c>
      <c r="P410" s="82">
        <v>0</v>
      </c>
      <c r="Q410" s="74">
        <f t="shared" si="184"/>
        <v>117500</v>
      </c>
      <c r="R410" s="71">
        <v>117500</v>
      </c>
      <c r="S410" s="72">
        <f t="shared" si="185"/>
        <v>9150</v>
      </c>
      <c r="T410" s="68" t="s">
        <v>791</v>
      </c>
      <c r="U410" s="73">
        <f t="shared" si="186"/>
        <v>108350</v>
      </c>
      <c r="V410" s="73">
        <f>2000+5100+600+200+250+1000</f>
        <v>9150</v>
      </c>
      <c r="W410" s="2">
        <f t="shared" si="171"/>
        <v>117500</v>
      </c>
      <c r="Y410" s="80">
        <f t="shared" si="172"/>
        <v>117500</v>
      </c>
      <c r="Z410" s="93"/>
      <c r="AA410" s="93"/>
      <c r="AB410" s="94"/>
      <c r="AE410" s="2">
        <v>93000</v>
      </c>
      <c r="AF410" s="28">
        <f t="shared" si="168"/>
        <v>93000</v>
      </c>
      <c r="AG410" s="55" t="s">
        <v>125</v>
      </c>
      <c r="AI410" s="20" t="s">
        <v>45</v>
      </c>
      <c r="AJ410" s="2">
        <f t="shared" si="173"/>
        <v>-24500</v>
      </c>
      <c r="AN410" s="29">
        <f t="shared" si="174"/>
        <v>-0.26344086021505375</v>
      </c>
      <c r="AP410" s="3" t="s">
        <v>29</v>
      </c>
      <c r="AQ410" s="1" t="s">
        <v>155</v>
      </c>
      <c r="AR410" s="31">
        <f t="shared" si="175"/>
        <v>0</v>
      </c>
      <c r="AS410" s="31">
        <f t="shared" si="176"/>
        <v>0</v>
      </c>
      <c r="AT410" s="31">
        <f t="shared" si="167"/>
        <v>0</v>
      </c>
      <c r="AU410" s="31">
        <f t="shared" si="177"/>
        <v>0</v>
      </c>
      <c r="AV410" s="31">
        <f t="shared" si="178"/>
        <v>0</v>
      </c>
      <c r="AW410" s="31">
        <f t="shared" si="179"/>
        <v>0</v>
      </c>
      <c r="AX410" s="31">
        <f t="shared" si="180"/>
        <v>0</v>
      </c>
      <c r="AY410" s="31">
        <f t="shared" si="181"/>
        <v>0</v>
      </c>
      <c r="AZ410" s="31">
        <f t="shared" si="182"/>
        <v>0</v>
      </c>
      <c r="BA410" s="31">
        <f t="shared" si="183"/>
        <v>0</v>
      </c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35"/>
      <c r="CW410" s="35"/>
      <c r="CX410" s="35"/>
      <c r="CY410" s="35"/>
      <c r="CZ410" s="35"/>
      <c r="DA410" s="35"/>
      <c r="DB410" s="35"/>
      <c r="DC410" s="35"/>
      <c r="DD410" s="40"/>
      <c r="DE410" s="40"/>
      <c r="DF410" s="40"/>
      <c r="DG410" s="40"/>
      <c r="DH410" s="40"/>
      <c r="DI410" s="40"/>
      <c r="DJ410" s="40"/>
      <c r="DK410" s="40"/>
      <c r="DL410" s="35"/>
      <c r="DM410" s="35"/>
      <c r="DN410" s="35"/>
      <c r="DO410" s="35"/>
      <c r="DP410" s="35"/>
      <c r="DQ410" s="35"/>
      <c r="DR410" s="35"/>
      <c r="DS410" s="35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40"/>
      <c r="ES410" s="40"/>
      <c r="ET410" s="40"/>
      <c r="EU410" s="40"/>
      <c r="EV410" s="40"/>
      <c r="EW410" s="40"/>
      <c r="EX410" s="40"/>
      <c r="EY410" s="40"/>
      <c r="EZ410" s="35"/>
      <c r="FA410" s="35"/>
      <c r="FB410" s="35"/>
      <c r="FC410" s="35"/>
      <c r="FD410" s="35"/>
      <c r="FE410" s="35"/>
      <c r="FF410" s="35"/>
      <c r="FG410" s="35"/>
    </row>
    <row r="411" spans="1:163">
      <c r="A411" s="60">
        <v>19</v>
      </c>
      <c r="E411" s="63" t="s">
        <v>211</v>
      </c>
      <c r="F411" s="56" t="s">
        <v>114</v>
      </c>
      <c r="G411" s="70" t="s">
        <v>401</v>
      </c>
      <c r="H411" s="66" t="str">
        <f t="shared" si="169"/>
        <v xml:space="preserve"> 823</v>
      </c>
      <c r="I411" s="67" t="s">
        <v>401</v>
      </c>
      <c r="J411" s="68">
        <f t="shared" si="170"/>
        <v>0</v>
      </c>
      <c r="K411" s="63" t="s">
        <v>251</v>
      </c>
      <c r="L411" s="1" t="s">
        <v>46</v>
      </c>
      <c r="O411" s="64" t="s">
        <v>789</v>
      </c>
      <c r="P411" s="82">
        <v>0</v>
      </c>
      <c r="Q411" s="74">
        <f t="shared" si="184"/>
        <v>72500</v>
      </c>
      <c r="R411" s="71">
        <v>72500</v>
      </c>
      <c r="S411" s="72">
        <f t="shared" si="185"/>
        <v>8150</v>
      </c>
      <c r="T411" s="68"/>
      <c r="U411" s="73">
        <f t="shared" si="186"/>
        <v>64350</v>
      </c>
      <c r="V411" s="73">
        <f>2000+5100+600+200+250</f>
        <v>8150</v>
      </c>
      <c r="W411" s="2">
        <f t="shared" si="171"/>
        <v>72500</v>
      </c>
      <c r="Y411" s="80">
        <f t="shared" si="172"/>
        <v>72500</v>
      </c>
      <c r="Z411" s="93"/>
      <c r="AA411" s="93"/>
      <c r="AB411" s="94"/>
      <c r="AE411" s="2">
        <v>96000</v>
      </c>
      <c r="AF411" s="28">
        <f t="shared" si="168"/>
        <v>96000</v>
      </c>
      <c r="AG411" s="55" t="s">
        <v>125</v>
      </c>
      <c r="AI411" s="20" t="s">
        <v>206</v>
      </c>
      <c r="AJ411" s="2">
        <f t="shared" si="173"/>
        <v>23500</v>
      </c>
      <c r="AN411" s="29">
        <f t="shared" si="174"/>
        <v>0.24479166666666666</v>
      </c>
      <c r="AP411" s="3" t="s">
        <v>29</v>
      </c>
      <c r="AQ411" s="1" t="s">
        <v>154</v>
      </c>
      <c r="AR411" s="31">
        <f t="shared" si="175"/>
        <v>0</v>
      </c>
      <c r="AS411" s="31">
        <f t="shared" si="176"/>
        <v>0</v>
      </c>
      <c r="AT411" s="31">
        <f t="shared" si="167"/>
        <v>0</v>
      </c>
      <c r="AU411" s="31">
        <f t="shared" si="177"/>
        <v>0</v>
      </c>
      <c r="AV411" s="31">
        <f t="shared" si="178"/>
        <v>0</v>
      </c>
      <c r="AW411" s="31">
        <f t="shared" si="179"/>
        <v>0</v>
      </c>
      <c r="AX411" s="31">
        <f t="shared" si="180"/>
        <v>0</v>
      </c>
      <c r="AY411" s="31">
        <f t="shared" si="181"/>
        <v>0</v>
      </c>
      <c r="AZ411" s="31">
        <f t="shared" si="182"/>
        <v>0</v>
      </c>
      <c r="BA411" s="31">
        <f t="shared" si="183"/>
        <v>0</v>
      </c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41"/>
      <c r="BM411" s="41"/>
      <c r="BN411" s="41"/>
      <c r="BO411" s="37"/>
      <c r="BP411" s="38"/>
      <c r="BQ411" s="37"/>
      <c r="BR411" s="40"/>
      <c r="BS411" s="39"/>
      <c r="BT411" s="39"/>
      <c r="BU411" s="39"/>
      <c r="BV411" s="39"/>
      <c r="BW411" s="39"/>
      <c r="BX411" s="36"/>
      <c r="BY411" s="33"/>
      <c r="BZ411" s="33"/>
      <c r="CA411" s="33"/>
      <c r="CB411" s="34"/>
      <c r="CC411" s="33"/>
      <c r="CD411" s="35"/>
      <c r="CE411" s="48"/>
      <c r="CF411" s="48"/>
      <c r="CG411" s="48"/>
      <c r="CH411" s="48"/>
      <c r="CI411" s="48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35"/>
      <c r="CW411" s="35"/>
      <c r="CX411" s="35"/>
      <c r="CY411" s="35"/>
      <c r="CZ411" s="35"/>
      <c r="DA411" s="35"/>
      <c r="DB411" s="35"/>
      <c r="DC411" s="35"/>
      <c r="DD411" s="40"/>
      <c r="DE411" s="40"/>
      <c r="DF411" s="40"/>
      <c r="DG411" s="40"/>
      <c r="DH411" s="40"/>
      <c r="DI411" s="40"/>
      <c r="DJ411" s="40"/>
      <c r="DK411" s="40"/>
      <c r="DL411" s="35"/>
      <c r="DM411" s="35"/>
      <c r="DN411" s="35"/>
      <c r="DO411" s="35"/>
      <c r="DP411" s="35"/>
      <c r="DQ411" s="35"/>
      <c r="DR411" s="35"/>
      <c r="DS411" s="35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40"/>
      <c r="ES411" s="40"/>
      <c r="ET411" s="40"/>
      <c r="EU411" s="40"/>
      <c r="EV411" s="40"/>
      <c r="EW411" s="40"/>
      <c r="EX411" s="40"/>
      <c r="EY411" s="40"/>
      <c r="EZ411" s="35"/>
      <c r="FA411" s="35"/>
      <c r="FB411" s="35"/>
      <c r="FC411" s="35"/>
      <c r="FD411" s="35"/>
      <c r="FE411" s="35"/>
      <c r="FF411" s="35"/>
      <c r="FG411" s="35"/>
    </row>
    <row r="412" spans="1:163">
      <c r="A412" s="60">
        <v>165</v>
      </c>
      <c r="E412" s="63" t="s">
        <v>213</v>
      </c>
      <c r="F412" s="56" t="s">
        <v>62</v>
      </c>
      <c r="G412" s="65" t="s">
        <v>544</v>
      </c>
      <c r="H412" s="66" t="str">
        <f t="shared" si="169"/>
        <v xml:space="preserve"> 499</v>
      </c>
      <c r="I412" s="67" t="s">
        <v>544</v>
      </c>
      <c r="J412" s="68">
        <f t="shared" si="170"/>
        <v>0</v>
      </c>
      <c r="K412" s="63" t="s">
        <v>305</v>
      </c>
      <c r="L412" s="1" t="s">
        <v>46</v>
      </c>
      <c r="O412" s="64" t="s">
        <v>789</v>
      </c>
      <c r="P412" s="82">
        <v>0</v>
      </c>
      <c r="Q412" s="74">
        <f t="shared" si="184"/>
        <v>76000</v>
      </c>
      <c r="R412" s="71">
        <v>76000</v>
      </c>
      <c r="S412" s="72">
        <f t="shared" si="185"/>
        <v>8150</v>
      </c>
      <c r="T412" s="68" t="s">
        <v>791</v>
      </c>
      <c r="U412" s="73">
        <f t="shared" si="186"/>
        <v>67850</v>
      </c>
      <c r="V412" s="75">
        <f>2000+5100+600+200+250</f>
        <v>8150</v>
      </c>
      <c r="W412" s="2">
        <f t="shared" si="171"/>
        <v>76000</v>
      </c>
      <c r="Y412" s="80">
        <f t="shared" si="172"/>
        <v>76000</v>
      </c>
      <c r="Z412" s="93"/>
      <c r="AA412" s="93"/>
      <c r="AB412" s="94"/>
      <c r="AE412" s="2">
        <v>102000</v>
      </c>
      <c r="AF412" s="28">
        <f t="shared" si="168"/>
        <v>102000</v>
      </c>
      <c r="AG412" s="55" t="s">
        <v>125</v>
      </c>
      <c r="AI412" s="20" t="s">
        <v>45</v>
      </c>
      <c r="AJ412" s="2">
        <f t="shared" si="173"/>
        <v>26000</v>
      </c>
      <c r="AN412" s="29">
        <f t="shared" si="174"/>
        <v>0.25490196078431371</v>
      </c>
      <c r="AP412" s="3" t="s">
        <v>29</v>
      </c>
      <c r="AQ412" s="1" t="s">
        <v>155</v>
      </c>
      <c r="AR412" s="31">
        <f t="shared" si="175"/>
        <v>0</v>
      </c>
      <c r="AS412" s="31">
        <f t="shared" si="176"/>
        <v>0</v>
      </c>
      <c r="AT412" s="31">
        <f t="shared" si="167"/>
        <v>0</v>
      </c>
      <c r="AU412" s="31">
        <f t="shared" si="177"/>
        <v>0</v>
      </c>
      <c r="AV412" s="31">
        <f t="shared" si="178"/>
        <v>0</v>
      </c>
      <c r="AW412" s="31">
        <f t="shared" si="179"/>
        <v>0</v>
      </c>
      <c r="AX412" s="31">
        <f t="shared" si="180"/>
        <v>0</v>
      </c>
      <c r="AY412" s="31">
        <f t="shared" si="181"/>
        <v>0</v>
      </c>
      <c r="AZ412" s="31">
        <f t="shared" si="182"/>
        <v>0</v>
      </c>
      <c r="BA412" s="31">
        <f t="shared" si="183"/>
        <v>0</v>
      </c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35"/>
      <c r="CW412" s="35"/>
      <c r="CX412" s="35"/>
      <c r="CY412" s="35"/>
      <c r="CZ412" s="35"/>
      <c r="DA412" s="35"/>
      <c r="DB412" s="35"/>
      <c r="DC412" s="35"/>
      <c r="DD412" s="40"/>
      <c r="DE412" s="40"/>
      <c r="DF412" s="40"/>
      <c r="DG412" s="40"/>
      <c r="DH412" s="40"/>
      <c r="DI412" s="40"/>
      <c r="DJ412" s="40"/>
      <c r="DK412" s="40"/>
      <c r="DL412" s="35"/>
      <c r="DM412" s="35"/>
      <c r="DN412" s="35"/>
      <c r="DO412" s="35"/>
      <c r="DP412" s="35"/>
      <c r="DQ412" s="35"/>
      <c r="DR412" s="35"/>
      <c r="DS412" s="35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40"/>
      <c r="ES412" s="40"/>
      <c r="ET412" s="40"/>
      <c r="EU412" s="40"/>
      <c r="EV412" s="40"/>
      <c r="EW412" s="40"/>
      <c r="EX412" s="40"/>
      <c r="EY412" s="40"/>
      <c r="EZ412" s="35"/>
      <c r="FA412" s="35"/>
      <c r="FB412" s="35"/>
      <c r="FC412" s="35"/>
      <c r="FD412" s="35"/>
      <c r="FE412" s="35"/>
      <c r="FF412" s="35"/>
      <c r="FG412" s="35"/>
    </row>
    <row r="413" spans="1:163">
      <c r="A413" s="60">
        <v>167</v>
      </c>
      <c r="E413" s="63" t="s">
        <v>215</v>
      </c>
      <c r="F413" s="56" t="s">
        <v>62</v>
      </c>
      <c r="G413" s="65" t="s">
        <v>546</v>
      </c>
      <c r="H413" s="66" t="str">
        <f t="shared" si="169"/>
        <v xml:space="preserve"> 335</v>
      </c>
      <c r="I413" s="67" t="s">
        <v>546</v>
      </c>
      <c r="J413" s="68">
        <f t="shared" si="170"/>
        <v>0</v>
      </c>
      <c r="K413" s="63" t="s">
        <v>305</v>
      </c>
      <c r="L413" s="1" t="s">
        <v>46</v>
      </c>
      <c r="O413" s="64" t="s">
        <v>789</v>
      </c>
      <c r="P413" s="82">
        <v>0</v>
      </c>
      <c r="Q413" s="74">
        <f t="shared" si="184"/>
        <v>76000</v>
      </c>
      <c r="R413" s="71">
        <v>76000</v>
      </c>
      <c r="S413" s="72">
        <f t="shared" si="185"/>
        <v>8150</v>
      </c>
      <c r="T413" s="68" t="s">
        <v>791</v>
      </c>
      <c r="U413" s="73">
        <f t="shared" si="186"/>
        <v>67850</v>
      </c>
      <c r="V413" s="75">
        <f>2000+5100+600+200+250</f>
        <v>8150</v>
      </c>
      <c r="W413" s="2">
        <f t="shared" si="171"/>
        <v>76000</v>
      </c>
      <c r="Y413" s="80">
        <f t="shared" si="172"/>
        <v>76000</v>
      </c>
      <c r="Z413" s="93"/>
      <c r="AA413" s="93"/>
      <c r="AB413" s="94"/>
      <c r="AE413" s="2">
        <v>99000</v>
      </c>
      <c r="AF413" s="28">
        <f t="shared" si="168"/>
        <v>99000</v>
      </c>
      <c r="AG413" s="55" t="s">
        <v>125</v>
      </c>
      <c r="AI413" s="20" t="s">
        <v>45</v>
      </c>
      <c r="AJ413" s="2">
        <f t="shared" si="173"/>
        <v>23000</v>
      </c>
      <c r="AN413" s="29">
        <f t="shared" si="174"/>
        <v>0.23232323232323232</v>
      </c>
      <c r="AP413" s="3" t="s">
        <v>29</v>
      </c>
      <c r="AQ413" s="1" t="s">
        <v>155</v>
      </c>
      <c r="AR413" s="31">
        <f t="shared" si="175"/>
        <v>0</v>
      </c>
      <c r="AS413" s="31">
        <f t="shared" si="176"/>
        <v>0</v>
      </c>
      <c r="AT413" s="31">
        <f t="shared" si="167"/>
        <v>0</v>
      </c>
      <c r="AU413" s="31">
        <f t="shared" si="177"/>
        <v>0</v>
      </c>
      <c r="AV413" s="31">
        <f t="shared" si="178"/>
        <v>0</v>
      </c>
      <c r="AW413" s="31">
        <f t="shared" si="179"/>
        <v>0</v>
      </c>
      <c r="AX413" s="31">
        <f t="shared" si="180"/>
        <v>0</v>
      </c>
      <c r="AY413" s="31">
        <f t="shared" si="181"/>
        <v>0</v>
      </c>
      <c r="AZ413" s="31">
        <f t="shared" si="182"/>
        <v>0</v>
      </c>
      <c r="BA413" s="31">
        <f t="shared" si="183"/>
        <v>0</v>
      </c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35"/>
      <c r="CW413" s="35"/>
      <c r="CX413" s="35"/>
      <c r="CY413" s="35"/>
      <c r="CZ413" s="35"/>
      <c r="DA413" s="35"/>
      <c r="DB413" s="35"/>
      <c r="DC413" s="35"/>
      <c r="DD413" s="40"/>
      <c r="DE413" s="40"/>
      <c r="DF413" s="40"/>
      <c r="DG413" s="40"/>
      <c r="DH413" s="40"/>
      <c r="DI413" s="40"/>
      <c r="DJ413" s="40"/>
      <c r="DK413" s="40"/>
      <c r="DL413" s="35"/>
      <c r="DM413" s="35"/>
      <c r="DN413" s="35"/>
      <c r="DO413" s="35"/>
      <c r="DP413" s="35"/>
      <c r="DQ413" s="35"/>
      <c r="DR413" s="35"/>
      <c r="DS413" s="35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40"/>
      <c r="ES413" s="40"/>
      <c r="ET413" s="40"/>
      <c r="EU413" s="40"/>
      <c r="EV413" s="40"/>
      <c r="EW413" s="40"/>
      <c r="EX413" s="40"/>
      <c r="EY413" s="40"/>
      <c r="EZ413" s="35"/>
      <c r="FA413" s="35"/>
      <c r="FB413" s="35"/>
      <c r="FC413" s="35"/>
      <c r="FD413" s="35"/>
      <c r="FE413" s="35"/>
      <c r="FF413" s="35"/>
      <c r="FG413" s="35"/>
    </row>
    <row r="414" spans="1:163">
      <c r="A414" s="62">
        <v>273</v>
      </c>
      <c r="E414" s="63" t="s">
        <v>214</v>
      </c>
      <c r="F414" s="56" t="s">
        <v>95</v>
      </c>
      <c r="G414" s="70" t="s">
        <v>647</v>
      </c>
      <c r="H414" s="66" t="str">
        <f t="shared" si="169"/>
        <v xml:space="preserve"> 867</v>
      </c>
      <c r="I414" s="67" t="s">
        <v>647</v>
      </c>
      <c r="J414" s="68">
        <f t="shared" si="170"/>
        <v>0</v>
      </c>
      <c r="K414" s="63" t="s">
        <v>348</v>
      </c>
      <c r="L414" s="1" t="s">
        <v>46</v>
      </c>
      <c r="O414" s="88" t="s">
        <v>790</v>
      </c>
      <c r="P414" s="89">
        <v>84000</v>
      </c>
      <c r="Q414" s="90">
        <f t="shared" si="184"/>
        <v>0</v>
      </c>
      <c r="R414" s="71"/>
      <c r="S414" s="72">
        <f t="shared" si="185"/>
        <v>0</v>
      </c>
      <c r="T414" s="68"/>
      <c r="U414" s="73">
        <f t="shared" si="186"/>
        <v>0</v>
      </c>
      <c r="V414" s="73"/>
      <c r="W414" s="2">
        <f t="shared" si="171"/>
        <v>-84000</v>
      </c>
      <c r="Y414" s="81">
        <f t="shared" si="172"/>
        <v>0</v>
      </c>
      <c r="Z414" s="96">
        <v>0</v>
      </c>
      <c r="AA414" s="97">
        <f>U414-Z414</f>
        <v>0</v>
      </c>
      <c r="AB414" s="98" t="e">
        <f>AA414/Z414</f>
        <v>#DIV/0!</v>
      </c>
      <c r="AE414" s="2">
        <v>121000</v>
      </c>
      <c r="AF414" s="28">
        <f t="shared" si="168"/>
        <v>0</v>
      </c>
      <c r="AG414" s="55" t="s">
        <v>125</v>
      </c>
      <c r="AI414" s="20" t="s">
        <v>45</v>
      </c>
      <c r="AJ414" s="2">
        <f t="shared" si="173"/>
        <v>0</v>
      </c>
      <c r="AN414" s="29" t="e">
        <f t="shared" si="174"/>
        <v>#DIV/0!</v>
      </c>
      <c r="AP414" s="3" t="s">
        <v>29</v>
      </c>
      <c r="AQ414" s="1" t="s">
        <v>190</v>
      </c>
      <c r="AR414" s="31">
        <f t="shared" si="175"/>
        <v>0</v>
      </c>
      <c r="AS414" s="31">
        <f t="shared" si="176"/>
        <v>0</v>
      </c>
      <c r="AT414" s="31">
        <f t="shared" si="167"/>
        <v>0</v>
      </c>
      <c r="AU414" s="31">
        <f t="shared" si="177"/>
        <v>0</v>
      </c>
      <c r="AV414" s="31">
        <f t="shared" si="178"/>
        <v>0</v>
      </c>
      <c r="AW414" s="31">
        <f t="shared" si="179"/>
        <v>0</v>
      </c>
      <c r="AX414" s="31">
        <f t="shared" si="180"/>
        <v>0</v>
      </c>
      <c r="AY414" s="31">
        <f t="shared" si="181"/>
        <v>0</v>
      </c>
      <c r="AZ414" s="31">
        <f t="shared" si="182"/>
        <v>0</v>
      </c>
      <c r="BA414" s="31">
        <f t="shared" si="183"/>
        <v>0</v>
      </c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35"/>
      <c r="CW414" s="35"/>
      <c r="CX414" s="35"/>
      <c r="CY414" s="35"/>
      <c r="CZ414" s="35"/>
      <c r="DA414" s="35"/>
      <c r="DB414" s="35"/>
      <c r="DC414" s="35"/>
      <c r="DD414" s="40"/>
      <c r="DE414" s="40"/>
      <c r="DF414" s="40"/>
      <c r="DG414" s="40"/>
      <c r="DH414" s="40"/>
      <c r="DI414" s="40"/>
      <c r="DJ414" s="40"/>
      <c r="DK414" s="40"/>
      <c r="DL414" s="35"/>
      <c r="DM414" s="35"/>
      <c r="DN414" s="35"/>
      <c r="DO414" s="35"/>
      <c r="DP414" s="35"/>
      <c r="DQ414" s="35"/>
      <c r="DR414" s="35"/>
      <c r="DS414" s="35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40"/>
      <c r="ES414" s="40"/>
      <c r="ET414" s="40"/>
      <c r="EU414" s="40"/>
      <c r="EV414" s="40"/>
      <c r="EW414" s="40"/>
      <c r="EX414" s="40"/>
      <c r="EY414" s="40"/>
      <c r="EZ414" s="35"/>
      <c r="FA414" s="35"/>
      <c r="FB414" s="35"/>
      <c r="FC414" s="35"/>
      <c r="FD414" s="35"/>
      <c r="FE414" s="35"/>
      <c r="FF414" s="35"/>
      <c r="FG414" s="35"/>
    </row>
    <row r="415" spans="1:163">
      <c r="A415" s="60">
        <v>200</v>
      </c>
      <c r="E415" s="63"/>
      <c r="F415" s="56" t="s">
        <v>65</v>
      </c>
      <c r="G415" s="70" t="s">
        <v>580</v>
      </c>
      <c r="H415" s="66" t="str">
        <f t="shared" si="169"/>
        <v/>
      </c>
      <c r="I415" s="67" t="s">
        <v>580</v>
      </c>
      <c r="J415" s="68">
        <f t="shared" si="170"/>
        <v>0</v>
      </c>
      <c r="K415" s="63"/>
      <c r="L415" s="1" t="s">
        <v>46</v>
      </c>
      <c r="O415" s="64"/>
      <c r="P415" s="82">
        <v>0</v>
      </c>
      <c r="Q415" s="74">
        <f t="shared" si="184"/>
        <v>0</v>
      </c>
      <c r="R415" s="71"/>
      <c r="S415" s="72">
        <f t="shared" si="185"/>
        <v>0</v>
      </c>
      <c r="T415" s="68"/>
      <c r="U415" s="73">
        <f t="shared" si="186"/>
        <v>0</v>
      </c>
      <c r="V415" s="75"/>
      <c r="W415" s="2">
        <f t="shared" si="171"/>
        <v>0</v>
      </c>
      <c r="Y415" s="2">
        <f t="shared" si="172"/>
        <v>0</v>
      </c>
      <c r="Z415" s="95"/>
      <c r="AA415" s="91"/>
      <c r="AB415" s="92"/>
      <c r="AE415" s="2">
        <v>119000</v>
      </c>
      <c r="AF415" s="28">
        <f t="shared" si="168"/>
        <v>0</v>
      </c>
      <c r="AJ415" s="2">
        <f t="shared" si="173"/>
        <v>0</v>
      </c>
      <c r="AN415" s="29" t="e">
        <f t="shared" si="174"/>
        <v>#DIV/0!</v>
      </c>
      <c r="AP415" s="3" t="s">
        <v>158</v>
      </c>
      <c r="AR415" s="31">
        <f t="shared" si="175"/>
        <v>0</v>
      </c>
      <c r="AS415" s="31">
        <f t="shared" si="176"/>
        <v>0</v>
      </c>
      <c r="AT415" s="31">
        <f>IF(BX415&lt;&gt;"", AF415-BX415, 0)</f>
        <v>0</v>
      </c>
      <c r="AU415" s="31">
        <f t="shared" si="177"/>
        <v>0</v>
      </c>
      <c r="AV415" s="31">
        <f t="shared" si="178"/>
        <v>0</v>
      </c>
      <c r="AW415" s="31">
        <f t="shared" si="179"/>
        <v>0</v>
      </c>
      <c r="AX415" s="31">
        <f t="shared" si="180"/>
        <v>0</v>
      </c>
      <c r="AY415" s="31">
        <f t="shared" si="181"/>
        <v>0</v>
      </c>
      <c r="AZ415" s="31">
        <f t="shared" si="182"/>
        <v>0</v>
      </c>
      <c r="BA415" s="31">
        <f t="shared" si="183"/>
        <v>0</v>
      </c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41"/>
      <c r="BM415" s="41"/>
      <c r="BN415" s="41"/>
      <c r="BO415" s="37"/>
      <c r="BP415" s="38"/>
      <c r="BQ415" s="37"/>
      <c r="BR415" s="40"/>
      <c r="BS415" s="39"/>
      <c r="BT415" s="39"/>
      <c r="BU415" s="39"/>
      <c r="BV415" s="39"/>
      <c r="BW415" s="39"/>
      <c r="BX415" s="36"/>
      <c r="BY415" s="33"/>
      <c r="BZ415" s="33"/>
      <c r="CA415" s="33"/>
      <c r="CB415" s="34"/>
      <c r="CC415" s="33"/>
      <c r="CD415" s="35"/>
      <c r="CE415" s="48"/>
      <c r="CF415" s="48"/>
      <c r="CG415" s="48"/>
      <c r="CH415" s="48"/>
      <c r="CI415" s="48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35"/>
      <c r="CW415" s="35"/>
      <c r="CX415" s="35"/>
      <c r="CY415" s="35"/>
      <c r="CZ415" s="35"/>
      <c r="DA415" s="35"/>
      <c r="DB415" s="35"/>
      <c r="DC415" s="35"/>
      <c r="DD415" s="40"/>
      <c r="DE415" s="40"/>
      <c r="DF415" s="40"/>
      <c r="DG415" s="40"/>
      <c r="DH415" s="40"/>
      <c r="DI415" s="40"/>
      <c r="DJ415" s="40"/>
      <c r="DK415" s="40"/>
      <c r="DL415" s="35"/>
      <c r="DM415" s="35"/>
      <c r="DN415" s="35"/>
      <c r="DO415" s="35"/>
      <c r="DP415" s="35"/>
      <c r="DQ415" s="35"/>
      <c r="DR415" s="35"/>
      <c r="DS415" s="35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40"/>
      <c r="ES415" s="40"/>
      <c r="ET415" s="40"/>
      <c r="EU415" s="40"/>
      <c r="EV415" s="40"/>
      <c r="EW415" s="40"/>
      <c r="EX415" s="40"/>
      <c r="EY415" s="40"/>
      <c r="EZ415" s="35"/>
      <c r="FA415" s="35"/>
      <c r="FB415" s="35"/>
      <c r="FC415" s="35"/>
      <c r="FD415" s="35"/>
      <c r="FE415" s="35"/>
      <c r="FF415" s="35"/>
      <c r="FG415" s="35"/>
    </row>
    <row r="416" spans="1:163">
      <c r="A416" s="62">
        <v>227</v>
      </c>
      <c r="E416" s="63"/>
      <c r="F416" s="56" t="s">
        <v>174</v>
      </c>
      <c r="G416" s="70" t="s">
        <v>580</v>
      </c>
      <c r="H416" s="66" t="str">
        <f t="shared" si="169"/>
        <v/>
      </c>
      <c r="I416" s="67" t="s">
        <v>580</v>
      </c>
      <c r="J416" s="68">
        <f t="shared" si="170"/>
        <v>0</v>
      </c>
      <c r="K416" s="63"/>
      <c r="L416" s="1" t="s">
        <v>46</v>
      </c>
      <c r="O416" s="64"/>
      <c r="P416" s="82">
        <v>0</v>
      </c>
      <c r="Q416" s="74">
        <f t="shared" si="184"/>
        <v>0</v>
      </c>
      <c r="R416" s="71"/>
      <c r="S416" s="72">
        <f t="shared" si="185"/>
        <v>0</v>
      </c>
      <c r="T416" s="68"/>
      <c r="U416" s="73">
        <f t="shared" si="186"/>
        <v>0</v>
      </c>
      <c r="V416" s="73"/>
      <c r="W416" s="2">
        <f t="shared" si="171"/>
        <v>0</v>
      </c>
      <c r="Y416" s="2">
        <f t="shared" si="172"/>
        <v>0</v>
      </c>
      <c r="Z416" s="91"/>
      <c r="AA416" s="91"/>
      <c r="AB416" s="92"/>
      <c r="AC416" s="2">
        <v>4000</v>
      </c>
      <c r="AD416" s="2">
        <f>Z416+AC416</f>
        <v>4000</v>
      </c>
      <c r="AF416" s="28">
        <f t="shared" si="168"/>
        <v>4000</v>
      </c>
      <c r="AG416" s="55" t="s">
        <v>125</v>
      </c>
      <c r="AI416" s="20" t="s">
        <v>206</v>
      </c>
      <c r="AJ416" s="2">
        <f t="shared" si="173"/>
        <v>4000</v>
      </c>
      <c r="AN416" s="29">
        <f t="shared" si="174"/>
        <v>1</v>
      </c>
      <c r="AO416" s="29">
        <f>AN416-AB416</f>
        <v>1</v>
      </c>
      <c r="AP416" s="3" t="s">
        <v>140</v>
      </c>
      <c r="AQ416" s="1" t="s">
        <v>179</v>
      </c>
      <c r="AR416" s="31">
        <f t="shared" si="175"/>
        <v>-137150</v>
      </c>
      <c r="AS416" s="31">
        <f t="shared" si="176"/>
        <v>-142880</v>
      </c>
      <c r="AT416" s="31">
        <f t="shared" ref="AT416:AT422" si="187">IF(BZ416&lt;&gt;"", AF416-BZ416, 0)</f>
        <v>0</v>
      </c>
      <c r="AU416" s="31">
        <f t="shared" si="177"/>
        <v>-163929</v>
      </c>
      <c r="AV416" s="31">
        <f t="shared" si="178"/>
        <v>0</v>
      </c>
      <c r="AW416" s="31">
        <f t="shared" si="179"/>
        <v>0</v>
      </c>
      <c r="AX416" s="31">
        <f t="shared" si="180"/>
        <v>0</v>
      </c>
      <c r="AY416" s="31">
        <f t="shared" si="181"/>
        <v>0</v>
      </c>
      <c r="AZ416" s="31">
        <f t="shared" si="182"/>
        <v>0</v>
      </c>
      <c r="BA416" s="31">
        <f t="shared" si="183"/>
        <v>0</v>
      </c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41">
        <v>138150</v>
      </c>
      <c r="BM416" s="41">
        <v>3000</v>
      </c>
      <c r="BN416" s="41">
        <f>BL416+BM416</f>
        <v>141150</v>
      </c>
      <c r="BO416" s="37">
        <f>BN416-Y416</f>
        <v>141150</v>
      </c>
      <c r="BP416" s="38">
        <f>BO416/BL416</f>
        <v>1.0217155266015201</v>
      </c>
      <c r="BQ416" s="37">
        <f>AF416-BN416</f>
        <v>-137150</v>
      </c>
      <c r="BR416" s="40" t="s">
        <v>29</v>
      </c>
      <c r="BS416" s="39"/>
      <c r="BT416" s="39"/>
      <c r="BU416" s="39"/>
      <c r="BV416" s="39"/>
      <c r="BW416" s="39"/>
      <c r="BX416" s="48"/>
      <c r="BY416" s="48"/>
      <c r="BZ416" s="48"/>
      <c r="CA416" s="48"/>
      <c r="CB416" s="48"/>
      <c r="CC416" s="48"/>
      <c r="CD416" s="35"/>
      <c r="CE416" s="48"/>
      <c r="CF416" s="48"/>
      <c r="CG416" s="48"/>
      <c r="CH416" s="48"/>
      <c r="CI416" s="48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36">
        <v>146880</v>
      </c>
      <c r="CW416" s="36">
        <f>CV416-Y416</f>
        <v>146880</v>
      </c>
      <c r="CX416" s="46">
        <f>CW416/CV416</f>
        <v>1</v>
      </c>
      <c r="CY416" s="36">
        <f>AF416-CV416</f>
        <v>-142880</v>
      </c>
      <c r="CZ416" s="35" t="s">
        <v>29</v>
      </c>
      <c r="DA416" s="35"/>
      <c r="DB416" s="35"/>
      <c r="DC416" s="35"/>
      <c r="DD416" s="41">
        <v>167929</v>
      </c>
      <c r="DE416" s="37">
        <f>DD416-Y416</f>
        <v>167929</v>
      </c>
      <c r="DF416" s="38">
        <f>DE416/DD416</f>
        <v>1</v>
      </c>
      <c r="DG416" s="37">
        <f>AF416-DD416</f>
        <v>-163929</v>
      </c>
      <c r="DH416" s="40" t="s">
        <v>29</v>
      </c>
      <c r="DI416" s="40"/>
      <c r="DJ416" s="40"/>
      <c r="DK416" s="40"/>
      <c r="DL416" s="35"/>
      <c r="DM416" s="35"/>
      <c r="DN416" s="35"/>
      <c r="DO416" s="35"/>
      <c r="DP416" s="35"/>
      <c r="DQ416" s="35"/>
      <c r="DR416" s="35"/>
      <c r="DS416" s="35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40"/>
      <c r="ES416" s="40"/>
      <c r="ET416" s="40"/>
      <c r="EU416" s="40"/>
      <c r="EV416" s="40"/>
      <c r="EW416" s="40"/>
      <c r="EX416" s="40"/>
      <c r="EY416" s="40"/>
      <c r="EZ416" s="35"/>
      <c r="FA416" s="35"/>
      <c r="FB416" s="35"/>
      <c r="FC416" s="35"/>
      <c r="FD416" s="35"/>
      <c r="FE416" s="35"/>
      <c r="FF416" s="35"/>
      <c r="FG416" s="35"/>
    </row>
    <row r="417" spans="1:163">
      <c r="A417" s="62">
        <v>229</v>
      </c>
      <c r="E417" s="63"/>
      <c r="F417" s="56" t="s">
        <v>94</v>
      </c>
      <c r="G417" s="70" t="s">
        <v>580</v>
      </c>
      <c r="H417" s="66" t="str">
        <f t="shared" si="169"/>
        <v/>
      </c>
      <c r="I417" s="67" t="s">
        <v>580</v>
      </c>
      <c r="J417" s="68">
        <f t="shared" si="170"/>
        <v>0</v>
      </c>
      <c r="K417" s="63"/>
      <c r="L417" s="1" t="s">
        <v>46</v>
      </c>
      <c r="O417" s="64"/>
      <c r="P417" s="82">
        <v>0</v>
      </c>
      <c r="Q417" s="74">
        <f t="shared" si="184"/>
        <v>0</v>
      </c>
      <c r="R417" s="71"/>
      <c r="S417" s="72">
        <f t="shared" si="185"/>
        <v>0</v>
      </c>
      <c r="T417" s="68"/>
      <c r="U417" s="73">
        <f t="shared" si="186"/>
        <v>0</v>
      </c>
      <c r="V417" s="73"/>
      <c r="W417" s="2">
        <f t="shared" si="171"/>
        <v>0</v>
      </c>
      <c r="Y417" s="2">
        <f t="shared" si="172"/>
        <v>0</v>
      </c>
      <c r="Z417" s="91"/>
      <c r="AA417" s="91"/>
      <c r="AB417" s="92"/>
      <c r="AE417" s="2">
        <v>165000</v>
      </c>
      <c r="AF417" s="28">
        <f t="shared" si="168"/>
        <v>0</v>
      </c>
      <c r="AG417" s="55" t="s">
        <v>125</v>
      </c>
      <c r="AI417" s="20" t="s">
        <v>45</v>
      </c>
      <c r="AJ417" s="2">
        <f t="shared" si="173"/>
        <v>0</v>
      </c>
      <c r="AN417" s="29" t="e">
        <f t="shared" si="174"/>
        <v>#DIV/0!</v>
      </c>
      <c r="AP417" s="3" t="s">
        <v>158</v>
      </c>
      <c r="AR417" s="31">
        <f t="shared" si="175"/>
        <v>0</v>
      </c>
      <c r="AS417" s="31">
        <f t="shared" si="176"/>
        <v>0</v>
      </c>
      <c r="AT417" s="31">
        <f t="shared" si="187"/>
        <v>0</v>
      </c>
      <c r="AU417" s="31">
        <f t="shared" si="177"/>
        <v>0</v>
      </c>
      <c r="AV417" s="31">
        <f t="shared" si="178"/>
        <v>0</v>
      </c>
      <c r="AW417" s="31">
        <f t="shared" si="179"/>
        <v>0</v>
      </c>
      <c r="AX417" s="31">
        <f t="shared" si="180"/>
        <v>0</v>
      </c>
      <c r="AY417" s="31">
        <f t="shared" si="181"/>
        <v>0</v>
      </c>
      <c r="AZ417" s="31">
        <f t="shared" si="182"/>
        <v>0</v>
      </c>
      <c r="BA417" s="31">
        <f t="shared" si="183"/>
        <v>0</v>
      </c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41"/>
      <c r="BM417" s="41"/>
      <c r="BN417" s="41"/>
      <c r="BO417" s="37"/>
      <c r="BP417" s="38"/>
      <c r="BQ417" s="37"/>
      <c r="BR417" s="40"/>
      <c r="BS417" s="39"/>
      <c r="BT417" s="39"/>
      <c r="BU417" s="39"/>
      <c r="BV417" s="39"/>
      <c r="BW417" s="39"/>
      <c r="BX417" s="36"/>
      <c r="BY417" s="33"/>
      <c r="BZ417" s="33"/>
      <c r="CA417" s="33"/>
      <c r="CB417" s="34"/>
      <c r="CC417" s="33"/>
      <c r="CD417" s="35"/>
      <c r="CE417" s="48"/>
      <c r="CF417" s="48"/>
      <c r="CG417" s="48"/>
      <c r="CH417" s="48"/>
      <c r="CI417" s="48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35"/>
      <c r="CW417" s="35"/>
      <c r="CX417" s="35"/>
      <c r="CY417" s="35"/>
      <c r="CZ417" s="35"/>
      <c r="DA417" s="35"/>
      <c r="DB417" s="35"/>
      <c r="DC417" s="35"/>
      <c r="DD417" s="40"/>
      <c r="DE417" s="40"/>
      <c r="DF417" s="40"/>
      <c r="DG417" s="40"/>
      <c r="DH417" s="40"/>
      <c r="DI417" s="40"/>
      <c r="DJ417" s="40"/>
      <c r="DK417" s="40"/>
      <c r="DL417" s="35"/>
      <c r="DM417" s="35"/>
      <c r="DN417" s="35"/>
      <c r="DO417" s="35"/>
      <c r="DP417" s="35"/>
      <c r="DQ417" s="35"/>
      <c r="DR417" s="35"/>
      <c r="DS417" s="35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40"/>
      <c r="ES417" s="40"/>
      <c r="ET417" s="40"/>
      <c r="EU417" s="40"/>
      <c r="EV417" s="40"/>
      <c r="EW417" s="40"/>
      <c r="EX417" s="40"/>
      <c r="EY417" s="40"/>
      <c r="EZ417" s="35"/>
      <c r="FA417" s="35"/>
      <c r="FB417" s="35"/>
      <c r="FC417" s="35"/>
      <c r="FD417" s="35"/>
      <c r="FE417" s="35"/>
      <c r="FF417" s="35"/>
      <c r="FG417" s="35"/>
    </row>
    <row r="418" spans="1:163">
      <c r="A418" s="62">
        <v>230</v>
      </c>
      <c r="E418" s="63"/>
      <c r="F418" s="56" t="s">
        <v>92</v>
      </c>
      <c r="G418" s="70" t="s">
        <v>580</v>
      </c>
      <c r="H418" s="66" t="str">
        <f t="shared" si="169"/>
        <v/>
      </c>
      <c r="I418" s="67" t="s">
        <v>580</v>
      </c>
      <c r="J418" s="68">
        <f t="shared" si="170"/>
        <v>0</v>
      </c>
      <c r="K418" s="63"/>
      <c r="L418" s="1" t="s">
        <v>46</v>
      </c>
      <c r="O418" s="64"/>
      <c r="P418" s="82">
        <v>0</v>
      </c>
      <c r="Q418" s="74">
        <f t="shared" si="184"/>
        <v>0</v>
      </c>
      <c r="R418" s="71"/>
      <c r="S418" s="72">
        <f t="shared" si="185"/>
        <v>0</v>
      </c>
      <c r="T418" s="68"/>
      <c r="U418" s="73">
        <f t="shared" si="186"/>
        <v>0</v>
      </c>
      <c r="V418" s="73"/>
      <c r="W418" s="2">
        <f t="shared" si="171"/>
        <v>0</v>
      </c>
      <c r="Y418" s="2">
        <f t="shared" si="172"/>
        <v>0</v>
      </c>
      <c r="Z418" s="91"/>
      <c r="AA418" s="91"/>
      <c r="AB418" s="92"/>
      <c r="AE418" s="2">
        <v>130000</v>
      </c>
      <c r="AF418" s="28">
        <f t="shared" si="168"/>
        <v>0</v>
      </c>
      <c r="AG418" s="55" t="s">
        <v>125</v>
      </c>
      <c r="AI418" s="20" t="s">
        <v>45</v>
      </c>
      <c r="AJ418" s="2">
        <f t="shared" si="173"/>
        <v>0</v>
      </c>
      <c r="AN418" s="29" t="e">
        <f t="shared" si="174"/>
        <v>#DIV/0!</v>
      </c>
      <c r="AP418" s="3" t="s">
        <v>29</v>
      </c>
      <c r="AQ418" s="1" t="s">
        <v>190</v>
      </c>
      <c r="AR418" s="31">
        <f t="shared" si="175"/>
        <v>0</v>
      </c>
      <c r="AS418" s="31">
        <f t="shared" si="176"/>
        <v>0</v>
      </c>
      <c r="AT418" s="31">
        <f t="shared" si="187"/>
        <v>0</v>
      </c>
      <c r="AU418" s="31">
        <f t="shared" si="177"/>
        <v>0</v>
      </c>
      <c r="AV418" s="31">
        <f t="shared" si="178"/>
        <v>0</v>
      </c>
      <c r="AW418" s="31">
        <f t="shared" si="179"/>
        <v>0</v>
      </c>
      <c r="AX418" s="31">
        <f t="shared" si="180"/>
        <v>0</v>
      </c>
      <c r="AY418" s="31">
        <f t="shared" si="181"/>
        <v>0</v>
      </c>
      <c r="AZ418" s="31">
        <f t="shared" si="182"/>
        <v>0</v>
      </c>
      <c r="BA418" s="31">
        <f t="shared" si="183"/>
        <v>0</v>
      </c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35"/>
      <c r="CW418" s="35"/>
      <c r="CX418" s="35"/>
      <c r="CY418" s="35"/>
      <c r="CZ418" s="35"/>
      <c r="DA418" s="35"/>
      <c r="DB418" s="35"/>
      <c r="DC418" s="35"/>
      <c r="DD418" s="40"/>
      <c r="DE418" s="40"/>
      <c r="DF418" s="40"/>
      <c r="DG418" s="40"/>
      <c r="DH418" s="40"/>
      <c r="DI418" s="40"/>
      <c r="DJ418" s="40"/>
      <c r="DK418" s="40"/>
      <c r="DL418" s="35"/>
      <c r="DM418" s="35"/>
      <c r="DN418" s="35"/>
      <c r="DO418" s="35"/>
      <c r="DP418" s="35"/>
      <c r="DQ418" s="35"/>
      <c r="DR418" s="35"/>
      <c r="DS418" s="35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40"/>
      <c r="ES418" s="40"/>
      <c r="ET418" s="40"/>
      <c r="EU418" s="40"/>
      <c r="EV418" s="40"/>
      <c r="EW418" s="40"/>
      <c r="EX418" s="40"/>
      <c r="EY418" s="40"/>
      <c r="EZ418" s="35"/>
      <c r="FA418" s="35"/>
      <c r="FB418" s="35"/>
      <c r="FC418" s="35"/>
      <c r="FD418" s="35"/>
      <c r="FE418" s="35"/>
      <c r="FF418" s="35"/>
      <c r="FG418" s="35"/>
    </row>
    <row r="419" spans="1:163">
      <c r="A419" s="62">
        <v>231</v>
      </c>
      <c r="E419" s="63"/>
      <c r="F419" s="56" t="s">
        <v>92</v>
      </c>
      <c r="G419" s="70" t="s">
        <v>580</v>
      </c>
      <c r="H419" s="66" t="str">
        <f t="shared" si="169"/>
        <v/>
      </c>
      <c r="I419" s="67" t="s">
        <v>580</v>
      </c>
      <c r="J419" s="68">
        <f t="shared" si="170"/>
        <v>0</v>
      </c>
      <c r="K419" s="63"/>
      <c r="L419" s="1" t="s">
        <v>46</v>
      </c>
      <c r="O419" s="64"/>
      <c r="P419" s="82">
        <v>0</v>
      </c>
      <c r="Q419" s="74">
        <f t="shared" si="184"/>
        <v>0</v>
      </c>
      <c r="R419" s="71"/>
      <c r="S419" s="72">
        <f t="shared" si="185"/>
        <v>0</v>
      </c>
      <c r="T419" s="68"/>
      <c r="U419" s="73">
        <f t="shared" si="186"/>
        <v>0</v>
      </c>
      <c r="V419" s="73"/>
      <c r="W419" s="2">
        <f t="shared" si="171"/>
        <v>0</v>
      </c>
      <c r="Y419" s="2">
        <f t="shared" si="172"/>
        <v>0</v>
      </c>
      <c r="Z419" s="91"/>
      <c r="AA419" s="91"/>
      <c r="AB419" s="92"/>
      <c r="AE419" s="2">
        <v>130000</v>
      </c>
      <c r="AF419" s="28">
        <f t="shared" si="168"/>
        <v>0</v>
      </c>
      <c r="AG419" s="55" t="s">
        <v>125</v>
      </c>
      <c r="AI419" s="20" t="s">
        <v>45</v>
      </c>
      <c r="AJ419" s="2">
        <f t="shared" si="173"/>
        <v>0</v>
      </c>
      <c r="AN419" s="29" t="e">
        <f t="shared" si="174"/>
        <v>#DIV/0!</v>
      </c>
      <c r="AP419" s="3" t="s">
        <v>29</v>
      </c>
      <c r="AQ419" s="1" t="s">
        <v>190</v>
      </c>
      <c r="AR419" s="31">
        <f t="shared" si="175"/>
        <v>0</v>
      </c>
      <c r="AS419" s="31">
        <f t="shared" si="176"/>
        <v>0</v>
      </c>
      <c r="AT419" s="31">
        <f t="shared" si="187"/>
        <v>0</v>
      </c>
      <c r="AU419" s="31">
        <f t="shared" si="177"/>
        <v>0</v>
      </c>
      <c r="AV419" s="31">
        <f t="shared" si="178"/>
        <v>0</v>
      </c>
      <c r="AW419" s="31">
        <f t="shared" si="179"/>
        <v>0</v>
      </c>
      <c r="AX419" s="31">
        <f t="shared" si="180"/>
        <v>0</v>
      </c>
      <c r="AY419" s="31">
        <f t="shared" si="181"/>
        <v>0</v>
      </c>
      <c r="AZ419" s="31">
        <f t="shared" si="182"/>
        <v>0</v>
      </c>
      <c r="BA419" s="31">
        <f t="shared" si="183"/>
        <v>0</v>
      </c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35"/>
      <c r="CW419" s="35"/>
      <c r="CX419" s="35"/>
      <c r="CY419" s="35"/>
      <c r="CZ419" s="35"/>
      <c r="DA419" s="35"/>
      <c r="DB419" s="35"/>
      <c r="DC419" s="35"/>
      <c r="DD419" s="40"/>
      <c r="DE419" s="40"/>
      <c r="DF419" s="40"/>
      <c r="DG419" s="40"/>
      <c r="DH419" s="40"/>
      <c r="DI419" s="40"/>
      <c r="DJ419" s="40"/>
      <c r="DK419" s="40"/>
      <c r="DL419" s="35"/>
      <c r="DM419" s="35"/>
      <c r="DN419" s="35"/>
      <c r="DO419" s="35"/>
      <c r="DP419" s="35"/>
      <c r="DQ419" s="35"/>
      <c r="DR419" s="35"/>
      <c r="DS419" s="35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40"/>
      <c r="ES419" s="40"/>
      <c r="ET419" s="40"/>
      <c r="EU419" s="40"/>
      <c r="EV419" s="40"/>
      <c r="EW419" s="40"/>
      <c r="EX419" s="40"/>
      <c r="EY419" s="40"/>
      <c r="EZ419" s="35"/>
      <c r="FA419" s="35"/>
      <c r="FB419" s="35"/>
      <c r="FC419" s="35"/>
      <c r="FD419" s="35"/>
      <c r="FE419" s="35"/>
      <c r="FF419" s="35"/>
      <c r="FG419" s="35"/>
    </row>
    <row r="420" spans="1:163">
      <c r="A420" s="62">
        <v>252</v>
      </c>
      <c r="E420" s="63"/>
      <c r="F420" s="56" t="s">
        <v>52</v>
      </c>
      <c r="G420" s="70" t="s">
        <v>580</v>
      </c>
      <c r="H420" s="66" t="str">
        <f t="shared" si="169"/>
        <v/>
      </c>
      <c r="I420" s="67" t="s">
        <v>580</v>
      </c>
      <c r="J420" s="68">
        <f t="shared" si="170"/>
        <v>0</v>
      </c>
      <c r="K420" s="63"/>
      <c r="L420" s="1" t="s">
        <v>46</v>
      </c>
      <c r="O420" s="64"/>
      <c r="P420" s="82">
        <v>0</v>
      </c>
      <c r="Q420" s="74">
        <f t="shared" si="184"/>
        <v>0</v>
      </c>
      <c r="R420" s="71"/>
      <c r="S420" s="72">
        <f t="shared" si="185"/>
        <v>0</v>
      </c>
      <c r="T420" s="68"/>
      <c r="U420" s="73">
        <f t="shared" si="186"/>
        <v>0</v>
      </c>
      <c r="V420" s="75"/>
      <c r="W420" s="2">
        <f t="shared" si="171"/>
        <v>0</v>
      </c>
      <c r="Y420" s="2">
        <f t="shared" si="172"/>
        <v>0</v>
      </c>
      <c r="Z420" s="91"/>
      <c r="AA420" s="91"/>
      <c r="AB420" s="92"/>
      <c r="AC420" s="2">
        <v>4000</v>
      </c>
      <c r="AD420" s="2">
        <f>Z420+AC420</f>
        <v>4000</v>
      </c>
      <c r="AF420" s="28">
        <f t="shared" si="168"/>
        <v>4000</v>
      </c>
      <c r="AG420" s="55" t="s">
        <v>125</v>
      </c>
      <c r="AI420" s="20" t="s">
        <v>204</v>
      </c>
      <c r="AJ420" s="2">
        <f t="shared" si="173"/>
        <v>4000</v>
      </c>
      <c r="AN420" s="29">
        <f t="shared" si="174"/>
        <v>1</v>
      </c>
      <c r="AO420" s="29">
        <f>AN420-AB420</f>
        <v>1</v>
      </c>
      <c r="AP420" s="3" t="s">
        <v>158</v>
      </c>
      <c r="AR420" s="31">
        <f t="shared" si="175"/>
        <v>0</v>
      </c>
      <c r="AS420" s="31">
        <f t="shared" si="176"/>
        <v>0</v>
      </c>
      <c r="AT420" s="31">
        <f t="shared" si="187"/>
        <v>0</v>
      </c>
      <c r="AU420" s="31">
        <f t="shared" si="177"/>
        <v>0</v>
      </c>
      <c r="AV420" s="31">
        <f t="shared" si="178"/>
        <v>0</v>
      </c>
      <c r="AW420" s="31">
        <f t="shared" si="179"/>
        <v>0</v>
      </c>
      <c r="AX420" s="31">
        <f t="shared" si="180"/>
        <v>0</v>
      </c>
      <c r="AY420" s="31">
        <f t="shared" si="181"/>
        <v>0</v>
      </c>
      <c r="AZ420" s="31">
        <f t="shared" si="182"/>
        <v>0</v>
      </c>
      <c r="BA420" s="31">
        <f t="shared" si="183"/>
        <v>0</v>
      </c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35"/>
      <c r="CW420" s="35"/>
      <c r="CX420" s="35"/>
      <c r="CY420" s="35"/>
      <c r="CZ420" s="35"/>
      <c r="DA420" s="35"/>
      <c r="DB420" s="35"/>
      <c r="DC420" s="35"/>
      <c r="DD420" s="40"/>
      <c r="DE420" s="40"/>
      <c r="DF420" s="40"/>
      <c r="DG420" s="40"/>
      <c r="DH420" s="40"/>
      <c r="DI420" s="40"/>
      <c r="DJ420" s="40"/>
      <c r="DK420" s="40"/>
      <c r="DL420" s="35"/>
      <c r="DM420" s="35"/>
      <c r="DN420" s="35"/>
      <c r="DO420" s="35"/>
      <c r="DP420" s="35"/>
      <c r="DQ420" s="35"/>
      <c r="DR420" s="35"/>
      <c r="DS420" s="35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40"/>
      <c r="ES420" s="40"/>
      <c r="ET420" s="40"/>
      <c r="EU420" s="40"/>
      <c r="EV420" s="40"/>
      <c r="EW420" s="40"/>
      <c r="EX420" s="40"/>
      <c r="EY420" s="40"/>
      <c r="EZ420" s="35"/>
      <c r="FA420" s="35"/>
      <c r="FB420" s="35"/>
      <c r="FC420" s="35"/>
      <c r="FD420" s="35"/>
      <c r="FE420" s="35"/>
      <c r="FF420" s="35"/>
      <c r="FG420" s="35"/>
    </row>
    <row r="421" spans="1:163">
      <c r="A421" s="62">
        <v>282</v>
      </c>
      <c r="E421" s="63"/>
      <c r="F421" s="56" t="s">
        <v>95</v>
      </c>
      <c r="G421" s="70" t="s">
        <v>580</v>
      </c>
      <c r="H421" s="66" t="str">
        <f t="shared" si="169"/>
        <v/>
      </c>
      <c r="I421" s="67" t="s">
        <v>580</v>
      </c>
      <c r="J421" s="68">
        <f t="shared" si="170"/>
        <v>0</v>
      </c>
      <c r="K421" s="63"/>
      <c r="L421" s="1" t="s">
        <v>46</v>
      </c>
      <c r="O421" s="64"/>
      <c r="P421" s="82">
        <v>0</v>
      </c>
      <c r="Q421" s="74">
        <f t="shared" si="184"/>
        <v>0</v>
      </c>
      <c r="R421" s="71"/>
      <c r="S421" s="72">
        <f t="shared" si="185"/>
        <v>0</v>
      </c>
      <c r="T421" s="68"/>
      <c r="U421" s="73">
        <f t="shared" si="186"/>
        <v>0</v>
      </c>
      <c r="V421" s="75"/>
      <c r="W421" s="2">
        <f t="shared" si="171"/>
        <v>0</v>
      </c>
      <c r="Y421" s="2">
        <f t="shared" si="172"/>
        <v>0</v>
      </c>
      <c r="Z421" s="91"/>
      <c r="AA421" s="91"/>
      <c r="AB421" s="92"/>
      <c r="AE421" s="2">
        <v>115000</v>
      </c>
      <c r="AF421" s="28">
        <f t="shared" si="168"/>
        <v>0</v>
      </c>
      <c r="AG421" s="55" t="s">
        <v>125</v>
      </c>
      <c r="AI421" s="20" t="s">
        <v>45</v>
      </c>
      <c r="AJ421" s="2">
        <f t="shared" si="173"/>
        <v>0</v>
      </c>
      <c r="AN421" s="29" t="e">
        <f t="shared" si="174"/>
        <v>#DIV/0!</v>
      </c>
      <c r="AP421" s="3" t="s">
        <v>29</v>
      </c>
      <c r="AQ421" s="1" t="s">
        <v>190</v>
      </c>
      <c r="AR421" s="31">
        <f t="shared" si="175"/>
        <v>0</v>
      </c>
      <c r="AS421" s="31">
        <f t="shared" si="176"/>
        <v>0</v>
      </c>
      <c r="AT421" s="31">
        <f t="shared" si="187"/>
        <v>0</v>
      </c>
      <c r="AU421" s="31">
        <f t="shared" si="177"/>
        <v>0</v>
      </c>
      <c r="AV421" s="31">
        <f t="shared" si="178"/>
        <v>0</v>
      </c>
      <c r="AW421" s="31">
        <f t="shared" si="179"/>
        <v>0</v>
      </c>
      <c r="AX421" s="31">
        <f t="shared" si="180"/>
        <v>0</v>
      </c>
      <c r="AY421" s="31">
        <f t="shared" si="181"/>
        <v>0</v>
      </c>
      <c r="AZ421" s="31">
        <f t="shared" si="182"/>
        <v>0</v>
      </c>
      <c r="BA421" s="31">
        <f t="shared" si="183"/>
        <v>0</v>
      </c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35"/>
      <c r="CW421" s="35"/>
      <c r="CX421" s="35"/>
      <c r="CY421" s="35"/>
      <c r="CZ421" s="35"/>
      <c r="DA421" s="35"/>
      <c r="DB421" s="35"/>
      <c r="DC421" s="35"/>
      <c r="DD421" s="40"/>
      <c r="DE421" s="40"/>
      <c r="DF421" s="40"/>
      <c r="DG421" s="40"/>
      <c r="DH421" s="40"/>
      <c r="DI421" s="40"/>
      <c r="DJ421" s="40"/>
      <c r="DK421" s="40"/>
      <c r="DL421" s="35"/>
      <c r="DM421" s="35"/>
      <c r="DN421" s="35"/>
      <c r="DO421" s="35"/>
      <c r="DP421" s="35"/>
      <c r="DQ421" s="35"/>
      <c r="DR421" s="35"/>
      <c r="DS421" s="35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40"/>
      <c r="ES421" s="40"/>
      <c r="ET421" s="40"/>
      <c r="EU421" s="40"/>
      <c r="EV421" s="40"/>
      <c r="EW421" s="40"/>
      <c r="EX421" s="40"/>
      <c r="EY421" s="40"/>
      <c r="EZ421" s="35"/>
      <c r="FA421" s="35"/>
      <c r="FB421" s="35"/>
      <c r="FC421" s="35"/>
      <c r="FD421" s="35"/>
      <c r="FE421" s="35"/>
      <c r="FF421" s="35"/>
      <c r="FG421" s="35"/>
    </row>
    <row r="422" spans="1:163">
      <c r="A422" s="62">
        <v>299</v>
      </c>
      <c r="E422" s="63"/>
      <c r="F422" s="56" t="s">
        <v>95</v>
      </c>
      <c r="G422" s="70" t="s">
        <v>580</v>
      </c>
      <c r="H422" s="66" t="str">
        <f t="shared" si="169"/>
        <v/>
      </c>
      <c r="I422" s="67" t="s">
        <v>580</v>
      </c>
      <c r="J422" s="68">
        <f t="shared" si="170"/>
        <v>0</v>
      </c>
      <c r="K422" s="63"/>
      <c r="L422" s="1" t="s">
        <v>46</v>
      </c>
      <c r="O422" s="64"/>
      <c r="P422" s="82">
        <v>0</v>
      </c>
      <c r="Q422" s="74">
        <f t="shared" si="184"/>
        <v>0</v>
      </c>
      <c r="R422" s="71"/>
      <c r="S422" s="72">
        <f t="shared" si="185"/>
        <v>0</v>
      </c>
      <c r="T422" s="68"/>
      <c r="U422" s="73">
        <f t="shared" si="186"/>
        <v>0</v>
      </c>
      <c r="V422" s="73"/>
      <c r="W422" s="2">
        <f t="shared" si="171"/>
        <v>0</v>
      </c>
      <c r="Y422" s="2">
        <f t="shared" si="172"/>
        <v>0</v>
      </c>
      <c r="Z422" s="93"/>
      <c r="AA422" s="93"/>
      <c r="AB422" s="94"/>
      <c r="AC422" s="2">
        <v>4000</v>
      </c>
      <c r="AD422" s="2">
        <f>Z422+AC422</f>
        <v>4000</v>
      </c>
      <c r="AF422" s="28">
        <f t="shared" si="168"/>
        <v>4000</v>
      </c>
      <c r="AG422" s="55" t="s">
        <v>125</v>
      </c>
      <c r="AI422" s="20" t="s">
        <v>45</v>
      </c>
      <c r="AJ422" s="2">
        <f t="shared" si="173"/>
        <v>4000</v>
      </c>
      <c r="AN422" s="29">
        <f t="shared" si="174"/>
        <v>1</v>
      </c>
      <c r="AO422" s="29">
        <f>AN422-AB422</f>
        <v>1</v>
      </c>
      <c r="AP422" s="3" t="s">
        <v>29</v>
      </c>
      <c r="AQ422" s="1" t="s">
        <v>190</v>
      </c>
      <c r="AR422" s="31">
        <f t="shared" si="175"/>
        <v>0</v>
      </c>
      <c r="AS422" s="31">
        <f t="shared" si="176"/>
        <v>0</v>
      </c>
      <c r="AT422" s="31">
        <f t="shared" si="187"/>
        <v>0</v>
      </c>
      <c r="AU422" s="31">
        <f t="shared" si="177"/>
        <v>0</v>
      </c>
      <c r="AV422" s="31">
        <f t="shared" si="178"/>
        <v>0</v>
      </c>
      <c r="AW422" s="31">
        <f t="shared" si="179"/>
        <v>0</v>
      </c>
      <c r="AX422" s="31">
        <f t="shared" si="180"/>
        <v>0</v>
      </c>
      <c r="AY422" s="31">
        <f t="shared" si="181"/>
        <v>0</v>
      </c>
      <c r="AZ422" s="31">
        <f t="shared" si="182"/>
        <v>0</v>
      </c>
      <c r="BA422" s="31">
        <f t="shared" si="183"/>
        <v>0</v>
      </c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35"/>
      <c r="CW422" s="35"/>
      <c r="CX422" s="35"/>
      <c r="CY422" s="35"/>
      <c r="CZ422" s="35"/>
      <c r="DA422" s="35"/>
      <c r="DB422" s="35"/>
      <c r="DC422" s="35"/>
      <c r="DD422" s="40"/>
      <c r="DE422" s="40"/>
      <c r="DF422" s="40"/>
      <c r="DG422" s="40"/>
      <c r="DH422" s="40"/>
      <c r="DI422" s="40"/>
      <c r="DJ422" s="40"/>
      <c r="DK422" s="40"/>
      <c r="DL422" s="35"/>
      <c r="DM422" s="35"/>
      <c r="DN422" s="35"/>
      <c r="DO422" s="35"/>
      <c r="DP422" s="35"/>
      <c r="DQ422" s="35"/>
      <c r="DR422" s="35"/>
      <c r="DS422" s="35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40"/>
      <c r="ES422" s="40"/>
      <c r="ET422" s="40"/>
      <c r="EU422" s="40"/>
      <c r="EV422" s="40"/>
      <c r="EW422" s="40"/>
      <c r="EX422" s="40"/>
      <c r="EY422" s="40"/>
      <c r="EZ422" s="35"/>
      <c r="FA422" s="35"/>
      <c r="FB422" s="35"/>
      <c r="FC422" s="35"/>
      <c r="FD422" s="35"/>
      <c r="FE422" s="35"/>
      <c r="FF422" s="35"/>
      <c r="FG422" s="35"/>
    </row>
    <row r="423" spans="1:163">
      <c r="A423" s="62">
        <v>301</v>
      </c>
      <c r="E423" s="63"/>
      <c r="F423" s="56" t="s">
        <v>72</v>
      </c>
      <c r="G423" s="70" t="s">
        <v>580</v>
      </c>
      <c r="H423" s="66" t="str">
        <f t="shared" si="169"/>
        <v/>
      </c>
      <c r="I423" s="67" t="s">
        <v>580</v>
      </c>
      <c r="J423" s="68">
        <f t="shared" si="170"/>
        <v>0</v>
      </c>
      <c r="K423" s="63"/>
      <c r="L423" s="1" t="s">
        <v>46</v>
      </c>
      <c r="O423" s="64"/>
      <c r="P423" s="82">
        <v>0</v>
      </c>
      <c r="Q423" s="74">
        <f t="shared" si="184"/>
        <v>0</v>
      </c>
      <c r="R423" s="71"/>
      <c r="S423" s="72">
        <f t="shared" si="185"/>
        <v>0</v>
      </c>
      <c r="T423" s="68"/>
      <c r="U423" s="73">
        <f t="shared" si="186"/>
        <v>0</v>
      </c>
      <c r="V423" s="73"/>
      <c r="W423" s="2">
        <f t="shared" si="171"/>
        <v>0</v>
      </c>
      <c r="Y423" s="2">
        <f t="shared" si="172"/>
        <v>0</v>
      </c>
      <c r="Z423" s="93"/>
      <c r="AA423" s="93"/>
      <c r="AB423" s="94"/>
      <c r="AE423" s="2">
        <v>123000</v>
      </c>
      <c r="AF423" s="28">
        <f t="shared" si="168"/>
        <v>0</v>
      </c>
      <c r="AG423" s="55" t="s">
        <v>125</v>
      </c>
      <c r="AI423" s="20" t="s">
        <v>45</v>
      </c>
      <c r="AJ423" s="2">
        <f t="shared" si="173"/>
        <v>0</v>
      </c>
      <c r="AN423" s="29" t="e">
        <f t="shared" si="174"/>
        <v>#DIV/0!</v>
      </c>
      <c r="AP423" s="3" t="s">
        <v>140</v>
      </c>
      <c r="AQ423" s="1" t="s">
        <v>196</v>
      </c>
      <c r="AR423" s="31">
        <f t="shared" si="175"/>
        <v>-121575</v>
      </c>
      <c r="AS423" s="31">
        <f t="shared" si="176"/>
        <v>-120381</v>
      </c>
      <c r="AT423" s="31">
        <f>IF(BX423&lt;&gt;"", AF423-BX423, 0)</f>
        <v>-115800</v>
      </c>
      <c r="AU423" s="31">
        <f t="shared" si="177"/>
        <v>-107460</v>
      </c>
      <c r="AV423" s="31">
        <f t="shared" si="178"/>
        <v>0</v>
      </c>
      <c r="AW423" s="31">
        <f t="shared" si="179"/>
        <v>-121392</v>
      </c>
      <c r="AX423" s="31">
        <f t="shared" si="180"/>
        <v>-122248</v>
      </c>
      <c r="AY423" s="31">
        <f t="shared" si="181"/>
        <v>-122687</v>
      </c>
      <c r="AZ423" s="31">
        <f t="shared" si="182"/>
        <v>-142500</v>
      </c>
      <c r="BA423" s="31">
        <f t="shared" si="183"/>
        <v>0</v>
      </c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41">
        <v>118575</v>
      </c>
      <c r="BM423" s="41">
        <v>3000</v>
      </c>
      <c r="BN423" s="41">
        <f>BL423+BM423</f>
        <v>121575</v>
      </c>
      <c r="BO423" s="37">
        <f>BN423-Y423</f>
        <v>121575</v>
      </c>
      <c r="BP423" s="38">
        <f>BO423/BL423</f>
        <v>1.0253004427577483</v>
      </c>
      <c r="BQ423" s="37">
        <f>AF423-BN423</f>
        <v>-121575</v>
      </c>
      <c r="BR423" s="40" t="s">
        <v>29</v>
      </c>
      <c r="BS423" s="39"/>
      <c r="BT423" s="39"/>
      <c r="BU423" s="39"/>
      <c r="BV423" s="39"/>
      <c r="BW423" s="39"/>
      <c r="BX423" s="36">
        <v>115800</v>
      </c>
      <c r="BY423" s="33">
        <v>3000</v>
      </c>
      <c r="BZ423" s="33">
        <f>BX423+BY423</f>
        <v>118800</v>
      </c>
      <c r="CA423" s="33">
        <f>BZ423-Y423</f>
        <v>118800</v>
      </c>
      <c r="CB423" s="34">
        <f>CA423/BX423</f>
        <v>1.0259067357512954</v>
      </c>
      <c r="CC423" s="33">
        <f>AF423-BZ423</f>
        <v>-118800</v>
      </c>
      <c r="CD423" s="35" t="s">
        <v>29</v>
      </c>
      <c r="CE423" s="48"/>
      <c r="CF423" s="48"/>
      <c r="CG423" s="48"/>
      <c r="CH423" s="48"/>
      <c r="CI423" s="48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36">
        <v>120381</v>
      </c>
      <c r="CW423" s="36">
        <v>3000</v>
      </c>
      <c r="CX423" s="46">
        <f>CW423/CV423</f>
        <v>2.4920876218007825E-2</v>
      </c>
      <c r="CY423" s="36">
        <f>AF423-CV423</f>
        <v>-120381</v>
      </c>
      <c r="CZ423" s="35" t="s">
        <v>29</v>
      </c>
      <c r="DA423" s="35"/>
      <c r="DB423" s="35"/>
      <c r="DC423" s="35"/>
      <c r="DD423" s="41">
        <v>107460</v>
      </c>
      <c r="DE423" s="37">
        <f>DD423-Y423</f>
        <v>107460</v>
      </c>
      <c r="DF423" s="38">
        <f>DE423/DD423</f>
        <v>1</v>
      </c>
      <c r="DG423" s="37">
        <f>AF423-DD423</f>
        <v>-107460</v>
      </c>
      <c r="DH423" s="42" t="s">
        <v>29</v>
      </c>
      <c r="DI423" s="40"/>
      <c r="DJ423" s="40"/>
      <c r="DK423" s="40"/>
      <c r="DL423" s="36">
        <v>121392</v>
      </c>
      <c r="DM423" s="33">
        <f>DL423-Y423</f>
        <v>121392</v>
      </c>
      <c r="DN423" s="34">
        <f>DM423/DL423</f>
        <v>1</v>
      </c>
      <c r="DO423" s="33">
        <f>AF423-DL423</f>
        <v>-121392</v>
      </c>
      <c r="DP423" s="35" t="s">
        <v>29</v>
      </c>
      <c r="DQ423" s="35"/>
      <c r="DR423" s="35"/>
      <c r="DS423" s="35"/>
      <c r="DT423" s="41">
        <v>119248</v>
      </c>
      <c r="DU423" s="37">
        <v>3000</v>
      </c>
      <c r="DV423" s="41">
        <f>DT423+DU423</f>
        <v>122248</v>
      </c>
      <c r="DW423" s="37">
        <f>DV423-Y423</f>
        <v>122248</v>
      </c>
      <c r="DX423" s="38">
        <f>DW423/DV423</f>
        <v>1</v>
      </c>
      <c r="DY423" s="37">
        <f>AF423-DV423</f>
        <v>-122248</v>
      </c>
      <c r="DZ423" s="40" t="s">
        <v>29</v>
      </c>
      <c r="EA423" s="40"/>
      <c r="EB423" s="40"/>
      <c r="EC423" s="40"/>
      <c r="ED423" s="40"/>
      <c r="EE423" s="40"/>
      <c r="EF423" s="36">
        <v>119687</v>
      </c>
      <c r="EG423" s="33">
        <v>3000</v>
      </c>
      <c r="EH423" s="33">
        <f>EF423+EG423</f>
        <v>122687</v>
      </c>
      <c r="EI423" s="33">
        <f>EH423-Y423</f>
        <v>122687</v>
      </c>
      <c r="EJ423" s="44">
        <f>EI423/EH423</f>
        <v>1</v>
      </c>
      <c r="EK423" s="45">
        <f>AF423-EH423</f>
        <v>-122687</v>
      </c>
      <c r="EL423" s="43" t="s">
        <v>29</v>
      </c>
      <c r="EM423" s="35"/>
      <c r="EN423" s="35"/>
      <c r="EO423" s="35"/>
      <c r="EP423" s="35"/>
      <c r="EQ423" s="35"/>
      <c r="ER423" s="41">
        <v>142500</v>
      </c>
      <c r="ES423" s="37">
        <f>ER423-Y423</f>
        <v>142500</v>
      </c>
      <c r="ET423" s="38">
        <f>ES423/ER423</f>
        <v>1</v>
      </c>
      <c r="EU423" s="37">
        <f>AF423-ER423</f>
        <v>-142500</v>
      </c>
      <c r="EV423" s="40" t="s">
        <v>29</v>
      </c>
      <c r="EW423" s="40"/>
      <c r="EX423" s="40"/>
      <c r="EY423" s="40"/>
      <c r="EZ423" s="35"/>
      <c r="FA423" s="35"/>
      <c r="FB423" s="35"/>
      <c r="FC423" s="35"/>
      <c r="FD423" s="35"/>
      <c r="FE423" s="35"/>
      <c r="FF423" s="35"/>
      <c r="FG423" s="35"/>
    </row>
    <row r="424" spans="1:163">
      <c r="A424" s="62">
        <v>303</v>
      </c>
      <c r="E424" s="63"/>
      <c r="F424" s="56" t="s">
        <v>72</v>
      </c>
      <c r="G424" s="70" t="s">
        <v>580</v>
      </c>
      <c r="H424" s="66" t="str">
        <f t="shared" si="169"/>
        <v/>
      </c>
      <c r="I424" s="67" t="s">
        <v>580</v>
      </c>
      <c r="J424" s="68">
        <f t="shared" si="170"/>
        <v>0</v>
      </c>
      <c r="K424" s="63"/>
      <c r="L424" s="1" t="s">
        <v>46</v>
      </c>
      <c r="O424" s="64"/>
      <c r="P424" s="82">
        <v>0</v>
      </c>
      <c r="Q424" s="74">
        <f t="shared" si="184"/>
        <v>0</v>
      </c>
      <c r="R424" s="71"/>
      <c r="S424" s="72">
        <f t="shared" si="185"/>
        <v>0</v>
      </c>
      <c r="T424" s="68"/>
      <c r="U424" s="73">
        <f t="shared" si="186"/>
        <v>0</v>
      </c>
      <c r="V424" s="73"/>
      <c r="W424" s="2">
        <f t="shared" si="171"/>
        <v>0</v>
      </c>
      <c r="Y424" s="2">
        <f t="shared" si="172"/>
        <v>0</v>
      </c>
      <c r="Z424" s="93"/>
      <c r="AA424" s="93"/>
      <c r="AB424" s="94"/>
      <c r="AE424" s="2">
        <v>140000</v>
      </c>
      <c r="AF424" s="28">
        <f t="shared" si="168"/>
        <v>0</v>
      </c>
      <c r="AG424" s="55" t="s">
        <v>125</v>
      </c>
      <c r="AI424" s="20" t="s">
        <v>45</v>
      </c>
      <c r="AJ424" s="2">
        <f t="shared" si="173"/>
        <v>0</v>
      </c>
      <c r="AN424" s="29" t="e">
        <f t="shared" si="174"/>
        <v>#DIV/0!</v>
      </c>
      <c r="AP424" s="3" t="s">
        <v>140</v>
      </c>
      <c r="AQ424" s="1" t="s">
        <v>197</v>
      </c>
      <c r="AR424" s="31">
        <f t="shared" si="175"/>
        <v>-121575</v>
      </c>
      <c r="AS424" s="31">
        <f t="shared" si="176"/>
        <v>-120381</v>
      </c>
      <c r="AT424" s="31">
        <f>IF(BX424&lt;&gt;"", AF424-BX424, 0)</f>
        <v>-115800</v>
      </c>
      <c r="AU424" s="31">
        <f t="shared" si="177"/>
        <v>-107460</v>
      </c>
      <c r="AV424" s="31">
        <f t="shared" si="178"/>
        <v>0</v>
      </c>
      <c r="AW424" s="31">
        <f t="shared" si="179"/>
        <v>-121392</v>
      </c>
      <c r="AX424" s="31">
        <f t="shared" si="180"/>
        <v>-122248</v>
      </c>
      <c r="AY424" s="31">
        <f t="shared" si="181"/>
        <v>-122687</v>
      </c>
      <c r="AZ424" s="31">
        <f t="shared" si="182"/>
        <v>-142500</v>
      </c>
      <c r="BA424" s="31">
        <f t="shared" si="183"/>
        <v>0</v>
      </c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41">
        <v>118575</v>
      </c>
      <c r="BM424" s="41">
        <v>3000</v>
      </c>
      <c r="BN424" s="41">
        <f>BL424+BM424</f>
        <v>121575</v>
      </c>
      <c r="BO424" s="37">
        <f>BN424-Y424</f>
        <v>121575</v>
      </c>
      <c r="BP424" s="38">
        <f>BO424/BL424</f>
        <v>1.0253004427577483</v>
      </c>
      <c r="BQ424" s="37">
        <f>AF424-BN424</f>
        <v>-121575</v>
      </c>
      <c r="BR424" s="40" t="s">
        <v>29</v>
      </c>
      <c r="BS424" s="39"/>
      <c r="BT424" s="39"/>
      <c r="BU424" s="39"/>
      <c r="BV424" s="39"/>
      <c r="BW424" s="39"/>
      <c r="BX424" s="36">
        <v>115800</v>
      </c>
      <c r="BY424" s="33">
        <v>3000</v>
      </c>
      <c r="BZ424" s="33">
        <f>BX424+BY424</f>
        <v>118800</v>
      </c>
      <c r="CA424" s="33">
        <f>BZ424-Y424</f>
        <v>118800</v>
      </c>
      <c r="CB424" s="34">
        <f>CA424/BX424</f>
        <v>1.0259067357512954</v>
      </c>
      <c r="CC424" s="33">
        <f>AF424-BZ424</f>
        <v>-118800</v>
      </c>
      <c r="CD424" s="35" t="s">
        <v>29</v>
      </c>
      <c r="CE424" s="48"/>
      <c r="CF424" s="48"/>
      <c r="CG424" s="48"/>
      <c r="CH424" s="48"/>
      <c r="CI424" s="48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36">
        <v>120381</v>
      </c>
      <c r="CW424" s="36">
        <v>3000</v>
      </c>
      <c r="CX424" s="46">
        <f>CW424/CV424</f>
        <v>2.4920876218007825E-2</v>
      </c>
      <c r="CY424" s="36">
        <f>AF424-CV424</f>
        <v>-120381</v>
      </c>
      <c r="CZ424" s="35" t="s">
        <v>29</v>
      </c>
      <c r="DA424" s="35"/>
      <c r="DB424" s="35"/>
      <c r="DC424" s="35"/>
      <c r="DD424" s="41">
        <v>107460</v>
      </c>
      <c r="DE424" s="37">
        <f>DD424-Y424</f>
        <v>107460</v>
      </c>
      <c r="DF424" s="38">
        <f>DE424/DD424</f>
        <v>1</v>
      </c>
      <c r="DG424" s="37">
        <f>AF424-DD424</f>
        <v>-107460</v>
      </c>
      <c r="DH424" s="42" t="s">
        <v>29</v>
      </c>
      <c r="DI424" s="40"/>
      <c r="DJ424" s="40"/>
      <c r="DK424" s="40"/>
      <c r="DL424" s="36">
        <v>121392</v>
      </c>
      <c r="DM424" s="33">
        <f>DL424-Y424</f>
        <v>121392</v>
      </c>
      <c r="DN424" s="34">
        <f>DM424/DL424</f>
        <v>1</v>
      </c>
      <c r="DO424" s="33">
        <f>AF424-DL424</f>
        <v>-121392</v>
      </c>
      <c r="DP424" s="35" t="s">
        <v>29</v>
      </c>
      <c r="DQ424" s="35"/>
      <c r="DR424" s="35"/>
      <c r="DS424" s="35"/>
      <c r="DT424" s="41">
        <v>119248</v>
      </c>
      <c r="DU424" s="37">
        <v>3000</v>
      </c>
      <c r="DV424" s="41">
        <f>DT424+DU424</f>
        <v>122248</v>
      </c>
      <c r="DW424" s="37">
        <f>DV424-Y424</f>
        <v>122248</v>
      </c>
      <c r="DX424" s="38">
        <f>DW424/DV424</f>
        <v>1</v>
      </c>
      <c r="DY424" s="37">
        <f>AF424-DV424</f>
        <v>-122248</v>
      </c>
      <c r="DZ424" s="40" t="s">
        <v>29</v>
      </c>
      <c r="EA424" s="40"/>
      <c r="EB424" s="40"/>
      <c r="EC424" s="40"/>
      <c r="ED424" s="40"/>
      <c r="EE424" s="40"/>
      <c r="EF424" s="36">
        <v>119687</v>
      </c>
      <c r="EG424" s="33">
        <v>3000</v>
      </c>
      <c r="EH424" s="33">
        <f>EF424+EG424</f>
        <v>122687</v>
      </c>
      <c r="EI424" s="33">
        <f>EH424-Y424</f>
        <v>122687</v>
      </c>
      <c r="EJ424" s="44">
        <f>EI424/EH424</f>
        <v>1</v>
      </c>
      <c r="EK424" s="45">
        <f>AF424-EH424</f>
        <v>-122687</v>
      </c>
      <c r="EL424" s="43" t="s">
        <v>29</v>
      </c>
      <c r="EM424" s="35"/>
      <c r="EN424" s="35"/>
      <c r="EO424" s="35"/>
      <c r="EP424" s="35"/>
      <c r="EQ424" s="35"/>
      <c r="ER424" s="41">
        <v>142500</v>
      </c>
      <c r="ES424" s="37">
        <f>ER424-Y424</f>
        <v>142500</v>
      </c>
      <c r="ET424" s="38">
        <f>ES424/ER424</f>
        <v>1</v>
      </c>
      <c r="EU424" s="37">
        <f>AF424-ER424</f>
        <v>-142500</v>
      </c>
      <c r="EV424" s="40" t="s">
        <v>29</v>
      </c>
      <c r="EW424" s="40"/>
      <c r="EX424" s="40"/>
      <c r="EY424" s="40"/>
      <c r="EZ424" s="35"/>
      <c r="FA424" s="35"/>
      <c r="FB424" s="35"/>
      <c r="FC424" s="35"/>
      <c r="FD424" s="35"/>
      <c r="FE424" s="35"/>
      <c r="FF424" s="35"/>
      <c r="FG424" s="35"/>
    </row>
    <row r="425" spans="1:163">
      <c r="A425" s="62">
        <v>345</v>
      </c>
      <c r="E425" s="63"/>
      <c r="F425" s="56" t="s">
        <v>77</v>
      </c>
      <c r="G425" s="70" t="s">
        <v>580</v>
      </c>
      <c r="H425" s="66" t="str">
        <f t="shared" si="169"/>
        <v/>
      </c>
      <c r="I425" s="67" t="s">
        <v>580</v>
      </c>
      <c r="J425" s="68">
        <f t="shared" si="170"/>
        <v>0</v>
      </c>
      <c r="K425" s="63"/>
      <c r="L425" s="1" t="s">
        <v>46</v>
      </c>
      <c r="O425" s="64"/>
      <c r="P425" s="82">
        <v>0</v>
      </c>
      <c r="Q425" s="74">
        <f t="shared" si="184"/>
        <v>0</v>
      </c>
      <c r="R425" s="71"/>
      <c r="S425" s="72">
        <f t="shared" si="185"/>
        <v>0</v>
      </c>
      <c r="T425" s="68"/>
      <c r="U425" s="73">
        <f t="shared" si="186"/>
        <v>0</v>
      </c>
      <c r="V425" s="73"/>
      <c r="W425" s="2">
        <f t="shared" si="171"/>
        <v>0</v>
      </c>
      <c r="Y425" s="2">
        <f t="shared" si="172"/>
        <v>0</v>
      </c>
      <c r="Z425" s="91"/>
      <c r="AA425" s="91"/>
      <c r="AB425" s="92"/>
      <c r="AC425" s="2">
        <v>3000</v>
      </c>
      <c r="AD425" s="2">
        <f>Z425+AC425</f>
        <v>3000</v>
      </c>
      <c r="AF425" s="28">
        <f t="shared" si="168"/>
        <v>3000</v>
      </c>
      <c r="AG425" s="55" t="s">
        <v>125</v>
      </c>
      <c r="AI425" s="20" t="s">
        <v>45</v>
      </c>
      <c r="AJ425" s="2">
        <f t="shared" si="173"/>
        <v>3000</v>
      </c>
      <c r="AN425" s="29">
        <f t="shared" si="174"/>
        <v>1</v>
      </c>
      <c r="AO425" s="29">
        <f>AN425-AB425</f>
        <v>1</v>
      </c>
      <c r="AP425" s="3" t="s">
        <v>29</v>
      </c>
      <c r="AQ425" s="1" t="s">
        <v>176</v>
      </c>
      <c r="AR425" s="31">
        <f t="shared" si="175"/>
        <v>0</v>
      </c>
      <c r="AS425" s="31">
        <f t="shared" si="176"/>
        <v>0</v>
      </c>
      <c r="AT425" s="31">
        <f>IF(BZ425&lt;&gt;"", AF425-BZ425, 0)</f>
        <v>0</v>
      </c>
      <c r="AU425" s="31">
        <f t="shared" si="177"/>
        <v>0</v>
      </c>
      <c r="AV425" s="31">
        <f t="shared" si="178"/>
        <v>0</v>
      </c>
      <c r="AW425" s="31">
        <f t="shared" si="179"/>
        <v>0</v>
      </c>
      <c r="AX425" s="31">
        <f t="shared" si="180"/>
        <v>0</v>
      </c>
      <c r="AY425" s="31">
        <f t="shared" si="181"/>
        <v>0</v>
      </c>
      <c r="AZ425" s="31">
        <f t="shared" si="182"/>
        <v>0</v>
      </c>
      <c r="BA425" s="31">
        <f t="shared" si="183"/>
        <v>0</v>
      </c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35"/>
      <c r="CW425" s="35"/>
      <c r="CX425" s="35"/>
      <c r="CY425" s="35"/>
      <c r="CZ425" s="35"/>
      <c r="DA425" s="35"/>
      <c r="DB425" s="35"/>
      <c r="DC425" s="35"/>
      <c r="DD425" s="40"/>
      <c r="DE425" s="40"/>
      <c r="DF425" s="40"/>
      <c r="DG425" s="40"/>
      <c r="DH425" s="40"/>
      <c r="DI425" s="40"/>
      <c r="DJ425" s="40"/>
      <c r="DK425" s="40"/>
      <c r="DL425" s="35"/>
      <c r="DM425" s="35"/>
      <c r="DN425" s="35"/>
      <c r="DO425" s="35"/>
      <c r="DP425" s="35"/>
      <c r="DQ425" s="35"/>
      <c r="DR425" s="35"/>
      <c r="DS425" s="35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40"/>
      <c r="ES425" s="40"/>
      <c r="ET425" s="40"/>
      <c r="EU425" s="40"/>
      <c r="EV425" s="40"/>
      <c r="EW425" s="40"/>
      <c r="EX425" s="40"/>
      <c r="EY425" s="40"/>
      <c r="EZ425" s="35"/>
      <c r="FA425" s="35"/>
      <c r="FB425" s="35"/>
      <c r="FC425" s="35"/>
      <c r="FD425" s="35"/>
      <c r="FE425" s="35"/>
      <c r="FF425" s="35"/>
      <c r="FG425" s="35"/>
    </row>
    <row r="426" spans="1:163">
      <c r="A426" s="62">
        <v>378</v>
      </c>
      <c r="E426" s="63"/>
      <c r="F426" s="56" t="s">
        <v>80</v>
      </c>
      <c r="G426" s="70" t="s">
        <v>580</v>
      </c>
      <c r="H426" s="66" t="str">
        <f t="shared" si="169"/>
        <v/>
      </c>
      <c r="I426" s="67" t="s">
        <v>580</v>
      </c>
      <c r="J426" s="68">
        <f t="shared" si="170"/>
        <v>0</v>
      </c>
      <c r="K426" s="63"/>
      <c r="L426" s="1" t="s">
        <v>46</v>
      </c>
      <c r="O426" s="64"/>
      <c r="P426" s="82">
        <v>0</v>
      </c>
      <c r="Q426" s="74">
        <f t="shared" si="184"/>
        <v>0</v>
      </c>
      <c r="R426" s="71"/>
      <c r="S426" s="72">
        <f t="shared" si="185"/>
        <v>0</v>
      </c>
      <c r="T426" s="68"/>
      <c r="U426" s="73">
        <f t="shared" si="186"/>
        <v>0</v>
      </c>
      <c r="V426" s="75"/>
      <c r="W426" s="2">
        <f t="shared" si="171"/>
        <v>0</v>
      </c>
      <c r="Y426" s="2">
        <f t="shared" si="172"/>
        <v>0</v>
      </c>
      <c r="Z426" s="91"/>
      <c r="AA426" s="91"/>
      <c r="AB426" s="92"/>
      <c r="AE426" s="2">
        <v>68000</v>
      </c>
      <c r="AF426" s="28">
        <f t="shared" si="168"/>
        <v>0</v>
      </c>
      <c r="AG426" s="55" t="s">
        <v>125</v>
      </c>
      <c r="AI426" s="20" t="s">
        <v>204</v>
      </c>
      <c r="AJ426" s="2">
        <f t="shared" si="173"/>
        <v>0</v>
      </c>
      <c r="AN426" s="29" t="e">
        <f t="shared" si="174"/>
        <v>#DIV/0!</v>
      </c>
      <c r="AP426" s="3" t="s">
        <v>140</v>
      </c>
      <c r="AQ426" s="1" t="s">
        <v>159</v>
      </c>
      <c r="AR426" s="31">
        <f t="shared" si="175"/>
        <v>0</v>
      </c>
      <c r="AS426" s="31">
        <f t="shared" si="176"/>
        <v>-75060</v>
      </c>
      <c r="AT426" s="31">
        <f>IF(BZ426&lt;&gt;"", AF426-BZ426, 0)</f>
        <v>0</v>
      </c>
      <c r="AU426" s="31">
        <f t="shared" si="177"/>
        <v>0</v>
      </c>
      <c r="AV426" s="31">
        <f t="shared" si="178"/>
        <v>0</v>
      </c>
      <c r="AW426" s="31">
        <f t="shared" si="179"/>
        <v>0</v>
      </c>
      <c r="AX426" s="31">
        <f t="shared" si="180"/>
        <v>0</v>
      </c>
      <c r="AY426" s="31">
        <f t="shared" si="181"/>
        <v>0</v>
      </c>
      <c r="AZ426" s="31">
        <f t="shared" si="182"/>
        <v>0</v>
      </c>
      <c r="BA426" s="31">
        <f t="shared" si="183"/>
        <v>0</v>
      </c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6">
        <v>75060</v>
      </c>
      <c r="CW426" s="36">
        <f>CV426-Y426</f>
        <v>75060</v>
      </c>
      <c r="CX426" s="46">
        <f>CW426/CV426</f>
        <v>1</v>
      </c>
      <c r="CY426" s="36">
        <f>AF426-CV426</f>
        <v>-75060</v>
      </c>
      <c r="CZ426" s="35" t="s">
        <v>29</v>
      </c>
      <c r="DA426" s="36"/>
      <c r="DB426" s="36"/>
      <c r="DC426" s="36"/>
      <c r="DD426" s="39"/>
      <c r="DE426" s="39"/>
      <c r="DF426" s="39"/>
      <c r="DG426" s="39"/>
      <c r="DH426" s="39"/>
      <c r="DI426" s="39"/>
      <c r="DJ426" s="39"/>
      <c r="DK426" s="39"/>
      <c r="DL426" s="43"/>
      <c r="DM426" s="43"/>
      <c r="DN426" s="43"/>
      <c r="DO426" s="43"/>
      <c r="DP426" s="43"/>
      <c r="DQ426" s="43"/>
      <c r="DR426" s="43"/>
      <c r="DS426" s="43"/>
      <c r="DT426" s="42"/>
      <c r="DU426" s="37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3"/>
      <c r="EG426" s="43"/>
      <c r="EH426" s="43"/>
      <c r="EI426" s="43"/>
      <c r="EJ426" s="43"/>
      <c r="EK426" s="43"/>
      <c r="EL426" s="43"/>
      <c r="EM426" s="43"/>
      <c r="EN426" s="43"/>
      <c r="EO426" s="43"/>
      <c r="EP426" s="43"/>
      <c r="EQ426" s="43"/>
      <c r="ER426" s="40"/>
      <c r="ES426" s="40"/>
      <c r="ET426" s="40"/>
      <c r="EU426" s="40"/>
      <c r="EV426" s="40"/>
      <c r="EW426" s="40"/>
      <c r="EX426" s="40"/>
      <c r="EY426" s="40"/>
      <c r="EZ426" s="35"/>
      <c r="FA426" s="35"/>
      <c r="FB426" s="35"/>
      <c r="FC426" s="35"/>
      <c r="FD426" s="35"/>
      <c r="FE426" s="35"/>
      <c r="FF426" s="35"/>
      <c r="FG426" s="35"/>
    </row>
  </sheetData>
  <autoFilter ref="A6:FG426">
    <filterColumn colId="4"/>
    <filterColumn colId="5"/>
    <filterColumn colId="6"/>
    <filterColumn colId="7"/>
    <filterColumn colId="8"/>
    <filterColumn colId="9"/>
    <filterColumn colId="10"/>
    <filterColumn colId="12"/>
    <filterColumn colId="13"/>
    <filterColumn colId="14"/>
    <filterColumn colId="16"/>
    <filterColumn colId="17"/>
    <filterColumn colId="18"/>
    <filterColumn colId="19"/>
    <filterColumn colId="20"/>
    <filterColumn colId="21"/>
    <filterColumn colId="30"/>
    <filterColumn colId="32"/>
    <filterColumn colId="33"/>
    <filterColumn colId="34"/>
    <filterColumn colId="41"/>
    <filterColumn colId="64"/>
    <filterColumn colId="65"/>
    <filterColumn colId="70"/>
    <filterColumn colId="71"/>
    <filterColumn colId="75"/>
    <filterColumn colId="76"/>
    <filterColumn colId="77"/>
    <filterColumn colId="78"/>
    <filterColumn colId="79"/>
    <filterColumn colId="80"/>
    <filterColumn colId="81"/>
    <filterColumn colId="82"/>
    <filterColumn colId="83"/>
    <filterColumn colId="84"/>
    <filterColumn colId="85"/>
    <filterColumn colId="86"/>
    <filterColumn colId="87"/>
    <filterColumn colId="88"/>
    <filterColumn colId="89"/>
    <filterColumn colId="90"/>
    <filterColumn colId="91"/>
    <filterColumn colId="92"/>
    <filterColumn colId="93"/>
    <filterColumn colId="94"/>
    <filterColumn colId="95"/>
    <filterColumn colId="96"/>
    <filterColumn colId="97"/>
    <filterColumn colId="98"/>
    <filterColumn colId="123"/>
    <filterColumn colId="124"/>
    <filterColumn colId="130"/>
    <filterColumn colId="131"/>
    <filterColumn colId="136"/>
    <filterColumn colId="137"/>
    <filterColumn colId="142"/>
    <filterColumn colId="143"/>
    <sortState ref="A7:FG426">
      <sortCondition ref="K6:K426"/>
    </sortState>
  </autoFilter>
  <mergeCells count="14">
    <mergeCell ref="EF5:EQ5"/>
    <mergeCell ref="ER5:EY5"/>
    <mergeCell ref="EZ5:FG5"/>
    <mergeCell ref="CV5:DC5"/>
    <mergeCell ref="BX5:CI5"/>
    <mergeCell ref="DD5:DK5"/>
    <mergeCell ref="CJ5:CU5"/>
    <mergeCell ref="DL5:DS5"/>
    <mergeCell ref="DT5:EE5"/>
    <mergeCell ref="BL5:BW5"/>
    <mergeCell ref="Z5:AB5"/>
    <mergeCell ref="AF5:AM5"/>
    <mergeCell ref="AR5:BA5"/>
    <mergeCell ref="BB5:BK5"/>
  </mergeCells>
  <conditionalFormatting sqref="BB3:BK3 BB7:BK426">
    <cfRule type="cellIs" dxfId="152" priority="27261" operator="between">
      <formula>1000</formula>
      <formula>3999</formula>
    </cfRule>
    <cfRule type="cellIs" dxfId="151" priority="27262" operator="between">
      <formula>1</formula>
      <formula>999</formula>
    </cfRule>
    <cfRule type="cellIs" dxfId="150" priority="27263" operator="lessThan">
      <formula>0</formula>
    </cfRule>
    <cfRule type="cellIs" dxfId="149" priority="27264" operator="greaterThan">
      <formula>4000</formula>
    </cfRule>
  </conditionalFormatting>
  <conditionalFormatting sqref="W7:W426">
    <cfRule type="cellIs" dxfId="148" priority="24237" operator="lessThan">
      <formula>0</formula>
    </cfRule>
    <cfRule type="cellIs" dxfId="147" priority="24238" operator="greaterThan">
      <formula>0</formula>
    </cfRule>
    <cfRule type="cellIs" dxfId="146" priority="24239" operator="equal">
      <formula>0</formula>
    </cfRule>
  </conditionalFormatting>
  <conditionalFormatting sqref="AO381:AO382 AO385:AO387 AO371:AO373 AO368 AO365 AO360 AO358 AO356 AO378:AO379 AO418:AO420 AO413 AO408 AO405 AO397 AO395 AO393 AO342 AO340 AL332:AL333 AO336 AO332:AO333 AO324:AO325 AO320 AO316 AO350:AO352 AO344 AO328 AO314 AO295:AO306 AO240:AO248 AO236:AO238 AO228:AO231 AO223:AO226 AO262:AO292 AO258 AO255 AO250:AO253 AO233:AO234 AO221 AO219 AO215 AO212 AO209 AO176 AO172 AO168 AO162 AO160 AO157:AO158 AO117 AO115 AO113 AO110 AO107 AO104 AO101:AO102 AO87 AO85 AO82 AO193 AO188:AO189 AO179 AO127 AO123 AO121 AO119 AO57 AO49 AO47 AO44 AO39:AO40 AO131 AO30 AO28 AO24 AO22 AO75:AO76 AO72 AO69 AO66:AO67 AO62 AO18 AO16 AO14 AO12 AO10 AO8 AO143:AO144 AO148:AO149 AO99 AO203 AO200 AO197 AO133:AO134 AO152">
    <cfRule type="cellIs" dxfId="145" priority="24127" operator="lessThan">
      <formula>-0.00001</formula>
    </cfRule>
    <cfRule type="cellIs" dxfId="144" priority="24128" operator="between">
      <formula>0.0001</formula>
      <formula>0.01</formula>
    </cfRule>
    <cfRule type="cellIs" dxfId="143" priority="24129" operator="between">
      <formula>0.01</formula>
      <formula>0.02</formula>
    </cfRule>
    <cfRule type="cellIs" dxfId="142" priority="24130" operator="greaterThan">
      <formula>0.02</formula>
    </cfRule>
  </conditionalFormatting>
  <conditionalFormatting sqref="AN4:AN1048576">
    <cfRule type="cellIs" dxfId="141" priority="11989" operator="greaterThanOrEqual">
      <formula>0.32</formula>
    </cfRule>
    <cfRule type="cellIs" dxfId="140" priority="11990" operator="greaterThanOrEqual">
      <formula>0.3</formula>
    </cfRule>
    <cfRule type="cellIs" dxfId="139" priority="11991" operator="greaterThanOrEqual">
      <formula>0.28</formula>
    </cfRule>
    <cfRule type="cellIs" dxfId="138" priority="11992" operator="greaterThanOrEqual">
      <formula>0.26</formula>
    </cfRule>
    <cfRule type="cellIs" dxfId="137" priority="11993" operator="lessThan">
      <formula>0.26</formula>
    </cfRule>
    <cfRule type="cellIs" dxfId="136" priority="11994" operator="lessThan">
      <formula>0.24</formula>
    </cfRule>
  </conditionalFormatting>
  <conditionalFormatting sqref="AR3:BA3 AR7:BA426">
    <cfRule type="cellIs" dxfId="135" priority="11985" operator="greaterThan">
      <formula>4000</formula>
    </cfRule>
    <cfRule type="cellIs" dxfId="134" priority="11986" operator="greaterThan">
      <formula>1000</formula>
    </cfRule>
    <cfRule type="cellIs" dxfId="133" priority="11987" operator="greaterThan">
      <formula>0</formula>
    </cfRule>
    <cfRule type="cellIs" dxfId="132" priority="11988" operator="lessThan">
      <formula>0</formula>
    </cfRule>
  </conditionalFormatting>
  <conditionalFormatting sqref="AP7:AP426 AO223:AO224 AO226 AO228:AO229 AO236:AO237 AO242 AO244:AO245 AO247 AO250:AO251 AO265:AO269 AO271 AO273 AO275:AO277 AO279:AO280 AO282 AO284 AO295:AO297 AO287:AO292 AO299 AO301:AO303 AO306">
    <cfRule type="cellIs" dxfId="131" priority="11980" operator="equal">
      <formula>"REF"</formula>
    </cfRule>
    <cfRule type="cellIs" dxfId="130" priority="11981" operator="equal">
      <formula>"AVG"</formula>
    </cfRule>
    <cfRule type="cellIs" dxfId="129" priority="11982" operator="equal">
      <formula>"PROBLEM"</formula>
    </cfRule>
    <cfRule type="cellIs" dxfId="128" priority="11984" operator="equal">
      <formula>"NO REF"</formula>
    </cfRule>
  </conditionalFormatting>
  <conditionalFormatting sqref="AI7:AI426">
    <cfRule type="cellIs" dxfId="127" priority="705" operator="equal">
      <formula>"OK"</formula>
    </cfRule>
    <cfRule type="cellIs" dxfId="126" priority="1237" operator="equal">
      <formula>"MINUS"</formula>
    </cfRule>
    <cfRule type="cellIs" dxfId="125" priority="1238" operator="equal">
      <formula>"MODERATE"</formula>
    </cfRule>
    <cfRule type="cellIs" dxfId="124" priority="1239" operator="equal">
      <formula>"PLUS"</formula>
    </cfRule>
  </conditionalFormatting>
  <conditionalFormatting sqref="H7:H426">
    <cfRule type="duplicateValues" dxfId="123" priority="3"/>
    <cfRule type="duplicateValues" dxfId="122" priority="4"/>
  </conditionalFormatting>
  <conditionalFormatting sqref="AB8:AB426">
    <cfRule type="cellIs" dxfId="121" priority="1" operator="greaterThan">
      <formula>0.7</formula>
    </cfRule>
    <cfRule type="cellIs" dxfId="120" priority="2" operator="greaterThan">
      <formula>7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A96"/>
  <sheetViews>
    <sheetView tabSelected="1" topLeftCell="B1" zoomScale="70" zoomScaleNormal="70" workbookViewId="0">
      <selection activeCell="J19" sqref="J19:O19"/>
    </sheetView>
  </sheetViews>
  <sheetFormatPr defaultRowHeight="14.4"/>
  <cols>
    <col min="2" max="3" width="8.88671875" style="141"/>
    <col min="4" max="5" width="8.33203125" style="141" customWidth="1"/>
    <col min="6" max="6" width="6.77734375" style="141" customWidth="1"/>
    <col min="7" max="7" width="8.88671875" style="141"/>
    <col min="8" max="8" width="28.5546875" style="141" bestFit="1" customWidth="1"/>
    <col min="9" max="9" width="28" style="141" bestFit="1" customWidth="1"/>
    <col min="10" max="10" width="11.21875" bestFit="1" customWidth="1"/>
    <col min="12" max="12" width="12.88671875" bestFit="1" customWidth="1"/>
    <col min="16" max="16" width="11.5546875" customWidth="1"/>
    <col min="17" max="17" width="64.33203125" style="142" bestFit="1" customWidth="1"/>
    <col min="19" max="24" width="8.88671875" style="143"/>
  </cols>
  <sheetData>
    <row r="3" spans="2:27" s="4" customFormat="1" ht="21.6" customHeight="1">
      <c r="B3" s="100" t="s">
        <v>11</v>
      </c>
      <c r="C3" s="100" t="s">
        <v>12</v>
      </c>
      <c r="D3" s="100" t="s">
        <v>793</v>
      </c>
      <c r="E3" s="100" t="s">
        <v>794</v>
      </c>
      <c r="F3" s="100">
        <f>SUM(F4:F423)</f>
        <v>0</v>
      </c>
      <c r="G3" s="101" t="s">
        <v>795</v>
      </c>
      <c r="H3" s="100" t="s">
        <v>796</v>
      </c>
      <c r="I3" s="100" t="s">
        <v>797</v>
      </c>
      <c r="J3" s="100" t="s">
        <v>798</v>
      </c>
      <c r="K3" s="100" t="s">
        <v>799</v>
      </c>
      <c r="L3" s="100" t="s">
        <v>800</v>
      </c>
      <c r="M3" s="100" t="s">
        <v>801</v>
      </c>
      <c r="N3" s="100" t="s">
        <v>802</v>
      </c>
      <c r="O3" s="100" t="s">
        <v>803</v>
      </c>
      <c r="P3" s="102" t="s">
        <v>804</v>
      </c>
      <c r="Q3" s="100" t="s">
        <v>802</v>
      </c>
      <c r="R3" s="103" t="s">
        <v>27</v>
      </c>
      <c r="S3" s="104" t="s">
        <v>805</v>
      </c>
      <c r="T3" s="104" t="s">
        <v>806</v>
      </c>
      <c r="U3" s="105" t="s">
        <v>807</v>
      </c>
      <c r="V3" s="105" t="s">
        <v>808</v>
      </c>
      <c r="W3" s="105" t="s">
        <v>809</v>
      </c>
      <c r="X3" s="106" t="s">
        <v>25</v>
      </c>
      <c r="Y3" s="107" t="s">
        <v>83</v>
      </c>
      <c r="Z3" s="107" t="s">
        <v>22</v>
      </c>
      <c r="AA3" s="107"/>
    </row>
    <row r="4" spans="2:27" s="116" customFormat="1" ht="14.4" customHeight="1">
      <c r="B4" s="68">
        <v>421</v>
      </c>
      <c r="C4" s="108" t="s">
        <v>810</v>
      </c>
      <c r="D4" s="68" t="str">
        <f t="shared" ref="D4:D67" si="0">REPLACE(C4,1,3, )</f>
        <v xml:space="preserve"> 821</v>
      </c>
      <c r="E4" s="108" t="s">
        <v>810</v>
      </c>
      <c r="F4" s="108">
        <f>SUM(F5:F36)</f>
        <v>0</v>
      </c>
      <c r="G4" s="109" t="s">
        <v>84</v>
      </c>
      <c r="H4" s="109" t="s">
        <v>811</v>
      </c>
      <c r="I4" s="109" t="s">
        <v>812</v>
      </c>
      <c r="J4" s="76">
        <v>97000</v>
      </c>
      <c r="K4" s="72">
        <f t="shared" ref="K4:K37" si="1">J4-M4</f>
        <v>7150</v>
      </c>
      <c r="L4" s="68" t="s">
        <v>791</v>
      </c>
      <c r="M4" s="73">
        <f t="shared" ref="M4:M18" si="2">J4-N4</f>
        <v>89850</v>
      </c>
      <c r="N4" s="76">
        <v>7150</v>
      </c>
      <c r="O4" s="74">
        <f t="shared" ref="O4:O41" si="3">M4+N4</f>
        <v>97000</v>
      </c>
      <c r="P4" s="110"/>
      <c r="Q4" s="73" t="s">
        <v>813</v>
      </c>
      <c r="R4" s="111"/>
      <c r="S4" s="112">
        <f t="shared" ref="S4:S67" si="4">R4+O4</f>
        <v>97000</v>
      </c>
      <c r="T4" s="112">
        <f t="shared" ref="T4:T67" si="5">S4/0.7</f>
        <v>138571.42857142858</v>
      </c>
      <c r="U4" s="113">
        <f t="shared" ref="U4:U67" si="6">T4/0.875</f>
        <v>158367.34693877553</v>
      </c>
      <c r="V4" s="114">
        <f t="shared" ref="V4:V67" si="7">(U4-T4)/U4</f>
        <v>0.12500000000000006</v>
      </c>
      <c r="W4" s="113">
        <f t="shared" ref="W4:W67" si="8">(ROUNDUP((U4/100),0))*100</f>
        <v>158400</v>
      </c>
      <c r="X4" s="115">
        <f t="shared" ref="X4:X67" si="9">(T4-O4)/T4</f>
        <v>0.30000000000000004</v>
      </c>
      <c r="Y4" s="83"/>
      <c r="Z4" s="83"/>
      <c r="AA4" s="84"/>
    </row>
    <row r="5" spans="2:27" s="116" customFormat="1" ht="14.4" customHeight="1">
      <c r="B5" s="117">
        <v>422</v>
      </c>
      <c r="C5" s="117" t="s">
        <v>814</v>
      </c>
      <c r="D5" s="68" t="str">
        <f t="shared" si="0"/>
        <v xml:space="preserve"> 953</v>
      </c>
      <c r="E5" s="117" t="s">
        <v>814</v>
      </c>
      <c r="F5" s="68">
        <f>IF(C5=E5,0,1)</f>
        <v>0</v>
      </c>
      <c r="G5" s="109" t="s">
        <v>790</v>
      </c>
      <c r="H5" s="109" t="s">
        <v>815</v>
      </c>
      <c r="I5" s="109" t="s">
        <v>816</v>
      </c>
      <c r="J5" s="71"/>
      <c r="K5" s="72">
        <f t="shared" si="1"/>
        <v>0</v>
      </c>
      <c r="L5" s="68" t="s">
        <v>791</v>
      </c>
      <c r="M5" s="73">
        <f t="shared" si="2"/>
        <v>0</v>
      </c>
      <c r="N5" s="75"/>
      <c r="O5" s="74">
        <f t="shared" si="3"/>
        <v>0</v>
      </c>
      <c r="P5" s="110"/>
      <c r="Q5" s="117"/>
      <c r="R5" s="111"/>
      <c r="S5" s="112">
        <f t="shared" si="4"/>
        <v>0</v>
      </c>
      <c r="T5" s="112">
        <f t="shared" si="5"/>
        <v>0</v>
      </c>
      <c r="U5" s="113">
        <f t="shared" si="6"/>
        <v>0</v>
      </c>
      <c r="V5" s="114" t="e">
        <f t="shared" si="7"/>
        <v>#DIV/0!</v>
      </c>
      <c r="W5" s="113">
        <f t="shared" si="8"/>
        <v>0</v>
      </c>
      <c r="X5" s="115" t="e">
        <f t="shared" si="9"/>
        <v>#DIV/0!</v>
      </c>
      <c r="Y5" s="85">
        <v>147175</v>
      </c>
      <c r="Z5" s="86">
        <f>T5-Y5</f>
        <v>-147175</v>
      </c>
      <c r="AA5" s="87">
        <f>Z5/Y5</f>
        <v>-1</v>
      </c>
    </row>
    <row r="6" spans="2:27" s="116" customFormat="1" ht="14.4" customHeight="1">
      <c r="B6" s="68">
        <v>423</v>
      </c>
      <c r="C6" s="108" t="s">
        <v>817</v>
      </c>
      <c r="D6" s="68" t="str">
        <f t="shared" si="0"/>
        <v xml:space="preserve"> 661</v>
      </c>
      <c r="E6" s="108" t="s">
        <v>817</v>
      </c>
      <c r="F6" s="108">
        <f>SUM(F7:F39)</f>
        <v>0</v>
      </c>
      <c r="G6" s="109" t="s">
        <v>84</v>
      </c>
      <c r="H6" s="109" t="s">
        <v>811</v>
      </c>
      <c r="I6" s="109" t="s">
        <v>812</v>
      </c>
      <c r="J6" s="71">
        <v>85000</v>
      </c>
      <c r="K6" s="72">
        <f t="shared" si="1"/>
        <v>7150</v>
      </c>
      <c r="L6" s="68" t="s">
        <v>791</v>
      </c>
      <c r="M6" s="73">
        <f t="shared" si="2"/>
        <v>77850</v>
      </c>
      <c r="N6" s="73">
        <v>7150</v>
      </c>
      <c r="O6" s="74">
        <f t="shared" si="3"/>
        <v>85000</v>
      </c>
      <c r="P6" s="110"/>
      <c r="Q6" s="73" t="s">
        <v>813</v>
      </c>
      <c r="R6" s="111"/>
      <c r="S6" s="112">
        <f t="shared" si="4"/>
        <v>85000</v>
      </c>
      <c r="T6" s="112">
        <f t="shared" si="5"/>
        <v>121428.57142857143</v>
      </c>
      <c r="U6" s="113">
        <f t="shared" si="6"/>
        <v>138775.51020408163</v>
      </c>
      <c r="V6" s="114">
        <f t="shared" si="7"/>
        <v>0.12499999999999992</v>
      </c>
      <c r="W6" s="113">
        <f t="shared" si="8"/>
        <v>138800</v>
      </c>
      <c r="X6" s="115">
        <f t="shared" si="9"/>
        <v>0.30000000000000004</v>
      </c>
      <c r="Y6" s="83"/>
      <c r="Z6" s="83"/>
      <c r="AA6" s="84"/>
    </row>
    <row r="7" spans="2:27" s="116" customFormat="1" ht="14.4" customHeight="1">
      <c r="B7" s="68">
        <v>424</v>
      </c>
      <c r="C7" s="108" t="s">
        <v>818</v>
      </c>
      <c r="D7" s="68" t="str">
        <f t="shared" si="0"/>
        <v xml:space="preserve"> 782</v>
      </c>
      <c r="E7" s="108" t="s">
        <v>818</v>
      </c>
      <c r="F7" s="108">
        <f>SUM(F8:F41)</f>
        <v>0</v>
      </c>
      <c r="G7" s="109" t="s">
        <v>84</v>
      </c>
      <c r="H7" s="109" t="s">
        <v>811</v>
      </c>
      <c r="I7" s="109" t="s">
        <v>812</v>
      </c>
      <c r="J7" s="71">
        <v>80000</v>
      </c>
      <c r="K7" s="72">
        <f t="shared" si="1"/>
        <v>7150</v>
      </c>
      <c r="L7" s="68" t="s">
        <v>791</v>
      </c>
      <c r="M7" s="73">
        <f t="shared" si="2"/>
        <v>72850</v>
      </c>
      <c r="N7" s="75">
        <v>7150</v>
      </c>
      <c r="O7" s="74">
        <f t="shared" si="3"/>
        <v>80000</v>
      </c>
      <c r="P7" s="110"/>
      <c r="Q7" s="73" t="s">
        <v>813</v>
      </c>
      <c r="R7" s="111"/>
      <c r="S7" s="112">
        <f t="shared" si="4"/>
        <v>80000</v>
      </c>
      <c r="T7" s="112">
        <f t="shared" si="5"/>
        <v>114285.71428571429</v>
      </c>
      <c r="U7" s="113">
        <f t="shared" si="6"/>
        <v>130612.24489795919</v>
      </c>
      <c r="V7" s="114">
        <f t="shared" si="7"/>
        <v>0.12499999999999999</v>
      </c>
      <c r="W7" s="113">
        <f t="shared" si="8"/>
        <v>130700</v>
      </c>
      <c r="X7" s="115">
        <f t="shared" si="9"/>
        <v>0.30000000000000004</v>
      </c>
      <c r="Y7" s="83"/>
      <c r="Z7" s="83"/>
      <c r="AA7" s="84"/>
    </row>
    <row r="8" spans="2:27" s="116" customFormat="1" ht="14.4" customHeight="1">
      <c r="B8" s="117">
        <v>425</v>
      </c>
      <c r="C8" s="117" t="s">
        <v>819</v>
      </c>
      <c r="D8" s="68" t="str">
        <f t="shared" si="0"/>
        <v xml:space="preserve"> 713</v>
      </c>
      <c r="E8" s="117" t="s">
        <v>819</v>
      </c>
      <c r="F8" s="68">
        <f t="shared" ref="F8:F13" si="10">IF(C8=E8,0,1)</f>
        <v>0</v>
      </c>
      <c r="G8" s="109" t="s">
        <v>790</v>
      </c>
      <c r="H8" s="109" t="s">
        <v>815</v>
      </c>
      <c r="I8" s="109" t="s">
        <v>820</v>
      </c>
      <c r="J8" s="71"/>
      <c r="K8" s="72">
        <f t="shared" si="1"/>
        <v>0</v>
      </c>
      <c r="L8" s="68" t="s">
        <v>791</v>
      </c>
      <c r="M8" s="73">
        <f t="shared" si="2"/>
        <v>0</v>
      </c>
      <c r="N8" s="75"/>
      <c r="O8" s="74">
        <f t="shared" si="3"/>
        <v>0</v>
      </c>
      <c r="P8" s="110"/>
      <c r="Q8" s="117"/>
      <c r="R8" s="111"/>
      <c r="S8" s="112">
        <f t="shared" si="4"/>
        <v>0</v>
      </c>
      <c r="T8" s="112">
        <f t="shared" si="5"/>
        <v>0</v>
      </c>
      <c r="U8" s="113">
        <f t="shared" si="6"/>
        <v>0</v>
      </c>
      <c r="V8" s="114" t="e">
        <f t="shared" si="7"/>
        <v>#DIV/0!</v>
      </c>
      <c r="W8" s="113">
        <f t="shared" si="8"/>
        <v>0</v>
      </c>
      <c r="X8" s="115" t="e">
        <f t="shared" si="9"/>
        <v>#DIV/0!</v>
      </c>
      <c r="Y8" s="85">
        <v>110075</v>
      </c>
      <c r="Z8" s="86">
        <f t="shared" ref="Z8:Z13" si="11">T8-Y8</f>
        <v>-110075</v>
      </c>
      <c r="AA8" s="87">
        <f t="shared" ref="AA8:AA13" si="12">Z8/Y8</f>
        <v>-1</v>
      </c>
    </row>
    <row r="9" spans="2:27" s="116" customFormat="1" ht="14.4" customHeight="1">
      <c r="B9" s="117">
        <v>426</v>
      </c>
      <c r="C9" s="117" t="s">
        <v>821</v>
      </c>
      <c r="D9" s="68" t="str">
        <f t="shared" si="0"/>
        <v xml:space="preserve"> 562</v>
      </c>
      <c r="E9" s="117" t="s">
        <v>821</v>
      </c>
      <c r="F9" s="68">
        <f t="shared" si="10"/>
        <v>0</v>
      </c>
      <c r="G9" s="109" t="s">
        <v>790</v>
      </c>
      <c r="H9" s="109" t="s">
        <v>815</v>
      </c>
      <c r="I9" s="109" t="s">
        <v>822</v>
      </c>
      <c r="J9" s="71"/>
      <c r="K9" s="72">
        <f t="shared" si="1"/>
        <v>0</v>
      </c>
      <c r="L9" s="68" t="s">
        <v>791</v>
      </c>
      <c r="M9" s="73">
        <f t="shared" si="2"/>
        <v>0</v>
      </c>
      <c r="N9" s="75"/>
      <c r="O9" s="74">
        <f t="shared" si="3"/>
        <v>0</v>
      </c>
      <c r="P9" s="110"/>
      <c r="Q9" s="117"/>
      <c r="R9" s="111"/>
      <c r="S9" s="112">
        <f t="shared" si="4"/>
        <v>0</v>
      </c>
      <c r="T9" s="112">
        <f t="shared" si="5"/>
        <v>0</v>
      </c>
      <c r="U9" s="113">
        <f t="shared" si="6"/>
        <v>0</v>
      </c>
      <c r="V9" s="114" t="e">
        <f t="shared" si="7"/>
        <v>#DIV/0!</v>
      </c>
      <c r="W9" s="113">
        <f t="shared" si="8"/>
        <v>0</v>
      </c>
      <c r="X9" s="115" t="e">
        <f t="shared" si="9"/>
        <v>#DIV/0!</v>
      </c>
      <c r="Y9" s="85">
        <v>100800</v>
      </c>
      <c r="Z9" s="86">
        <f t="shared" si="11"/>
        <v>-100800</v>
      </c>
      <c r="AA9" s="87">
        <f t="shared" si="12"/>
        <v>-1</v>
      </c>
    </row>
    <row r="10" spans="2:27" s="116" customFormat="1" ht="14.4" customHeight="1">
      <c r="B10" s="117">
        <v>427</v>
      </c>
      <c r="C10" s="117" t="s">
        <v>823</v>
      </c>
      <c r="D10" s="68" t="str">
        <f t="shared" si="0"/>
        <v xml:space="preserve"> 554</v>
      </c>
      <c r="E10" s="117" t="s">
        <v>823</v>
      </c>
      <c r="F10" s="68">
        <f t="shared" si="10"/>
        <v>0</v>
      </c>
      <c r="G10" s="109" t="s">
        <v>790</v>
      </c>
      <c r="H10" s="109" t="s">
        <v>815</v>
      </c>
      <c r="I10" s="109" t="s">
        <v>824</v>
      </c>
      <c r="J10" s="71">
        <f>80000+9500</f>
        <v>89500</v>
      </c>
      <c r="K10" s="72">
        <f t="shared" si="1"/>
        <v>7400</v>
      </c>
      <c r="L10" s="68" t="s">
        <v>791</v>
      </c>
      <c r="M10" s="73">
        <f t="shared" si="2"/>
        <v>82100</v>
      </c>
      <c r="N10" s="75">
        <f>2000+200+600+1000+3600</f>
        <v>7400</v>
      </c>
      <c r="O10" s="74">
        <f t="shared" si="3"/>
        <v>89500</v>
      </c>
      <c r="P10" s="110" t="s">
        <v>825</v>
      </c>
      <c r="Q10" s="117" t="s">
        <v>826</v>
      </c>
      <c r="R10" s="111"/>
      <c r="S10" s="112">
        <f t="shared" si="4"/>
        <v>89500</v>
      </c>
      <c r="T10" s="112">
        <f t="shared" si="5"/>
        <v>127857.14285714287</v>
      </c>
      <c r="U10" s="113">
        <f t="shared" si="6"/>
        <v>146122.44897959186</v>
      </c>
      <c r="V10" s="114">
        <f t="shared" si="7"/>
        <v>0.12500000000000008</v>
      </c>
      <c r="W10" s="113">
        <f t="shared" si="8"/>
        <v>146200</v>
      </c>
      <c r="X10" s="115">
        <f t="shared" si="9"/>
        <v>0.30000000000000004</v>
      </c>
      <c r="Y10" s="85">
        <v>118650</v>
      </c>
      <c r="Z10" s="86">
        <f t="shared" si="11"/>
        <v>9207.1428571428696</v>
      </c>
      <c r="AA10" s="87">
        <f t="shared" si="12"/>
        <v>7.7599181265426628E-2</v>
      </c>
    </row>
    <row r="11" spans="2:27" s="116" customFormat="1" ht="14.4" customHeight="1">
      <c r="B11" s="117">
        <v>428</v>
      </c>
      <c r="C11" s="117" t="s">
        <v>827</v>
      </c>
      <c r="D11" s="68" t="str">
        <f t="shared" si="0"/>
        <v xml:space="preserve"> 369</v>
      </c>
      <c r="E11" s="117" t="s">
        <v>827</v>
      </c>
      <c r="F11" s="68">
        <f t="shared" si="10"/>
        <v>0</v>
      </c>
      <c r="G11" s="109" t="s">
        <v>790</v>
      </c>
      <c r="H11" s="109" t="s">
        <v>815</v>
      </c>
      <c r="I11" s="109" t="s">
        <v>828</v>
      </c>
      <c r="J11" s="71"/>
      <c r="K11" s="72">
        <f t="shared" si="1"/>
        <v>0</v>
      </c>
      <c r="L11" s="68" t="s">
        <v>791</v>
      </c>
      <c r="M11" s="73">
        <f t="shared" si="2"/>
        <v>0</v>
      </c>
      <c r="N11" s="75"/>
      <c r="O11" s="74">
        <f t="shared" si="3"/>
        <v>0</v>
      </c>
      <c r="P11" s="110"/>
      <c r="Q11" s="117"/>
      <c r="R11" s="111"/>
      <c r="S11" s="112">
        <f t="shared" si="4"/>
        <v>0</v>
      </c>
      <c r="T11" s="112">
        <f t="shared" si="5"/>
        <v>0</v>
      </c>
      <c r="U11" s="113">
        <f t="shared" si="6"/>
        <v>0</v>
      </c>
      <c r="V11" s="114" t="e">
        <f t="shared" si="7"/>
        <v>#DIV/0!</v>
      </c>
      <c r="W11" s="113">
        <f t="shared" si="8"/>
        <v>0</v>
      </c>
      <c r="X11" s="115" t="e">
        <f t="shared" si="9"/>
        <v>#DIV/0!</v>
      </c>
      <c r="Y11" s="85">
        <v>105788</v>
      </c>
      <c r="Z11" s="86">
        <f t="shared" si="11"/>
        <v>-105788</v>
      </c>
      <c r="AA11" s="87">
        <f t="shared" si="12"/>
        <v>-1</v>
      </c>
    </row>
    <row r="12" spans="2:27" s="116" customFormat="1" ht="14.4" customHeight="1">
      <c r="B12" s="117">
        <v>429</v>
      </c>
      <c r="C12" s="117" t="s">
        <v>829</v>
      </c>
      <c r="D12" s="68" t="str">
        <f t="shared" si="0"/>
        <v xml:space="preserve"> 169</v>
      </c>
      <c r="E12" s="117" t="s">
        <v>829</v>
      </c>
      <c r="F12" s="68">
        <f t="shared" si="10"/>
        <v>0</v>
      </c>
      <c r="G12" s="109" t="s">
        <v>790</v>
      </c>
      <c r="H12" s="109" t="s">
        <v>815</v>
      </c>
      <c r="I12" s="109" t="s">
        <v>824</v>
      </c>
      <c r="J12" s="71">
        <f>82500+11000</f>
        <v>93500</v>
      </c>
      <c r="K12" s="72">
        <f t="shared" si="1"/>
        <v>6800</v>
      </c>
      <c r="L12" s="68" t="s">
        <v>791</v>
      </c>
      <c r="M12" s="73">
        <f t="shared" si="2"/>
        <v>86700</v>
      </c>
      <c r="N12" s="75">
        <f>2000+200+600+1000+3000</f>
        <v>6800</v>
      </c>
      <c r="O12" s="74">
        <f t="shared" si="3"/>
        <v>93500</v>
      </c>
      <c r="P12" s="110" t="s">
        <v>830</v>
      </c>
      <c r="Q12" s="117" t="s">
        <v>831</v>
      </c>
      <c r="R12" s="111"/>
      <c r="S12" s="112">
        <f t="shared" si="4"/>
        <v>93500</v>
      </c>
      <c r="T12" s="112">
        <f t="shared" si="5"/>
        <v>133571.42857142858</v>
      </c>
      <c r="U12" s="113">
        <f t="shared" si="6"/>
        <v>152653.06122448979</v>
      </c>
      <c r="V12" s="114">
        <f t="shared" si="7"/>
        <v>0.12499999999999993</v>
      </c>
      <c r="W12" s="113">
        <f t="shared" si="8"/>
        <v>152700</v>
      </c>
      <c r="X12" s="115">
        <f t="shared" si="9"/>
        <v>0.30000000000000004</v>
      </c>
      <c r="Y12" s="85">
        <v>122150</v>
      </c>
      <c r="Z12" s="86">
        <f t="shared" si="11"/>
        <v>11421.42857142858</v>
      </c>
      <c r="AA12" s="87">
        <f t="shared" si="12"/>
        <v>9.3503303900356771E-2</v>
      </c>
    </row>
    <row r="13" spans="2:27" s="116" customFormat="1" ht="14.4" customHeight="1">
      <c r="B13" s="117">
        <v>430</v>
      </c>
      <c r="C13" s="117" t="s">
        <v>832</v>
      </c>
      <c r="D13" s="68" t="str">
        <f t="shared" si="0"/>
        <v xml:space="preserve"> 951</v>
      </c>
      <c r="E13" s="117" t="s">
        <v>832</v>
      </c>
      <c r="F13" s="68">
        <f t="shared" si="10"/>
        <v>0</v>
      </c>
      <c r="G13" s="109" t="s">
        <v>790</v>
      </c>
      <c r="H13" s="109" t="s">
        <v>833</v>
      </c>
      <c r="I13" s="109" t="s">
        <v>820</v>
      </c>
      <c r="J13" s="71"/>
      <c r="K13" s="72">
        <f t="shared" si="1"/>
        <v>0</v>
      </c>
      <c r="L13" s="68" t="s">
        <v>791</v>
      </c>
      <c r="M13" s="73">
        <f t="shared" si="2"/>
        <v>0</v>
      </c>
      <c r="N13" s="75"/>
      <c r="O13" s="74">
        <f t="shared" si="3"/>
        <v>0</v>
      </c>
      <c r="P13" s="110"/>
      <c r="Q13" s="117"/>
      <c r="R13" s="111"/>
      <c r="S13" s="112">
        <f t="shared" si="4"/>
        <v>0</v>
      </c>
      <c r="T13" s="112">
        <f t="shared" si="5"/>
        <v>0</v>
      </c>
      <c r="U13" s="113">
        <f t="shared" si="6"/>
        <v>0</v>
      </c>
      <c r="V13" s="114" t="e">
        <f t="shared" si="7"/>
        <v>#DIV/0!</v>
      </c>
      <c r="W13" s="113">
        <f t="shared" si="8"/>
        <v>0</v>
      </c>
      <c r="X13" s="115" t="e">
        <f t="shared" si="9"/>
        <v>#DIV/0!</v>
      </c>
      <c r="Y13" s="85">
        <v>97213</v>
      </c>
      <c r="Z13" s="86">
        <f t="shared" si="11"/>
        <v>-97213</v>
      </c>
      <c r="AA13" s="87">
        <f t="shared" si="12"/>
        <v>-1</v>
      </c>
    </row>
    <row r="14" spans="2:27" s="116" customFormat="1" ht="14.4" customHeight="1">
      <c r="B14" s="68">
        <v>431</v>
      </c>
      <c r="C14" s="108" t="s">
        <v>834</v>
      </c>
      <c r="D14" s="68" t="str">
        <f t="shared" si="0"/>
        <v xml:space="preserve"> 695</v>
      </c>
      <c r="E14" s="108" t="s">
        <v>834</v>
      </c>
      <c r="F14" s="108">
        <f>SUM(F15:F37)</f>
        <v>0</v>
      </c>
      <c r="G14" s="109" t="s">
        <v>84</v>
      </c>
      <c r="H14" s="109" t="s">
        <v>811</v>
      </c>
      <c r="I14" s="109" t="s">
        <v>835</v>
      </c>
      <c r="J14" s="71">
        <v>68000</v>
      </c>
      <c r="K14" s="72">
        <f t="shared" si="1"/>
        <v>6900</v>
      </c>
      <c r="L14" s="68" t="s">
        <v>791</v>
      </c>
      <c r="M14" s="73">
        <f t="shared" si="2"/>
        <v>61100</v>
      </c>
      <c r="N14" s="73">
        <v>6900</v>
      </c>
      <c r="O14" s="74">
        <f t="shared" si="3"/>
        <v>68000</v>
      </c>
      <c r="P14" s="110"/>
      <c r="Q14" s="117" t="s">
        <v>836</v>
      </c>
      <c r="R14" s="111"/>
      <c r="S14" s="112">
        <f t="shared" si="4"/>
        <v>68000</v>
      </c>
      <c r="T14" s="112">
        <f t="shared" si="5"/>
        <v>97142.857142857145</v>
      </c>
      <c r="U14" s="113">
        <f t="shared" si="6"/>
        <v>111020.40816326531</v>
      </c>
      <c r="V14" s="114">
        <f t="shared" si="7"/>
        <v>0.12500000000000003</v>
      </c>
      <c r="W14" s="113">
        <f t="shared" si="8"/>
        <v>111100</v>
      </c>
      <c r="X14" s="115">
        <f t="shared" si="9"/>
        <v>0.3</v>
      </c>
      <c r="Y14" s="83"/>
      <c r="Z14" s="83"/>
      <c r="AA14" s="84"/>
    </row>
    <row r="15" spans="2:27" s="116" customFormat="1" ht="14.4" customHeight="1">
      <c r="B15" s="117">
        <v>432</v>
      </c>
      <c r="C15" s="117" t="s">
        <v>837</v>
      </c>
      <c r="D15" s="68" t="str">
        <f t="shared" si="0"/>
        <v xml:space="preserve"> 938</v>
      </c>
      <c r="E15" s="117" t="s">
        <v>837</v>
      </c>
      <c r="F15" s="68">
        <f>IF(C15=E15,0,1)</f>
        <v>0</v>
      </c>
      <c r="G15" s="109" t="s">
        <v>789</v>
      </c>
      <c r="H15" s="109" t="s">
        <v>811</v>
      </c>
      <c r="I15" s="109" t="s">
        <v>838</v>
      </c>
      <c r="J15" s="71"/>
      <c r="K15" s="72">
        <f t="shared" si="1"/>
        <v>0</v>
      </c>
      <c r="L15" s="68" t="s">
        <v>791</v>
      </c>
      <c r="M15" s="73">
        <f t="shared" si="2"/>
        <v>0</v>
      </c>
      <c r="N15" s="75"/>
      <c r="O15" s="74">
        <f t="shared" si="3"/>
        <v>0</v>
      </c>
      <c r="P15" s="110"/>
      <c r="Q15" s="117"/>
      <c r="R15" s="111"/>
      <c r="S15" s="112">
        <f t="shared" si="4"/>
        <v>0</v>
      </c>
      <c r="T15" s="112">
        <f t="shared" si="5"/>
        <v>0</v>
      </c>
      <c r="U15" s="113">
        <f t="shared" si="6"/>
        <v>0</v>
      </c>
      <c r="V15" s="114" t="e">
        <f t="shared" si="7"/>
        <v>#DIV/0!</v>
      </c>
      <c r="W15" s="113">
        <f t="shared" si="8"/>
        <v>0</v>
      </c>
      <c r="X15" s="115" t="e">
        <f t="shared" si="9"/>
        <v>#DIV/0!</v>
      </c>
      <c r="Y15" s="83"/>
      <c r="Z15" s="83"/>
      <c r="AA15" s="84"/>
    </row>
    <row r="16" spans="2:27" s="116" customFormat="1" ht="14.4" customHeight="1">
      <c r="B16" s="68">
        <v>433</v>
      </c>
      <c r="C16" s="108" t="s">
        <v>839</v>
      </c>
      <c r="D16" s="68" t="str">
        <f t="shared" si="0"/>
        <v xml:space="preserve"> 911</v>
      </c>
      <c r="E16" s="108" t="s">
        <v>839</v>
      </c>
      <c r="F16" s="108">
        <f>SUM(F17:F40)</f>
        <v>0</v>
      </c>
      <c r="G16" s="109" t="s">
        <v>84</v>
      </c>
      <c r="H16" s="109" t="s">
        <v>811</v>
      </c>
      <c r="I16" s="109" t="s">
        <v>840</v>
      </c>
      <c r="J16" s="71">
        <v>77000</v>
      </c>
      <c r="K16" s="72">
        <f t="shared" si="1"/>
        <v>6500</v>
      </c>
      <c r="L16" s="68" t="s">
        <v>791</v>
      </c>
      <c r="M16" s="73">
        <f t="shared" si="2"/>
        <v>70500</v>
      </c>
      <c r="N16" s="75">
        <v>6500</v>
      </c>
      <c r="O16" s="74">
        <f t="shared" si="3"/>
        <v>77000</v>
      </c>
      <c r="P16" s="110"/>
      <c r="Q16" s="73" t="s">
        <v>841</v>
      </c>
      <c r="R16" s="111"/>
      <c r="S16" s="112">
        <f t="shared" si="4"/>
        <v>77000</v>
      </c>
      <c r="T16" s="112">
        <f t="shared" si="5"/>
        <v>110000</v>
      </c>
      <c r="U16" s="113">
        <f t="shared" si="6"/>
        <v>125714.28571428571</v>
      </c>
      <c r="V16" s="114">
        <f t="shared" si="7"/>
        <v>0.12499999999999997</v>
      </c>
      <c r="W16" s="113">
        <f t="shared" si="8"/>
        <v>125800</v>
      </c>
      <c r="X16" s="115">
        <f t="shared" si="9"/>
        <v>0.3</v>
      </c>
      <c r="Y16" s="83"/>
      <c r="Z16" s="83"/>
      <c r="AA16" s="84"/>
    </row>
    <row r="17" spans="2:27" s="116" customFormat="1" ht="14.4" customHeight="1">
      <c r="B17" s="117">
        <v>434</v>
      </c>
      <c r="C17" s="117" t="s">
        <v>842</v>
      </c>
      <c r="D17" s="68" t="str">
        <f t="shared" si="0"/>
        <v xml:space="preserve"> 353</v>
      </c>
      <c r="E17" s="117" t="s">
        <v>842</v>
      </c>
      <c r="F17" s="68">
        <f t="shared" ref="F17:F26" si="13">IF(C17=E17,0,1)</f>
        <v>0</v>
      </c>
      <c r="G17" s="109" t="s">
        <v>790</v>
      </c>
      <c r="H17" s="109" t="s">
        <v>815</v>
      </c>
      <c r="I17" s="109" t="s">
        <v>843</v>
      </c>
      <c r="J17" s="71"/>
      <c r="K17" s="72">
        <f t="shared" si="1"/>
        <v>0</v>
      </c>
      <c r="L17" s="68" t="s">
        <v>791</v>
      </c>
      <c r="M17" s="73">
        <f t="shared" si="2"/>
        <v>0</v>
      </c>
      <c r="N17" s="75"/>
      <c r="O17" s="74">
        <f t="shared" si="3"/>
        <v>0</v>
      </c>
      <c r="P17" s="110"/>
      <c r="Q17" s="117"/>
      <c r="R17" s="111"/>
      <c r="S17" s="112">
        <f t="shared" si="4"/>
        <v>0</v>
      </c>
      <c r="T17" s="112">
        <f t="shared" si="5"/>
        <v>0</v>
      </c>
      <c r="U17" s="113">
        <f t="shared" si="6"/>
        <v>0</v>
      </c>
      <c r="V17" s="114" t="e">
        <f t="shared" si="7"/>
        <v>#DIV/0!</v>
      </c>
      <c r="W17" s="113">
        <f t="shared" si="8"/>
        <v>0</v>
      </c>
      <c r="X17" s="115" t="e">
        <f t="shared" si="9"/>
        <v>#DIV/0!</v>
      </c>
      <c r="Y17" s="85">
        <v>102813</v>
      </c>
      <c r="Z17" s="86">
        <f>T17-Y17</f>
        <v>-102813</v>
      </c>
      <c r="AA17" s="87">
        <f>Z17/Y17</f>
        <v>-1</v>
      </c>
    </row>
    <row r="18" spans="2:27" s="116" customFormat="1" ht="14.4" customHeight="1">
      <c r="B18" s="117">
        <v>435</v>
      </c>
      <c r="C18" s="117" t="s">
        <v>844</v>
      </c>
      <c r="D18" s="68" t="str">
        <f t="shared" si="0"/>
        <v xml:space="preserve"> 223</v>
      </c>
      <c r="E18" s="117" t="s">
        <v>844</v>
      </c>
      <c r="F18" s="68">
        <f t="shared" si="13"/>
        <v>0</v>
      </c>
      <c r="G18" s="109" t="s">
        <v>790</v>
      </c>
      <c r="H18" s="109" t="s">
        <v>815</v>
      </c>
      <c r="I18" s="109" t="s">
        <v>816</v>
      </c>
      <c r="J18" s="71"/>
      <c r="K18" s="72">
        <f t="shared" si="1"/>
        <v>0</v>
      </c>
      <c r="L18" s="68" t="s">
        <v>791</v>
      </c>
      <c r="M18" s="73">
        <f t="shared" si="2"/>
        <v>0</v>
      </c>
      <c r="N18" s="75"/>
      <c r="O18" s="74">
        <f t="shared" si="3"/>
        <v>0</v>
      </c>
      <c r="P18" s="110"/>
      <c r="Q18" s="117"/>
      <c r="R18" s="111"/>
      <c r="S18" s="112">
        <f t="shared" si="4"/>
        <v>0</v>
      </c>
      <c r="T18" s="112">
        <f t="shared" si="5"/>
        <v>0</v>
      </c>
      <c r="U18" s="113">
        <f t="shared" si="6"/>
        <v>0</v>
      </c>
      <c r="V18" s="114" t="e">
        <f t="shared" si="7"/>
        <v>#DIV/0!</v>
      </c>
      <c r="W18" s="113">
        <f t="shared" si="8"/>
        <v>0</v>
      </c>
      <c r="X18" s="115" t="e">
        <f t="shared" si="9"/>
        <v>#DIV/0!</v>
      </c>
      <c r="Y18" s="85">
        <v>136500</v>
      </c>
      <c r="Z18" s="86">
        <f>T18-Y18</f>
        <v>-136500</v>
      </c>
      <c r="AA18" s="87">
        <f>Z18/Y18</f>
        <v>-1</v>
      </c>
    </row>
    <row r="19" spans="2:27" s="116" customFormat="1" ht="14.4" customHeight="1">
      <c r="B19" s="108">
        <v>436</v>
      </c>
      <c r="C19" s="68" t="s">
        <v>845</v>
      </c>
      <c r="D19" s="68" t="str">
        <f t="shared" si="0"/>
        <v xml:space="preserve"> 486</v>
      </c>
      <c r="E19" s="117" t="s">
        <v>845</v>
      </c>
      <c r="F19" s="68">
        <f t="shared" si="13"/>
        <v>0</v>
      </c>
      <c r="G19" s="109" t="s">
        <v>789</v>
      </c>
      <c r="H19" s="109" t="s">
        <v>811</v>
      </c>
      <c r="I19" s="109" t="s">
        <v>846</v>
      </c>
      <c r="J19" s="71">
        <f>M19</f>
        <v>63000</v>
      </c>
      <c r="K19" s="72">
        <f t="shared" si="1"/>
        <v>0</v>
      </c>
      <c r="L19" s="118" t="s">
        <v>847</v>
      </c>
      <c r="M19" s="119">
        <v>63000</v>
      </c>
      <c r="N19" s="75">
        <f>2000+300+600+650+3000</f>
        <v>6550</v>
      </c>
      <c r="O19" s="74">
        <f t="shared" si="3"/>
        <v>69550</v>
      </c>
      <c r="P19" s="110"/>
      <c r="Q19" s="117" t="s">
        <v>848</v>
      </c>
      <c r="R19" s="111"/>
      <c r="S19" s="112">
        <f t="shared" si="4"/>
        <v>69550</v>
      </c>
      <c r="T19" s="112">
        <f t="shared" si="5"/>
        <v>99357.14285714287</v>
      </c>
      <c r="U19" s="113">
        <f t="shared" si="6"/>
        <v>113551.02040816328</v>
      </c>
      <c r="V19" s="114">
        <f t="shared" si="7"/>
        <v>0.12500000000000003</v>
      </c>
      <c r="W19" s="113">
        <f t="shared" si="8"/>
        <v>113600</v>
      </c>
      <c r="X19" s="115">
        <f t="shared" si="9"/>
        <v>0.3000000000000001</v>
      </c>
      <c r="Y19" s="85">
        <v>99050</v>
      </c>
      <c r="Z19" s="86">
        <f>T19-Y19</f>
        <v>307.14285714286962</v>
      </c>
      <c r="AA19" s="87">
        <f>Z19/Y19</f>
        <v>3.10088699790883E-3</v>
      </c>
    </row>
    <row r="20" spans="2:27" s="116" customFormat="1" ht="14.4" customHeight="1">
      <c r="B20" s="117">
        <v>437</v>
      </c>
      <c r="C20" s="117" t="s">
        <v>849</v>
      </c>
      <c r="D20" s="68" t="str">
        <f t="shared" si="0"/>
        <v xml:space="preserve"> 439</v>
      </c>
      <c r="E20" s="117" t="s">
        <v>849</v>
      </c>
      <c r="F20" s="68">
        <f t="shared" si="13"/>
        <v>0</v>
      </c>
      <c r="G20" s="109" t="s">
        <v>790</v>
      </c>
      <c r="H20" s="109" t="s">
        <v>815</v>
      </c>
      <c r="I20" s="109" t="s">
        <v>843</v>
      </c>
      <c r="J20" s="71"/>
      <c r="K20" s="72">
        <f t="shared" si="1"/>
        <v>0</v>
      </c>
      <c r="L20" s="68" t="s">
        <v>791</v>
      </c>
      <c r="M20" s="73">
        <f t="shared" ref="M20:M25" si="14">J20-N20</f>
        <v>0</v>
      </c>
      <c r="N20" s="73"/>
      <c r="O20" s="74">
        <f t="shared" si="3"/>
        <v>0</v>
      </c>
      <c r="P20" s="110"/>
      <c r="Q20" s="117"/>
      <c r="R20" s="111"/>
      <c r="S20" s="112">
        <f t="shared" si="4"/>
        <v>0</v>
      </c>
      <c r="T20" s="112">
        <f t="shared" si="5"/>
        <v>0</v>
      </c>
      <c r="U20" s="113">
        <f t="shared" si="6"/>
        <v>0</v>
      </c>
      <c r="V20" s="114" t="e">
        <f t="shared" si="7"/>
        <v>#DIV/0!</v>
      </c>
      <c r="W20" s="113">
        <f t="shared" si="8"/>
        <v>0</v>
      </c>
      <c r="X20" s="115" t="e">
        <f t="shared" si="9"/>
        <v>#DIV/0!</v>
      </c>
      <c r="Y20" s="85">
        <v>105088</v>
      </c>
      <c r="Z20" s="86">
        <f>T20-Y20</f>
        <v>-105088</v>
      </c>
      <c r="AA20" s="87">
        <f>Z20/Y20</f>
        <v>-1</v>
      </c>
    </row>
    <row r="21" spans="2:27" s="116" customFormat="1" ht="14.4" customHeight="1">
      <c r="B21" s="108">
        <v>438</v>
      </c>
      <c r="C21" s="117" t="s">
        <v>850</v>
      </c>
      <c r="D21" s="68" t="str">
        <f t="shared" si="0"/>
        <v xml:space="preserve"> 268</v>
      </c>
      <c r="E21" s="117" t="s">
        <v>850</v>
      </c>
      <c r="F21" s="68">
        <f t="shared" si="13"/>
        <v>0</v>
      </c>
      <c r="G21" s="109" t="s">
        <v>789</v>
      </c>
      <c r="H21" s="109" t="s">
        <v>811</v>
      </c>
      <c r="I21" s="109" t="s">
        <v>851</v>
      </c>
      <c r="J21" s="71"/>
      <c r="K21" s="72">
        <f t="shared" si="1"/>
        <v>0</v>
      </c>
      <c r="L21" s="68" t="s">
        <v>791</v>
      </c>
      <c r="M21" s="73">
        <f t="shared" si="14"/>
        <v>0</v>
      </c>
      <c r="N21" s="73"/>
      <c r="O21" s="74">
        <f t="shared" si="3"/>
        <v>0</v>
      </c>
      <c r="P21" s="110"/>
      <c r="Q21" s="117"/>
      <c r="R21" s="111"/>
      <c r="S21" s="112">
        <f t="shared" si="4"/>
        <v>0</v>
      </c>
      <c r="T21" s="112">
        <f t="shared" si="5"/>
        <v>0</v>
      </c>
      <c r="U21" s="113">
        <f t="shared" si="6"/>
        <v>0</v>
      </c>
      <c r="V21" s="114" t="e">
        <f t="shared" si="7"/>
        <v>#DIV/0!</v>
      </c>
      <c r="W21" s="113">
        <f t="shared" si="8"/>
        <v>0</v>
      </c>
      <c r="X21" s="115" t="e">
        <f t="shared" si="9"/>
        <v>#DIV/0!</v>
      </c>
      <c r="Y21" s="85"/>
      <c r="Z21" s="86"/>
      <c r="AA21" s="87"/>
    </row>
    <row r="22" spans="2:27" s="116" customFormat="1" ht="14.4" customHeight="1">
      <c r="B22" s="117">
        <v>439</v>
      </c>
      <c r="C22" s="117" t="s">
        <v>852</v>
      </c>
      <c r="D22" s="68" t="str">
        <f t="shared" si="0"/>
        <v xml:space="preserve"> 390</v>
      </c>
      <c r="E22" s="117" t="s">
        <v>852</v>
      </c>
      <c r="F22" s="68">
        <f t="shared" si="13"/>
        <v>0</v>
      </c>
      <c r="G22" s="109" t="s">
        <v>789</v>
      </c>
      <c r="H22" s="109" t="s">
        <v>811</v>
      </c>
      <c r="I22" s="109" t="s">
        <v>838</v>
      </c>
      <c r="J22" s="71"/>
      <c r="K22" s="72">
        <f t="shared" si="1"/>
        <v>0</v>
      </c>
      <c r="L22" s="68" t="s">
        <v>791</v>
      </c>
      <c r="M22" s="73">
        <f t="shared" si="14"/>
        <v>0</v>
      </c>
      <c r="N22" s="73"/>
      <c r="O22" s="74">
        <f t="shared" si="3"/>
        <v>0</v>
      </c>
      <c r="P22" s="110"/>
      <c r="Q22" s="117"/>
      <c r="R22" s="111"/>
      <c r="S22" s="112">
        <f t="shared" si="4"/>
        <v>0</v>
      </c>
      <c r="T22" s="112">
        <f t="shared" si="5"/>
        <v>0</v>
      </c>
      <c r="U22" s="113">
        <f t="shared" si="6"/>
        <v>0</v>
      </c>
      <c r="V22" s="114" t="e">
        <f t="shared" si="7"/>
        <v>#DIV/0!</v>
      </c>
      <c r="W22" s="113">
        <f t="shared" si="8"/>
        <v>0</v>
      </c>
      <c r="X22" s="115" t="e">
        <f t="shared" si="9"/>
        <v>#DIV/0!</v>
      </c>
      <c r="Y22" s="85"/>
      <c r="Z22" s="86"/>
      <c r="AA22" s="87"/>
    </row>
    <row r="23" spans="2:27" s="116" customFormat="1" ht="14.4" customHeight="1">
      <c r="B23" s="108">
        <v>440</v>
      </c>
      <c r="C23" s="117" t="s">
        <v>853</v>
      </c>
      <c r="D23" s="68" t="str">
        <f t="shared" si="0"/>
        <v xml:space="preserve"> 515</v>
      </c>
      <c r="E23" s="117" t="s">
        <v>853</v>
      </c>
      <c r="F23" s="68">
        <f t="shared" si="13"/>
        <v>0</v>
      </c>
      <c r="G23" s="109" t="s">
        <v>789</v>
      </c>
      <c r="H23" s="109" t="s">
        <v>854</v>
      </c>
      <c r="I23" s="109" t="s">
        <v>812</v>
      </c>
      <c r="J23" s="71"/>
      <c r="K23" s="72">
        <f t="shared" si="1"/>
        <v>0</v>
      </c>
      <c r="L23" s="68" t="s">
        <v>791</v>
      </c>
      <c r="M23" s="73">
        <f t="shared" si="14"/>
        <v>0</v>
      </c>
      <c r="N23" s="73"/>
      <c r="O23" s="74">
        <f t="shared" si="3"/>
        <v>0</v>
      </c>
      <c r="P23" s="110"/>
      <c r="Q23" s="117"/>
      <c r="R23" s="111"/>
      <c r="S23" s="112">
        <f t="shared" si="4"/>
        <v>0</v>
      </c>
      <c r="T23" s="112">
        <f t="shared" si="5"/>
        <v>0</v>
      </c>
      <c r="U23" s="113">
        <f t="shared" si="6"/>
        <v>0</v>
      </c>
      <c r="V23" s="114" t="e">
        <f t="shared" si="7"/>
        <v>#DIV/0!</v>
      </c>
      <c r="W23" s="113">
        <f t="shared" si="8"/>
        <v>0</v>
      </c>
      <c r="X23" s="115" t="e">
        <f t="shared" si="9"/>
        <v>#DIV/0!</v>
      </c>
      <c r="Y23" s="85"/>
      <c r="Z23" s="86"/>
      <c r="AA23" s="87"/>
    </row>
    <row r="24" spans="2:27" s="116" customFormat="1" ht="14.4" customHeight="1">
      <c r="B24" s="117">
        <v>441</v>
      </c>
      <c r="C24" s="117" t="s">
        <v>855</v>
      </c>
      <c r="D24" s="68" t="str">
        <f t="shared" si="0"/>
        <v xml:space="preserve"> 886</v>
      </c>
      <c r="E24" s="117" t="s">
        <v>855</v>
      </c>
      <c r="F24" s="68">
        <f t="shared" si="13"/>
        <v>0</v>
      </c>
      <c r="G24" s="109" t="s">
        <v>789</v>
      </c>
      <c r="H24" s="109" t="s">
        <v>811</v>
      </c>
      <c r="I24" s="109" t="s">
        <v>838</v>
      </c>
      <c r="J24" s="71"/>
      <c r="K24" s="72">
        <f t="shared" si="1"/>
        <v>0</v>
      </c>
      <c r="L24" s="68" t="s">
        <v>791</v>
      </c>
      <c r="M24" s="73">
        <f t="shared" si="14"/>
        <v>0</v>
      </c>
      <c r="N24" s="73"/>
      <c r="O24" s="74">
        <f t="shared" si="3"/>
        <v>0</v>
      </c>
      <c r="P24" s="110"/>
      <c r="Q24" s="117"/>
      <c r="R24" s="111"/>
      <c r="S24" s="112">
        <f t="shared" si="4"/>
        <v>0</v>
      </c>
      <c r="T24" s="112">
        <f t="shared" si="5"/>
        <v>0</v>
      </c>
      <c r="U24" s="113">
        <f t="shared" si="6"/>
        <v>0</v>
      </c>
      <c r="V24" s="114" t="e">
        <f t="shared" si="7"/>
        <v>#DIV/0!</v>
      </c>
      <c r="W24" s="113">
        <f t="shared" si="8"/>
        <v>0</v>
      </c>
      <c r="X24" s="115" t="e">
        <f t="shared" si="9"/>
        <v>#DIV/0!</v>
      </c>
      <c r="Y24" s="85"/>
      <c r="Z24" s="86"/>
      <c r="AA24" s="87"/>
    </row>
    <row r="25" spans="2:27" s="116" customFormat="1" ht="14.4" customHeight="1">
      <c r="B25" s="108">
        <v>442</v>
      </c>
      <c r="C25" s="117" t="s">
        <v>856</v>
      </c>
      <c r="D25" s="68" t="str">
        <f t="shared" si="0"/>
        <v xml:space="preserve"> 754</v>
      </c>
      <c r="E25" s="117" t="s">
        <v>856</v>
      </c>
      <c r="F25" s="68">
        <f t="shared" si="13"/>
        <v>0</v>
      </c>
      <c r="G25" s="109" t="s">
        <v>790</v>
      </c>
      <c r="H25" s="109" t="s">
        <v>815</v>
      </c>
      <c r="I25" s="109" t="s">
        <v>816</v>
      </c>
      <c r="J25" s="71"/>
      <c r="K25" s="72">
        <f t="shared" si="1"/>
        <v>0</v>
      </c>
      <c r="L25" s="68" t="s">
        <v>791</v>
      </c>
      <c r="M25" s="73">
        <f t="shared" si="14"/>
        <v>0</v>
      </c>
      <c r="N25" s="73"/>
      <c r="O25" s="74">
        <f t="shared" si="3"/>
        <v>0</v>
      </c>
      <c r="P25" s="110"/>
      <c r="Q25" s="117"/>
      <c r="R25" s="111"/>
      <c r="S25" s="112">
        <f t="shared" si="4"/>
        <v>0</v>
      </c>
      <c r="T25" s="112">
        <f t="shared" si="5"/>
        <v>0</v>
      </c>
      <c r="U25" s="113">
        <f t="shared" si="6"/>
        <v>0</v>
      </c>
      <c r="V25" s="114" t="e">
        <f t="shared" si="7"/>
        <v>#DIV/0!</v>
      </c>
      <c r="W25" s="113">
        <f t="shared" si="8"/>
        <v>0</v>
      </c>
      <c r="X25" s="115" t="e">
        <f t="shared" si="9"/>
        <v>#DIV/0!</v>
      </c>
      <c r="Y25" s="85">
        <v>102900</v>
      </c>
      <c r="Z25" s="86">
        <f>T25-Y25</f>
        <v>-102900</v>
      </c>
      <c r="AA25" s="87">
        <f>Z25/Y25</f>
        <v>-1</v>
      </c>
    </row>
    <row r="26" spans="2:27" s="116" customFormat="1" ht="14.4" customHeight="1">
      <c r="B26" s="117">
        <v>443</v>
      </c>
      <c r="C26" s="117" t="s">
        <v>857</v>
      </c>
      <c r="D26" s="68" t="str">
        <f t="shared" si="0"/>
        <v xml:space="preserve"> 698</v>
      </c>
      <c r="E26" s="117" t="s">
        <v>857</v>
      </c>
      <c r="F26" s="68">
        <f t="shared" si="13"/>
        <v>0</v>
      </c>
      <c r="G26" s="109" t="s">
        <v>789</v>
      </c>
      <c r="H26" s="109" t="s">
        <v>858</v>
      </c>
      <c r="I26" s="109" t="s">
        <v>859</v>
      </c>
      <c r="J26" s="71">
        <f>M26</f>
        <v>41500</v>
      </c>
      <c r="K26" s="120">
        <f t="shared" si="1"/>
        <v>0</v>
      </c>
      <c r="L26" s="118" t="s">
        <v>847</v>
      </c>
      <c r="M26" s="121">
        <v>41500</v>
      </c>
      <c r="N26" s="73">
        <v>0</v>
      </c>
      <c r="O26" s="74">
        <f t="shared" si="3"/>
        <v>41500</v>
      </c>
      <c r="P26" s="122"/>
      <c r="Q26" s="117"/>
      <c r="R26" s="111"/>
      <c r="S26" s="112">
        <f t="shared" si="4"/>
        <v>41500</v>
      </c>
      <c r="T26" s="112">
        <f t="shared" si="5"/>
        <v>59285.71428571429</v>
      </c>
      <c r="U26" s="113">
        <f t="shared" si="6"/>
        <v>67755.102040816331</v>
      </c>
      <c r="V26" s="114">
        <f t="shared" si="7"/>
        <v>0.125</v>
      </c>
      <c r="W26" s="113">
        <f t="shared" si="8"/>
        <v>67800</v>
      </c>
      <c r="X26" s="115">
        <f t="shared" si="9"/>
        <v>0.30000000000000004</v>
      </c>
      <c r="Y26" s="85"/>
      <c r="Z26" s="86"/>
      <c r="AA26" s="87"/>
    </row>
    <row r="27" spans="2:27" s="116" customFormat="1" ht="14.4" customHeight="1">
      <c r="B27" s="151">
        <v>444</v>
      </c>
      <c r="C27" s="108" t="s">
        <v>860</v>
      </c>
      <c r="D27" s="68" t="str">
        <f t="shared" si="0"/>
        <v xml:space="preserve"> 812</v>
      </c>
      <c r="E27" s="108" t="s">
        <v>860</v>
      </c>
      <c r="F27" s="108">
        <f>SUM(F28:F49)</f>
        <v>0</v>
      </c>
      <c r="G27" s="109" t="s">
        <v>84</v>
      </c>
      <c r="H27" s="109" t="s">
        <v>811</v>
      </c>
      <c r="I27" s="109" t="s">
        <v>861</v>
      </c>
      <c r="J27" s="71">
        <v>80000</v>
      </c>
      <c r="K27" s="72">
        <f t="shared" si="1"/>
        <v>7150</v>
      </c>
      <c r="L27" s="68" t="s">
        <v>791</v>
      </c>
      <c r="M27" s="73">
        <f>J27-N27</f>
        <v>72850</v>
      </c>
      <c r="N27" s="73">
        <v>7150</v>
      </c>
      <c r="O27" s="74">
        <f t="shared" si="3"/>
        <v>80000</v>
      </c>
      <c r="P27" s="110"/>
      <c r="Q27" s="117" t="s">
        <v>862</v>
      </c>
      <c r="R27" s="111"/>
      <c r="S27" s="112">
        <f t="shared" si="4"/>
        <v>80000</v>
      </c>
      <c r="T27" s="112">
        <f t="shared" si="5"/>
        <v>114285.71428571429</v>
      </c>
      <c r="U27" s="113">
        <f t="shared" si="6"/>
        <v>130612.24489795919</v>
      </c>
      <c r="V27" s="114">
        <f t="shared" si="7"/>
        <v>0.12499999999999999</v>
      </c>
      <c r="W27" s="113">
        <f t="shared" si="8"/>
        <v>130700</v>
      </c>
      <c r="X27" s="115">
        <f t="shared" si="9"/>
        <v>0.30000000000000004</v>
      </c>
      <c r="Y27" s="85"/>
      <c r="Z27" s="86"/>
      <c r="AA27" s="87"/>
    </row>
    <row r="28" spans="2:27" s="116" customFormat="1" ht="14.4" customHeight="1">
      <c r="B28" s="151">
        <v>445</v>
      </c>
      <c r="C28" s="108" t="s">
        <v>863</v>
      </c>
      <c r="D28" s="68" t="str">
        <f t="shared" si="0"/>
        <v xml:space="preserve"> 118</v>
      </c>
      <c r="E28" s="108" t="s">
        <v>863</v>
      </c>
      <c r="F28" s="108">
        <f>SUM(F29:F49)</f>
        <v>0</v>
      </c>
      <c r="G28" s="109" t="s">
        <v>84</v>
      </c>
      <c r="H28" s="109" t="s">
        <v>811</v>
      </c>
      <c r="I28" s="109" t="s">
        <v>861</v>
      </c>
      <c r="J28" s="71">
        <v>85000</v>
      </c>
      <c r="K28" s="72">
        <f t="shared" si="1"/>
        <v>6550</v>
      </c>
      <c r="L28" s="68" t="s">
        <v>791</v>
      </c>
      <c r="M28" s="73">
        <f>J28-N28</f>
        <v>78450</v>
      </c>
      <c r="N28" s="73">
        <v>6550</v>
      </c>
      <c r="O28" s="74">
        <f t="shared" si="3"/>
        <v>85000</v>
      </c>
      <c r="P28" s="110"/>
      <c r="Q28" s="117" t="s">
        <v>864</v>
      </c>
      <c r="R28" s="111"/>
      <c r="S28" s="112">
        <f t="shared" si="4"/>
        <v>85000</v>
      </c>
      <c r="T28" s="112">
        <f t="shared" si="5"/>
        <v>121428.57142857143</v>
      </c>
      <c r="U28" s="113">
        <f t="shared" si="6"/>
        <v>138775.51020408163</v>
      </c>
      <c r="V28" s="114">
        <f t="shared" si="7"/>
        <v>0.12499999999999992</v>
      </c>
      <c r="W28" s="113">
        <f t="shared" si="8"/>
        <v>138800</v>
      </c>
      <c r="X28" s="115">
        <f t="shared" si="9"/>
        <v>0.30000000000000004</v>
      </c>
      <c r="Y28" s="85"/>
      <c r="Z28" s="86"/>
      <c r="AA28" s="87"/>
    </row>
    <row r="29" spans="2:27" s="116" customFormat="1" ht="14.4" customHeight="1">
      <c r="B29" s="108">
        <v>446</v>
      </c>
      <c r="C29" s="117" t="s">
        <v>865</v>
      </c>
      <c r="D29" s="68" t="str">
        <f t="shared" si="0"/>
        <v xml:space="preserve"> 929</v>
      </c>
      <c r="E29" s="117" t="s">
        <v>865</v>
      </c>
      <c r="F29" s="68">
        <f>IF(C29=E29,0,1)</f>
        <v>0</v>
      </c>
      <c r="G29" s="109" t="s">
        <v>789</v>
      </c>
      <c r="H29" s="109" t="s">
        <v>854</v>
      </c>
      <c r="I29" s="109" t="s">
        <v>866</v>
      </c>
      <c r="J29" s="71">
        <v>87500</v>
      </c>
      <c r="K29" s="72">
        <f t="shared" si="1"/>
        <v>7400</v>
      </c>
      <c r="L29" s="68" t="s">
        <v>791</v>
      </c>
      <c r="M29" s="73">
        <f>J29-N29</f>
        <v>80100</v>
      </c>
      <c r="N29" s="73">
        <f>2000+200+600+1000+3600</f>
        <v>7400</v>
      </c>
      <c r="O29" s="74">
        <f t="shared" si="3"/>
        <v>87500</v>
      </c>
      <c r="P29" s="110"/>
      <c r="Q29" s="117" t="s">
        <v>867</v>
      </c>
      <c r="R29" s="111"/>
      <c r="S29" s="112">
        <f t="shared" si="4"/>
        <v>87500</v>
      </c>
      <c r="T29" s="112">
        <f t="shared" si="5"/>
        <v>125000.00000000001</v>
      </c>
      <c r="U29" s="113">
        <f t="shared" si="6"/>
        <v>142857.14285714287</v>
      </c>
      <c r="V29" s="114">
        <f t="shared" si="7"/>
        <v>0.12499999999999997</v>
      </c>
      <c r="W29" s="113">
        <f t="shared" si="8"/>
        <v>142900</v>
      </c>
      <c r="X29" s="115">
        <f t="shared" si="9"/>
        <v>0.3000000000000001</v>
      </c>
      <c r="Y29" s="85"/>
      <c r="Z29" s="86"/>
      <c r="AA29" s="87"/>
    </row>
    <row r="30" spans="2:27" s="116" customFormat="1" ht="14.4" customHeight="1">
      <c r="B30" s="117">
        <v>447</v>
      </c>
      <c r="C30" s="117" t="s">
        <v>868</v>
      </c>
      <c r="D30" s="68" t="str">
        <f t="shared" si="0"/>
        <v xml:space="preserve"> 463</v>
      </c>
      <c r="E30" s="117" t="s">
        <v>868</v>
      </c>
      <c r="F30" s="68">
        <f>IF(C30=E30,0,1)</f>
        <v>0</v>
      </c>
      <c r="G30" s="109" t="s">
        <v>790</v>
      </c>
      <c r="H30" s="109" t="s">
        <v>815</v>
      </c>
      <c r="I30" s="109" t="s">
        <v>846</v>
      </c>
      <c r="J30" s="71">
        <f>M30</f>
        <v>49000</v>
      </c>
      <c r="K30" s="72">
        <f t="shared" si="1"/>
        <v>0</v>
      </c>
      <c r="L30" s="118" t="s">
        <v>847</v>
      </c>
      <c r="M30" s="119">
        <v>49000</v>
      </c>
      <c r="N30" s="75">
        <f>2000+2850+800+200+500</f>
        <v>6350</v>
      </c>
      <c r="O30" s="74">
        <f t="shared" si="3"/>
        <v>55350</v>
      </c>
      <c r="P30" s="110"/>
      <c r="Q30" s="117" t="s">
        <v>869</v>
      </c>
      <c r="R30" s="111"/>
      <c r="S30" s="112">
        <f t="shared" si="4"/>
        <v>55350</v>
      </c>
      <c r="T30" s="112">
        <f t="shared" si="5"/>
        <v>79071.42857142858</v>
      </c>
      <c r="U30" s="113">
        <f t="shared" si="6"/>
        <v>90367.346938775518</v>
      </c>
      <c r="V30" s="114">
        <f t="shared" si="7"/>
        <v>0.12499999999999999</v>
      </c>
      <c r="W30" s="113">
        <f t="shared" si="8"/>
        <v>90400</v>
      </c>
      <c r="X30" s="115">
        <f t="shared" si="9"/>
        <v>0.3000000000000001</v>
      </c>
      <c r="Y30" s="85">
        <v>79100</v>
      </c>
      <c r="Z30" s="86">
        <f>T30-Y30</f>
        <v>-28.571428571420256</v>
      </c>
      <c r="AA30" s="87">
        <f>Z30/Y30</f>
        <v>-3.6120642947433954E-4</v>
      </c>
    </row>
    <row r="31" spans="2:27" s="116" customFormat="1" ht="14.4" customHeight="1">
      <c r="B31" s="68">
        <v>448</v>
      </c>
      <c r="C31" s="108" t="s">
        <v>870</v>
      </c>
      <c r="D31" s="68" t="str">
        <f t="shared" si="0"/>
        <v xml:space="preserve"> 321</v>
      </c>
      <c r="E31" s="108" t="s">
        <v>870</v>
      </c>
      <c r="F31" s="108">
        <f>SUM(F32:F51)</f>
        <v>0</v>
      </c>
      <c r="G31" s="109" t="s">
        <v>84</v>
      </c>
      <c r="H31" s="109" t="s">
        <v>811</v>
      </c>
      <c r="I31" s="109" t="s">
        <v>828</v>
      </c>
      <c r="J31" s="71">
        <v>62000</v>
      </c>
      <c r="K31" s="72">
        <f t="shared" si="1"/>
        <v>6900</v>
      </c>
      <c r="L31" s="68" t="s">
        <v>791</v>
      </c>
      <c r="M31" s="73">
        <f t="shared" ref="M31:M37" si="15">J31-N31</f>
        <v>55100</v>
      </c>
      <c r="N31" s="73">
        <v>6900</v>
      </c>
      <c r="O31" s="74">
        <f t="shared" si="3"/>
        <v>62000</v>
      </c>
      <c r="P31" s="123"/>
      <c r="Q31" s="117" t="s">
        <v>836</v>
      </c>
      <c r="R31" s="111"/>
      <c r="S31" s="112">
        <f t="shared" si="4"/>
        <v>62000</v>
      </c>
      <c r="T31" s="112">
        <f t="shared" si="5"/>
        <v>88571.42857142858</v>
      </c>
      <c r="U31" s="113">
        <f t="shared" si="6"/>
        <v>101224.48979591837</v>
      </c>
      <c r="V31" s="114">
        <f t="shared" si="7"/>
        <v>0.12499999999999996</v>
      </c>
      <c r="W31" s="113">
        <f t="shared" si="8"/>
        <v>101300</v>
      </c>
      <c r="X31" s="115">
        <f t="shared" si="9"/>
        <v>0.30000000000000004</v>
      </c>
      <c r="Y31" s="85"/>
      <c r="Z31" s="86"/>
      <c r="AA31" s="87"/>
    </row>
    <row r="32" spans="2:27" s="116" customFormat="1" ht="14.4" customHeight="1">
      <c r="B32" s="117">
        <v>449</v>
      </c>
      <c r="C32" s="117" t="s">
        <v>821</v>
      </c>
      <c r="D32" s="68" t="str">
        <f t="shared" si="0"/>
        <v xml:space="preserve"> 562</v>
      </c>
      <c r="E32" s="117" t="s">
        <v>821</v>
      </c>
      <c r="F32" s="68">
        <f>IF(C32=E32,0,1)</f>
        <v>0</v>
      </c>
      <c r="G32" s="109" t="s">
        <v>790</v>
      </c>
      <c r="H32" s="109" t="s">
        <v>815</v>
      </c>
      <c r="I32" s="109" t="s">
        <v>822</v>
      </c>
      <c r="J32" s="71"/>
      <c r="K32" s="72">
        <f t="shared" si="1"/>
        <v>0</v>
      </c>
      <c r="L32" s="68" t="s">
        <v>791</v>
      </c>
      <c r="M32" s="73">
        <f t="shared" si="15"/>
        <v>0</v>
      </c>
      <c r="N32" s="73"/>
      <c r="O32" s="74">
        <f t="shared" si="3"/>
        <v>0</v>
      </c>
      <c r="P32" s="110"/>
      <c r="Q32" s="117"/>
      <c r="R32" s="111"/>
      <c r="S32" s="112">
        <f t="shared" si="4"/>
        <v>0</v>
      </c>
      <c r="T32" s="112">
        <f t="shared" si="5"/>
        <v>0</v>
      </c>
      <c r="U32" s="113">
        <f t="shared" si="6"/>
        <v>0</v>
      </c>
      <c r="V32" s="114" t="e">
        <f t="shared" si="7"/>
        <v>#DIV/0!</v>
      </c>
      <c r="W32" s="113">
        <f t="shared" si="8"/>
        <v>0</v>
      </c>
      <c r="X32" s="115" t="e">
        <f t="shared" si="9"/>
        <v>#DIV/0!</v>
      </c>
      <c r="Y32" s="85"/>
      <c r="Z32" s="86">
        <f>T32-Y32</f>
        <v>0</v>
      </c>
      <c r="AA32" s="87" t="e">
        <f>Z32/Y32</f>
        <v>#DIV/0!</v>
      </c>
    </row>
    <row r="33" spans="2:27" s="116" customFormat="1" ht="14.4" customHeight="1">
      <c r="B33" s="108">
        <v>450</v>
      </c>
      <c r="C33" s="117" t="s">
        <v>871</v>
      </c>
      <c r="D33" s="68" t="str">
        <f t="shared" si="0"/>
        <v xml:space="preserve"> 121</v>
      </c>
      <c r="E33" s="117" t="s">
        <v>871</v>
      </c>
      <c r="F33" s="68">
        <f>IF(C33=E33,0,1)</f>
        <v>0</v>
      </c>
      <c r="G33" s="109" t="s">
        <v>790</v>
      </c>
      <c r="H33" s="109" t="s">
        <v>815</v>
      </c>
      <c r="I33" s="109" t="s">
        <v>838</v>
      </c>
      <c r="J33" s="71"/>
      <c r="K33" s="72">
        <f t="shared" si="1"/>
        <v>0</v>
      </c>
      <c r="L33" s="68" t="s">
        <v>791</v>
      </c>
      <c r="M33" s="73">
        <f t="shared" si="15"/>
        <v>0</v>
      </c>
      <c r="N33" s="73"/>
      <c r="O33" s="74">
        <f t="shared" si="3"/>
        <v>0</v>
      </c>
      <c r="P33" s="110"/>
      <c r="Q33" s="117"/>
      <c r="R33" s="111"/>
      <c r="S33" s="112">
        <f t="shared" si="4"/>
        <v>0</v>
      </c>
      <c r="T33" s="112">
        <f t="shared" si="5"/>
        <v>0</v>
      </c>
      <c r="U33" s="113">
        <f t="shared" si="6"/>
        <v>0</v>
      </c>
      <c r="V33" s="114" t="e">
        <f t="shared" si="7"/>
        <v>#DIV/0!</v>
      </c>
      <c r="W33" s="113">
        <f t="shared" si="8"/>
        <v>0</v>
      </c>
      <c r="X33" s="115" t="e">
        <f t="shared" si="9"/>
        <v>#DIV/0!</v>
      </c>
      <c r="Y33" s="85">
        <v>97213</v>
      </c>
      <c r="Z33" s="86">
        <f>T33-Y33</f>
        <v>-97213</v>
      </c>
      <c r="AA33" s="87">
        <f>Z33/Y33</f>
        <v>-1</v>
      </c>
    </row>
    <row r="34" spans="2:27" s="116" customFormat="1" ht="14.4" customHeight="1">
      <c r="B34" s="117">
        <v>451</v>
      </c>
      <c r="C34" s="117" t="s">
        <v>872</v>
      </c>
      <c r="D34" s="68" t="str">
        <f t="shared" si="0"/>
        <v xml:space="preserve"> 216</v>
      </c>
      <c r="E34" s="117" t="s">
        <v>872</v>
      </c>
      <c r="F34" s="68">
        <f>IF(C34=E34,0,1)</f>
        <v>0</v>
      </c>
      <c r="G34" s="109" t="s">
        <v>790</v>
      </c>
      <c r="H34" s="109" t="s">
        <v>815</v>
      </c>
      <c r="I34" s="109" t="s">
        <v>873</v>
      </c>
      <c r="J34" s="71"/>
      <c r="K34" s="72">
        <f t="shared" si="1"/>
        <v>0</v>
      </c>
      <c r="L34" s="68" t="s">
        <v>791</v>
      </c>
      <c r="M34" s="73">
        <f t="shared" si="15"/>
        <v>0</v>
      </c>
      <c r="N34" s="73"/>
      <c r="O34" s="74">
        <f t="shared" si="3"/>
        <v>0</v>
      </c>
      <c r="P34" s="110"/>
      <c r="Q34" s="117"/>
      <c r="R34" s="111"/>
      <c r="S34" s="112">
        <f t="shared" si="4"/>
        <v>0</v>
      </c>
      <c r="T34" s="112">
        <f t="shared" si="5"/>
        <v>0</v>
      </c>
      <c r="U34" s="113">
        <f t="shared" si="6"/>
        <v>0</v>
      </c>
      <c r="V34" s="114" t="e">
        <f t="shared" si="7"/>
        <v>#DIV/0!</v>
      </c>
      <c r="W34" s="113">
        <f t="shared" si="8"/>
        <v>0</v>
      </c>
      <c r="X34" s="115" t="e">
        <f t="shared" si="9"/>
        <v>#DIV/0!</v>
      </c>
      <c r="Y34" s="85">
        <v>94850</v>
      </c>
      <c r="Z34" s="86">
        <f>T34-Y34</f>
        <v>-94850</v>
      </c>
      <c r="AA34" s="87">
        <f>Z34/Y34</f>
        <v>-1</v>
      </c>
    </row>
    <row r="35" spans="2:27" s="116" customFormat="1" ht="14.4" customHeight="1">
      <c r="B35" s="108">
        <v>452</v>
      </c>
      <c r="C35" s="117" t="s">
        <v>580</v>
      </c>
      <c r="D35" s="68" t="str">
        <f t="shared" si="0"/>
        <v/>
      </c>
      <c r="E35" s="117" t="s">
        <v>580</v>
      </c>
      <c r="F35" s="68">
        <f>IF(C35=E35,0,1)</f>
        <v>0</v>
      </c>
      <c r="G35" s="109"/>
      <c r="H35" s="109"/>
      <c r="I35" s="109"/>
      <c r="J35" s="71"/>
      <c r="K35" s="72">
        <f t="shared" si="1"/>
        <v>0</v>
      </c>
      <c r="L35" s="68" t="s">
        <v>791</v>
      </c>
      <c r="M35" s="73">
        <f t="shared" si="15"/>
        <v>0</v>
      </c>
      <c r="N35" s="73"/>
      <c r="O35" s="74">
        <f t="shared" si="3"/>
        <v>0</v>
      </c>
      <c r="P35" s="110"/>
      <c r="Q35" s="117"/>
      <c r="R35" s="111"/>
      <c r="S35" s="112">
        <f t="shared" si="4"/>
        <v>0</v>
      </c>
      <c r="T35" s="112">
        <f t="shared" si="5"/>
        <v>0</v>
      </c>
      <c r="U35" s="113">
        <f t="shared" si="6"/>
        <v>0</v>
      </c>
      <c r="V35" s="114" t="e">
        <f t="shared" si="7"/>
        <v>#DIV/0!</v>
      </c>
      <c r="W35" s="113">
        <f t="shared" si="8"/>
        <v>0</v>
      </c>
      <c r="X35" s="115" t="e">
        <f t="shared" si="9"/>
        <v>#DIV/0!</v>
      </c>
      <c r="Y35" s="85"/>
      <c r="Z35" s="86"/>
      <c r="AA35" s="87"/>
    </row>
    <row r="36" spans="2:27" s="116" customFormat="1" ht="14.4" customHeight="1">
      <c r="B36" s="68">
        <v>453</v>
      </c>
      <c r="C36" s="108" t="s">
        <v>874</v>
      </c>
      <c r="D36" s="68" t="str">
        <f t="shared" si="0"/>
        <v xml:space="preserve"> 930</v>
      </c>
      <c r="E36" s="108" t="s">
        <v>874</v>
      </c>
      <c r="F36" s="108">
        <f>SUM(F37:F61)</f>
        <v>0</v>
      </c>
      <c r="G36" s="109" t="s">
        <v>790</v>
      </c>
      <c r="H36" s="109" t="s">
        <v>815</v>
      </c>
      <c r="I36" s="109" t="s">
        <v>875</v>
      </c>
      <c r="J36" s="71">
        <v>42250</v>
      </c>
      <c r="K36" s="72">
        <f t="shared" si="1"/>
        <v>5400</v>
      </c>
      <c r="L36" s="68" t="s">
        <v>791</v>
      </c>
      <c r="M36" s="73">
        <f t="shared" si="15"/>
        <v>36850</v>
      </c>
      <c r="N36" s="73">
        <v>5400</v>
      </c>
      <c r="O36" s="74">
        <f t="shared" si="3"/>
        <v>42250</v>
      </c>
      <c r="P36" s="110"/>
      <c r="Q36" s="117" t="s">
        <v>876</v>
      </c>
      <c r="R36" s="111"/>
      <c r="S36" s="112">
        <f t="shared" si="4"/>
        <v>42250</v>
      </c>
      <c r="T36" s="112">
        <f t="shared" si="5"/>
        <v>60357.142857142862</v>
      </c>
      <c r="U36" s="113">
        <f t="shared" si="6"/>
        <v>68979.591836734704</v>
      </c>
      <c r="V36" s="114">
        <f t="shared" si="7"/>
        <v>0.12500000000000006</v>
      </c>
      <c r="W36" s="113">
        <f t="shared" si="8"/>
        <v>69000</v>
      </c>
      <c r="X36" s="115">
        <f t="shared" si="9"/>
        <v>0.30000000000000004</v>
      </c>
      <c r="Y36" s="85">
        <v>61863</v>
      </c>
      <c r="Z36" s="86">
        <f>T36-Y36</f>
        <v>-1505.8571428571377</v>
      </c>
      <c r="AA36" s="87">
        <f>Z36/Y36</f>
        <v>-2.434180597218269E-2</v>
      </c>
    </row>
    <row r="37" spans="2:27" s="116" customFormat="1" ht="14.4" customHeight="1">
      <c r="B37" s="68">
        <v>454</v>
      </c>
      <c r="C37" s="108" t="s">
        <v>877</v>
      </c>
      <c r="D37" s="68" t="str">
        <f t="shared" si="0"/>
        <v xml:space="preserve"> 860</v>
      </c>
      <c r="E37" s="108" t="s">
        <v>877</v>
      </c>
      <c r="F37" s="108">
        <f>SUM(F38:F63)</f>
        <v>0</v>
      </c>
      <c r="G37" s="109" t="s">
        <v>790</v>
      </c>
      <c r="H37" s="109" t="s">
        <v>815</v>
      </c>
      <c r="I37" s="109" t="s">
        <v>875</v>
      </c>
      <c r="J37" s="76">
        <v>42250</v>
      </c>
      <c r="K37" s="72">
        <f t="shared" si="1"/>
        <v>5400</v>
      </c>
      <c r="L37" s="68" t="s">
        <v>791</v>
      </c>
      <c r="M37" s="73">
        <f t="shared" si="15"/>
        <v>36850</v>
      </c>
      <c r="N37" s="76">
        <v>5400</v>
      </c>
      <c r="O37" s="74">
        <f t="shared" si="3"/>
        <v>42250</v>
      </c>
      <c r="P37" s="110"/>
      <c r="Q37" s="117" t="s">
        <v>876</v>
      </c>
      <c r="R37" s="111"/>
      <c r="S37" s="112">
        <f t="shared" si="4"/>
        <v>42250</v>
      </c>
      <c r="T37" s="112">
        <f t="shared" si="5"/>
        <v>60357.142857142862</v>
      </c>
      <c r="U37" s="113">
        <f t="shared" si="6"/>
        <v>68979.591836734704</v>
      </c>
      <c r="V37" s="114">
        <f t="shared" si="7"/>
        <v>0.12500000000000006</v>
      </c>
      <c r="W37" s="113">
        <f t="shared" si="8"/>
        <v>69000</v>
      </c>
      <c r="X37" s="115">
        <f t="shared" si="9"/>
        <v>0.30000000000000004</v>
      </c>
      <c r="Y37" s="85">
        <v>61863</v>
      </c>
      <c r="Z37" s="86">
        <f>T37-Y37</f>
        <v>-1505.8571428571377</v>
      </c>
      <c r="AA37" s="87">
        <f>Z37/Y37</f>
        <v>-2.434180597218269E-2</v>
      </c>
    </row>
    <row r="38" spans="2:27" s="116" customFormat="1" ht="14.4" customHeight="1">
      <c r="B38" s="117">
        <v>455</v>
      </c>
      <c r="C38" s="117" t="s">
        <v>878</v>
      </c>
      <c r="D38" s="68" t="str">
        <f t="shared" si="0"/>
        <v xml:space="preserve"> 659</v>
      </c>
      <c r="E38" s="117" t="s">
        <v>878</v>
      </c>
      <c r="F38" s="68">
        <f>IF(C38=E38,0,1)</f>
        <v>0</v>
      </c>
      <c r="G38" s="109" t="s">
        <v>790</v>
      </c>
      <c r="H38" s="109" t="s">
        <v>879</v>
      </c>
      <c r="I38" s="109" t="s">
        <v>880</v>
      </c>
      <c r="J38" s="124">
        <v>35000</v>
      </c>
      <c r="K38" s="125">
        <v>0</v>
      </c>
      <c r="L38" s="126" t="s">
        <v>881</v>
      </c>
      <c r="M38" s="127">
        <f>J38</f>
        <v>35000</v>
      </c>
      <c r="N38" s="128">
        <f>2000+1750+800+300+650</f>
        <v>5500</v>
      </c>
      <c r="O38" s="129">
        <f t="shared" si="3"/>
        <v>40500</v>
      </c>
      <c r="P38" s="130"/>
      <c r="Q38" s="63" t="s">
        <v>882</v>
      </c>
      <c r="R38" s="111"/>
      <c r="S38" s="112">
        <f t="shared" si="4"/>
        <v>40500</v>
      </c>
      <c r="T38" s="112">
        <f t="shared" si="5"/>
        <v>57857.142857142862</v>
      </c>
      <c r="U38" s="113">
        <f t="shared" si="6"/>
        <v>66122.448979591849</v>
      </c>
      <c r="V38" s="114">
        <f t="shared" si="7"/>
        <v>0.12500000000000008</v>
      </c>
      <c r="W38" s="113">
        <f t="shared" si="8"/>
        <v>66200</v>
      </c>
      <c r="X38" s="115">
        <f t="shared" si="9"/>
        <v>0.30000000000000004</v>
      </c>
      <c r="Y38" s="85">
        <v>59325</v>
      </c>
      <c r="Z38" s="86">
        <f>T38-Y38</f>
        <v>-1467.8571428571377</v>
      </c>
      <c r="AA38" s="87">
        <f>Z38/Y38</f>
        <v>-2.474264041899937E-2</v>
      </c>
    </row>
    <row r="39" spans="2:27" s="116" customFormat="1" ht="14.4" customHeight="1">
      <c r="B39" s="108">
        <v>456</v>
      </c>
      <c r="C39" s="117" t="s">
        <v>883</v>
      </c>
      <c r="D39" s="68" t="str">
        <f t="shared" si="0"/>
        <v xml:space="preserve"> 431</v>
      </c>
      <c r="E39" s="117" t="s">
        <v>883</v>
      </c>
      <c r="F39" s="68">
        <f>IF(C39=E39,0,1)</f>
        <v>0</v>
      </c>
      <c r="G39" s="109" t="s">
        <v>790</v>
      </c>
      <c r="H39" s="109" t="s">
        <v>815</v>
      </c>
      <c r="I39" s="109" t="s">
        <v>835</v>
      </c>
      <c r="J39" s="71"/>
      <c r="K39" s="72">
        <f t="shared" ref="K39:K82" si="16">J39-M39</f>
        <v>0</v>
      </c>
      <c r="L39" s="68" t="s">
        <v>791</v>
      </c>
      <c r="M39" s="73">
        <f>J39-N39</f>
        <v>0</v>
      </c>
      <c r="N39" s="73"/>
      <c r="O39" s="74">
        <f t="shared" si="3"/>
        <v>0</v>
      </c>
      <c r="P39" s="110"/>
      <c r="Q39" s="117"/>
      <c r="R39" s="111"/>
      <c r="S39" s="112">
        <f t="shared" si="4"/>
        <v>0</v>
      </c>
      <c r="T39" s="112">
        <f t="shared" si="5"/>
        <v>0</v>
      </c>
      <c r="U39" s="113">
        <f t="shared" si="6"/>
        <v>0</v>
      </c>
      <c r="V39" s="114" t="e">
        <f t="shared" si="7"/>
        <v>#DIV/0!</v>
      </c>
      <c r="W39" s="113">
        <f t="shared" si="8"/>
        <v>0</v>
      </c>
      <c r="X39" s="115" t="e">
        <f t="shared" si="9"/>
        <v>#DIV/0!</v>
      </c>
      <c r="Y39" s="85">
        <v>65800</v>
      </c>
      <c r="Z39" s="86">
        <f>T39-Y39</f>
        <v>-65800</v>
      </c>
      <c r="AA39" s="87">
        <f>Z39/Y39</f>
        <v>-1</v>
      </c>
    </row>
    <row r="40" spans="2:27" s="116" customFormat="1" ht="14.4" customHeight="1">
      <c r="B40" s="68">
        <v>457</v>
      </c>
      <c r="C40" s="108" t="s">
        <v>884</v>
      </c>
      <c r="D40" s="68" t="str">
        <f t="shared" si="0"/>
        <v xml:space="preserve"> 928</v>
      </c>
      <c r="E40" s="108" t="s">
        <v>884</v>
      </c>
      <c r="F40" s="108">
        <f>SUM(F41:F67)</f>
        <v>0</v>
      </c>
      <c r="G40" s="109" t="s">
        <v>84</v>
      </c>
      <c r="H40" s="109" t="s">
        <v>879</v>
      </c>
      <c r="I40" s="109" t="s">
        <v>875</v>
      </c>
      <c r="J40" s="76">
        <v>32500</v>
      </c>
      <c r="K40" s="72">
        <f t="shared" si="16"/>
        <v>5900</v>
      </c>
      <c r="L40" s="68" t="s">
        <v>791</v>
      </c>
      <c r="M40" s="73">
        <f>J40-N40</f>
        <v>26600</v>
      </c>
      <c r="N40" s="76">
        <v>5900</v>
      </c>
      <c r="O40" s="74">
        <f t="shared" si="3"/>
        <v>32500</v>
      </c>
      <c r="P40" s="110"/>
      <c r="Q40" s="117" t="s">
        <v>885</v>
      </c>
      <c r="R40" s="111"/>
      <c r="S40" s="112">
        <f t="shared" si="4"/>
        <v>32500</v>
      </c>
      <c r="T40" s="112">
        <f t="shared" si="5"/>
        <v>46428.571428571435</v>
      </c>
      <c r="U40" s="113">
        <f t="shared" si="6"/>
        <v>53061.224489795924</v>
      </c>
      <c r="V40" s="114">
        <f t="shared" si="7"/>
        <v>0.12499999999999999</v>
      </c>
      <c r="W40" s="113">
        <f t="shared" si="8"/>
        <v>53100</v>
      </c>
      <c r="X40" s="115">
        <f t="shared" si="9"/>
        <v>0.3000000000000001</v>
      </c>
      <c r="Y40" s="85"/>
      <c r="Z40" s="86"/>
      <c r="AA40" s="87"/>
    </row>
    <row r="41" spans="2:27" s="116" customFormat="1" ht="14.4" customHeight="1">
      <c r="B41" s="68">
        <v>458</v>
      </c>
      <c r="C41" s="108" t="s">
        <v>886</v>
      </c>
      <c r="D41" s="68" t="str">
        <f t="shared" si="0"/>
        <v xml:space="preserve"> 101</v>
      </c>
      <c r="E41" s="108" t="s">
        <v>886</v>
      </c>
      <c r="F41" s="108">
        <f>SUM(F42:F72)</f>
        <v>0</v>
      </c>
      <c r="G41" s="109" t="s">
        <v>84</v>
      </c>
      <c r="H41" s="109" t="s">
        <v>879</v>
      </c>
      <c r="I41" s="109" t="s">
        <v>887</v>
      </c>
      <c r="J41" s="71">
        <v>41900</v>
      </c>
      <c r="K41" s="72">
        <f t="shared" si="16"/>
        <v>5900</v>
      </c>
      <c r="L41" s="68" t="s">
        <v>791</v>
      </c>
      <c r="M41" s="73">
        <f>J41-N41</f>
        <v>36000</v>
      </c>
      <c r="N41" s="73">
        <v>5900</v>
      </c>
      <c r="O41" s="74">
        <f t="shared" si="3"/>
        <v>41900</v>
      </c>
      <c r="P41" s="110"/>
      <c r="Q41" s="117" t="s">
        <v>885</v>
      </c>
      <c r="R41" s="111"/>
      <c r="S41" s="112">
        <f t="shared" si="4"/>
        <v>41900</v>
      </c>
      <c r="T41" s="112">
        <f t="shared" si="5"/>
        <v>59857.142857142862</v>
      </c>
      <c r="U41" s="113">
        <f t="shared" si="6"/>
        <v>68408.163265306124</v>
      </c>
      <c r="V41" s="114">
        <f t="shared" si="7"/>
        <v>0.12499999999999994</v>
      </c>
      <c r="W41" s="113">
        <f t="shared" si="8"/>
        <v>68500</v>
      </c>
      <c r="X41" s="115">
        <f t="shared" si="9"/>
        <v>0.30000000000000004</v>
      </c>
      <c r="Y41" s="85"/>
      <c r="Z41" s="86"/>
      <c r="AA41" s="87"/>
    </row>
    <row r="42" spans="2:27" s="116" customFormat="1" ht="14.4" customHeight="1">
      <c r="B42" s="117">
        <v>459</v>
      </c>
      <c r="C42" s="117" t="s">
        <v>888</v>
      </c>
      <c r="D42" s="68" t="str">
        <f t="shared" si="0"/>
        <v xml:space="preserve"> 411</v>
      </c>
      <c r="E42" s="117" t="s">
        <v>888</v>
      </c>
      <c r="F42" s="68">
        <f>IF(C42=E42,0,1)</f>
        <v>0</v>
      </c>
      <c r="G42" s="109" t="s">
        <v>790</v>
      </c>
      <c r="H42" s="109" t="s">
        <v>879</v>
      </c>
      <c r="I42" s="109" t="s">
        <v>889</v>
      </c>
      <c r="J42" s="131">
        <v>34000</v>
      </c>
      <c r="K42" s="125">
        <f t="shared" si="16"/>
        <v>0</v>
      </c>
      <c r="L42" s="126" t="s">
        <v>881</v>
      </c>
      <c r="M42" s="132">
        <f>J42</f>
        <v>34000</v>
      </c>
      <c r="N42" s="128">
        <f>2000+1750+800+200</f>
        <v>4750</v>
      </c>
      <c r="O42" s="133">
        <f>N42+M42</f>
        <v>38750</v>
      </c>
      <c r="P42" s="130"/>
      <c r="Q42" s="63" t="s">
        <v>890</v>
      </c>
      <c r="R42" s="111"/>
      <c r="S42" s="112">
        <f t="shared" si="4"/>
        <v>38750</v>
      </c>
      <c r="T42" s="112">
        <f t="shared" si="5"/>
        <v>55357.142857142862</v>
      </c>
      <c r="U42" s="113">
        <f t="shared" si="6"/>
        <v>63265.306122448987</v>
      </c>
      <c r="V42" s="114">
        <f t="shared" si="7"/>
        <v>0.12500000000000003</v>
      </c>
      <c r="W42" s="113">
        <f t="shared" si="8"/>
        <v>63300</v>
      </c>
      <c r="X42" s="115">
        <f t="shared" si="9"/>
        <v>0.30000000000000004</v>
      </c>
      <c r="Y42" s="85">
        <v>56788</v>
      </c>
      <c r="Z42" s="86">
        <f>T42-Y42</f>
        <v>-1430.8571428571377</v>
      </c>
      <c r="AA42" s="87">
        <f>Z42/Y42</f>
        <v>-2.519647007919169E-2</v>
      </c>
    </row>
    <row r="43" spans="2:27" s="116" customFormat="1" ht="14.4" customHeight="1">
      <c r="B43" s="68">
        <v>460</v>
      </c>
      <c r="C43" s="108" t="s">
        <v>891</v>
      </c>
      <c r="D43" s="68" t="str">
        <f t="shared" si="0"/>
        <v xml:space="preserve"> 581</v>
      </c>
      <c r="E43" s="108" t="s">
        <v>891</v>
      </c>
      <c r="F43" s="108">
        <f>SUM(F44:F73)</f>
        <v>0</v>
      </c>
      <c r="G43" s="109" t="s">
        <v>84</v>
      </c>
      <c r="H43" s="109" t="s">
        <v>879</v>
      </c>
      <c r="I43" s="109" t="s">
        <v>887</v>
      </c>
      <c r="J43" s="76">
        <v>41900</v>
      </c>
      <c r="K43" s="72">
        <f t="shared" si="16"/>
        <v>5900</v>
      </c>
      <c r="L43" s="68" t="s">
        <v>791</v>
      </c>
      <c r="M43" s="73">
        <f t="shared" ref="M43:M49" si="17">J43-N43</f>
        <v>36000</v>
      </c>
      <c r="N43" s="76">
        <v>5900</v>
      </c>
      <c r="O43" s="74">
        <f t="shared" ref="O43:O51" si="18">M43+N43</f>
        <v>41900</v>
      </c>
      <c r="P43" s="110"/>
      <c r="Q43" s="117" t="s">
        <v>885</v>
      </c>
      <c r="R43" s="111"/>
      <c r="S43" s="112">
        <f t="shared" si="4"/>
        <v>41900</v>
      </c>
      <c r="T43" s="112">
        <f t="shared" si="5"/>
        <v>59857.142857142862</v>
      </c>
      <c r="U43" s="113">
        <f t="shared" si="6"/>
        <v>68408.163265306124</v>
      </c>
      <c r="V43" s="114">
        <f t="shared" si="7"/>
        <v>0.12499999999999994</v>
      </c>
      <c r="W43" s="113">
        <f t="shared" si="8"/>
        <v>68500</v>
      </c>
      <c r="X43" s="115">
        <f t="shared" si="9"/>
        <v>0.30000000000000004</v>
      </c>
      <c r="Y43" s="85"/>
      <c r="Z43" s="86"/>
      <c r="AA43" s="87"/>
    </row>
    <row r="44" spans="2:27" s="116" customFormat="1" ht="14.4" customHeight="1">
      <c r="B44" s="117">
        <v>461</v>
      </c>
      <c r="C44" s="117" t="s">
        <v>892</v>
      </c>
      <c r="D44" s="68" t="str">
        <f t="shared" si="0"/>
        <v xml:space="preserve"> 228</v>
      </c>
      <c r="E44" s="117" t="s">
        <v>892</v>
      </c>
      <c r="F44" s="68">
        <f>IF(C44=E44,0,1)</f>
        <v>0</v>
      </c>
      <c r="G44" s="109" t="s">
        <v>789</v>
      </c>
      <c r="H44" s="109" t="s">
        <v>879</v>
      </c>
      <c r="I44" s="109" t="s">
        <v>893</v>
      </c>
      <c r="J44" s="71"/>
      <c r="K44" s="72">
        <f t="shared" si="16"/>
        <v>0</v>
      </c>
      <c r="L44" s="68" t="s">
        <v>791</v>
      </c>
      <c r="M44" s="73">
        <f t="shared" si="17"/>
        <v>0</v>
      </c>
      <c r="N44" s="73"/>
      <c r="O44" s="74">
        <f t="shared" si="18"/>
        <v>0</v>
      </c>
      <c r="P44" s="110"/>
      <c r="Q44" s="117"/>
      <c r="R44" s="111"/>
      <c r="S44" s="112">
        <f t="shared" si="4"/>
        <v>0</v>
      </c>
      <c r="T44" s="112">
        <f t="shared" si="5"/>
        <v>0</v>
      </c>
      <c r="U44" s="113">
        <f t="shared" si="6"/>
        <v>0</v>
      </c>
      <c r="V44" s="114" t="e">
        <f t="shared" si="7"/>
        <v>#DIV/0!</v>
      </c>
      <c r="W44" s="113">
        <f t="shared" si="8"/>
        <v>0</v>
      </c>
      <c r="X44" s="115" t="e">
        <f t="shared" si="9"/>
        <v>#DIV/0!</v>
      </c>
      <c r="Y44" s="85"/>
      <c r="Z44" s="86"/>
      <c r="AA44" s="87"/>
    </row>
    <row r="45" spans="2:27" s="116" customFormat="1" ht="14.4" customHeight="1">
      <c r="B45" s="108">
        <v>462</v>
      </c>
      <c r="C45" s="117" t="s">
        <v>894</v>
      </c>
      <c r="D45" s="68" t="str">
        <f t="shared" si="0"/>
        <v xml:space="preserve"> 792</v>
      </c>
      <c r="E45" s="117" t="s">
        <v>894</v>
      </c>
      <c r="F45" s="68">
        <f>IF(C45=E45,0,1)</f>
        <v>0</v>
      </c>
      <c r="G45" s="109" t="s">
        <v>789</v>
      </c>
      <c r="H45" s="109" t="s">
        <v>879</v>
      </c>
      <c r="I45" s="109" t="s">
        <v>893</v>
      </c>
      <c r="J45" s="71"/>
      <c r="K45" s="72">
        <f t="shared" si="16"/>
        <v>0</v>
      </c>
      <c r="L45" s="68" t="s">
        <v>791</v>
      </c>
      <c r="M45" s="73">
        <f t="shared" si="17"/>
        <v>0</v>
      </c>
      <c r="N45" s="73"/>
      <c r="O45" s="74">
        <f t="shared" si="18"/>
        <v>0</v>
      </c>
      <c r="P45" s="110"/>
      <c r="Q45" s="117"/>
      <c r="R45" s="111"/>
      <c r="S45" s="112">
        <f t="shared" si="4"/>
        <v>0</v>
      </c>
      <c r="T45" s="112">
        <f t="shared" si="5"/>
        <v>0</v>
      </c>
      <c r="U45" s="113">
        <f t="shared" si="6"/>
        <v>0</v>
      </c>
      <c r="V45" s="114" t="e">
        <f t="shared" si="7"/>
        <v>#DIV/0!</v>
      </c>
      <c r="W45" s="113">
        <f t="shared" si="8"/>
        <v>0</v>
      </c>
      <c r="X45" s="115" t="e">
        <f t="shared" si="9"/>
        <v>#DIV/0!</v>
      </c>
      <c r="Y45" s="85"/>
      <c r="Z45" s="86"/>
      <c r="AA45" s="87"/>
    </row>
    <row r="46" spans="2:27" s="116" customFormat="1" ht="14.4" customHeight="1">
      <c r="B46" s="68">
        <v>463</v>
      </c>
      <c r="C46" s="108" t="s">
        <v>895</v>
      </c>
      <c r="D46" s="68" t="str">
        <f t="shared" si="0"/>
        <v xml:space="preserve"> 728</v>
      </c>
      <c r="E46" s="108" t="s">
        <v>895</v>
      </c>
      <c r="F46" s="108">
        <f>SUM(F47:F75)</f>
        <v>0</v>
      </c>
      <c r="G46" s="109" t="s">
        <v>84</v>
      </c>
      <c r="H46" s="109" t="s">
        <v>879</v>
      </c>
      <c r="I46" s="109" t="s">
        <v>887</v>
      </c>
      <c r="J46" s="76">
        <v>39900</v>
      </c>
      <c r="K46" s="72">
        <f t="shared" si="16"/>
        <v>4900</v>
      </c>
      <c r="L46" s="68" t="s">
        <v>791</v>
      </c>
      <c r="M46" s="73">
        <f t="shared" si="17"/>
        <v>35000</v>
      </c>
      <c r="N46" s="76">
        <v>4900</v>
      </c>
      <c r="O46" s="74">
        <f t="shared" si="18"/>
        <v>39900</v>
      </c>
      <c r="P46" s="110"/>
      <c r="Q46" s="117" t="s">
        <v>896</v>
      </c>
      <c r="R46" s="111"/>
      <c r="S46" s="112">
        <f t="shared" si="4"/>
        <v>39900</v>
      </c>
      <c r="T46" s="112">
        <f t="shared" si="5"/>
        <v>57000</v>
      </c>
      <c r="U46" s="113">
        <f t="shared" si="6"/>
        <v>65142.857142857145</v>
      </c>
      <c r="V46" s="114">
        <f t="shared" si="7"/>
        <v>0.12500000000000003</v>
      </c>
      <c r="W46" s="113">
        <f t="shared" si="8"/>
        <v>65200</v>
      </c>
      <c r="X46" s="115">
        <f t="shared" si="9"/>
        <v>0.3</v>
      </c>
      <c r="Y46" s="85"/>
      <c r="Z46" s="86"/>
      <c r="AA46" s="87"/>
    </row>
    <row r="47" spans="2:27" s="116" customFormat="1" ht="14.4" customHeight="1">
      <c r="B47" s="149">
        <v>464</v>
      </c>
      <c r="C47" s="117" t="s">
        <v>897</v>
      </c>
      <c r="D47" s="68" t="str">
        <f t="shared" si="0"/>
        <v xml:space="preserve"> 786</v>
      </c>
      <c r="E47" s="117" t="s">
        <v>897</v>
      </c>
      <c r="F47" s="68">
        <f>IF(C47=E47,0,1)</f>
        <v>0</v>
      </c>
      <c r="G47" s="109" t="s">
        <v>789</v>
      </c>
      <c r="H47" s="109" t="s">
        <v>879</v>
      </c>
      <c r="I47" s="109" t="s">
        <v>893</v>
      </c>
      <c r="J47" s="71">
        <v>40900</v>
      </c>
      <c r="K47" s="72">
        <f t="shared" si="16"/>
        <v>5900</v>
      </c>
      <c r="L47" s="68" t="s">
        <v>791</v>
      </c>
      <c r="M47" s="73">
        <f t="shared" si="17"/>
        <v>35000</v>
      </c>
      <c r="N47" s="73">
        <f>2000+300+600+1000+2000</f>
        <v>5900</v>
      </c>
      <c r="O47" s="74">
        <f t="shared" si="18"/>
        <v>40900</v>
      </c>
      <c r="P47" s="110"/>
      <c r="Q47" s="117"/>
      <c r="R47" s="111"/>
      <c r="S47" s="112">
        <f t="shared" si="4"/>
        <v>40900</v>
      </c>
      <c r="T47" s="112">
        <f t="shared" si="5"/>
        <v>58428.571428571435</v>
      </c>
      <c r="U47" s="113">
        <f t="shared" si="6"/>
        <v>66775.510204081642</v>
      </c>
      <c r="V47" s="114">
        <f t="shared" si="7"/>
        <v>0.12500000000000003</v>
      </c>
      <c r="W47" s="113">
        <f t="shared" si="8"/>
        <v>66800</v>
      </c>
      <c r="X47" s="115">
        <f t="shared" si="9"/>
        <v>0.3000000000000001</v>
      </c>
      <c r="Y47" s="85"/>
      <c r="Z47" s="86"/>
      <c r="AA47" s="87"/>
    </row>
    <row r="48" spans="2:27" s="116" customFormat="1" ht="14.4" customHeight="1">
      <c r="B48" s="68">
        <v>465</v>
      </c>
      <c r="C48" s="108" t="s">
        <v>898</v>
      </c>
      <c r="D48" s="68" t="str">
        <f t="shared" si="0"/>
        <v xml:space="preserve"> 937</v>
      </c>
      <c r="E48" s="108" t="s">
        <v>898</v>
      </c>
      <c r="F48" s="108">
        <f>SUM(F49:F76)</f>
        <v>0</v>
      </c>
      <c r="G48" s="109" t="s">
        <v>84</v>
      </c>
      <c r="H48" s="109" t="s">
        <v>879</v>
      </c>
      <c r="I48" s="109" t="s">
        <v>875</v>
      </c>
      <c r="J48" s="71">
        <v>32500</v>
      </c>
      <c r="K48" s="72">
        <f t="shared" si="16"/>
        <v>4900</v>
      </c>
      <c r="L48" s="68" t="s">
        <v>791</v>
      </c>
      <c r="M48" s="73">
        <f t="shared" si="17"/>
        <v>27600</v>
      </c>
      <c r="N48" s="73">
        <v>4900</v>
      </c>
      <c r="O48" s="74">
        <f t="shared" si="18"/>
        <v>32500</v>
      </c>
      <c r="P48" s="110"/>
      <c r="Q48" s="117" t="s">
        <v>896</v>
      </c>
      <c r="R48" s="111"/>
      <c r="S48" s="112">
        <f t="shared" si="4"/>
        <v>32500</v>
      </c>
      <c r="T48" s="112">
        <f t="shared" si="5"/>
        <v>46428.571428571435</v>
      </c>
      <c r="U48" s="113">
        <f t="shared" si="6"/>
        <v>53061.224489795924</v>
      </c>
      <c r="V48" s="114">
        <f t="shared" si="7"/>
        <v>0.12499999999999999</v>
      </c>
      <c r="W48" s="113">
        <f t="shared" si="8"/>
        <v>53100</v>
      </c>
      <c r="X48" s="115">
        <f t="shared" si="9"/>
        <v>0.3000000000000001</v>
      </c>
      <c r="Y48" s="85"/>
      <c r="Z48" s="86"/>
      <c r="AA48" s="87"/>
    </row>
    <row r="49" spans="2:27" s="116" customFormat="1" ht="14.4" customHeight="1">
      <c r="B49" s="108">
        <v>466</v>
      </c>
      <c r="C49" s="117" t="s">
        <v>899</v>
      </c>
      <c r="D49" s="68" t="str">
        <f t="shared" si="0"/>
        <v xml:space="preserve"> 549</v>
      </c>
      <c r="E49" s="117" t="s">
        <v>899</v>
      </c>
      <c r="F49" s="68">
        <f t="shared" ref="F49:F85" si="19">IF(C49=E49,0,1)</f>
        <v>0</v>
      </c>
      <c r="G49" s="109" t="s">
        <v>789</v>
      </c>
      <c r="H49" s="109" t="s">
        <v>815</v>
      </c>
      <c r="I49" s="109" t="s">
        <v>900</v>
      </c>
      <c r="J49" s="71"/>
      <c r="K49" s="72">
        <f t="shared" si="16"/>
        <v>0</v>
      </c>
      <c r="L49" s="68" t="s">
        <v>791</v>
      </c>
      <c r="M49" s="73">
        <f t="shared" si="17"/>
        <v>0</v>
      </c>
      <c r="N49" s="73"/>
      <c r="O49" s="74">
        <f t="shared" si="18"/>
        <v>0</v>
      </c>
      <c r="P49" s="110"/>
      <c r="Q49" s="117"/>
      <c r="R49" s="111"/>
      <c r="S49" s="112">
        <f t="shared" si="4"/>
        <v>0</v>
      </c>
      <c r="T49" s="112">
        <f t="shared" si="5"/>
        <v>0</v>
      </c>
      <c r="U49" s="113">
        <f t="shared" si="6"/>
        <v>0</v>
      </c>
      <c r="V49" s="114" t="e">
        <f t="shared" si="7"/>
        <v>#DIV/0!</v>
      </c>
      <c r="W49" s="113">
        <f t="shared" si="8"/>
        <v>0</v>
      </c>
      <c r="X49" s="115" t="e">
        <f t="shared" si="9"/>
        <v>#DIV/0!</v>
      </c>
      <c r="Y49" s="85"/>
      <c r="Z49" s="86"/>
      <c r="AA49" s="87"/>
    </row>
    <row r="50" spans="2:27" s="116" customFormat="1" ht="14.4" customHeight="1">
      <c r="B50" s="150">
        <v>467</v>
      </c>
      <c r="C50" s="117" t="s">
        <v>901</v>
      </c>
      <c r="D50" s="68" t="str">
        <f t="shared" si="0"/>
        <v xml:space="preserve"> 919</v>
      </c>
      <c r="E50" s="117" t="s">
        <v>901</v>
      </c>
      <c r="F50" s="68">
        <f t="shared" si="19"/>
        <v>0</v>
      </c>
      <c r="G50" s="109" t="s">
        <v>790</v>
      </c>
      <c r="H50" s="109" t="s">
        <v>902</v>
      </c>
      <c r="I50" s="109" t="s">
        <v>903</v>
      </c>
      <c r="J50" s="71">
        <f>M50</f>
        <v>77750</v>
      </c>
      <c r="K50" s="72">
        <f t="shared" si="16"/>
        <v>0</v>
      </c>
      <c r="L50" s="118" t="s">
        <v>847</v>
      </c>
      <c r="M50" s="119">
        <v>77750</v>
      </c>
      <c r="N50" s="75">
        <f>2000+600+200+250+650+3600+450</f>
        <v>7750</v>
      </c>
      <c r="O50" s="74">
        <f t="shared" si="18"/>
        <v>85500</v>
      </c>
      <c r="P50" s="134"/>
      <c r="Q50" s="117" t="s">
        <v>986</v>
      </c>
      <c r="R50" s="111"/>
      <c r="S50" s="112">
        <f t="shared" si="4"/>
        <v>85500</v>
      </c>
      <c r="T50" s="112">
        <f t="shared" si="5"/>
        <v>122142.85714285714</v>
      </c>
      <c r="U50" s="113">
        <f t="shared" si="6"/>
        <v>139591.83673469388</v>
      </c>
      <c r="V50" s="114">
        <f t="shared" si="7"/>
        <v>0.12499999999999997</v>
      </c>
      <c r="W50" s="113">
        <f t="shared" si="8"/>
        <v>139600</v>
      </c>
      <c r="X50" s="115">
        <f t="shared" si="9"/>
        <v>0.3</v>
      </c>
      <c r="Y50" s="85">
        <v>118388</v>
      </c>
      <c r="Z50" s="86">
        <f t="shared" ref="Z50:Z55" si="20">T50-Y50</f>
        <v>3754.8571428571449</v>
      </c>
      <c r="AA50" s="87">
        <f t="shared" ref="AA50:AA55" si="21">Z50/Y50</f>
        <v>3.1716534977000582E-2</v>
      </c>
    </row>
    <row r="51" spans="2:27" s="116" customFormat="1" ht="14.4" customHeight="1">
      <c r="B51" s="149">
        <v>468</v>
      </c>
      <c r="C51" s="117" t="s">
        <v>904</v>
      </c>
      <c r="D51" s="68" t="str">
        <f t="shared" si="0"/>
        <v xml:space="preserve"> 141</v>
      </c>
      <c r="E51" s="117" t="s">
        <v>904</v>
      </c>
      <c r="F51" s="68">
        <f t="shared" si="19"/>
        <v>0</v>
      </c>
      <c r="G51" s="109" t="s">
        <v>790</v>
      </c>
      <c r="H51" s="109" t="s">
        <v>902</v>
      </c>
      <c r="I51" s="109" t="s">
        <v>903</v>
      </c>
      <c r="J51" s="71">
        <f>M51</f>
        <v>77750</v>
      </c>
      <c r="K51" s="72">
        <f t="shared" si="16"/>
        <v>0</v>
      </c>
      <c r="L51" s="118" t="s">
        <v>847</v>
      </c>
      <c r="M51" s="119">
        <v>77750</v>
      </c>
      <c r="N51" s="75">
        <f>2000+600+200+250+650+3600+450</f>
        <v>7750</v>
      </c>
      <c r="O51" s="74">
        <f t="shared" si="18"/>
        <v>85500</v>
      </c>
      <c r="P51" s="134"/>
      <c r="Q51" s="117" t="s">
        <v>987</v>
      </c>
      <c r="R51" s="111"/>
      <c r="S51" s="112">
        <f t="shared" si="4"/>
        <v>85500</v>
      </c>
      <c r="T51" s="112">
        <f t="shared" si="5"/>
        <v>122142.85714285714</v>
      </c>
      <c r="U51" s="113">
        <f t="shared" si="6"/>
        <v>139591.83673469388</v>
      </c>
      <c r="V51" s="114">
        <f t="shared" si="7"/>
        <v>0.12499999999999997</v>
      </c>
      <c r="W51" s="113">
        <f t="shared" si="8"/>
        <v>139600</v>
      </c>
      <c r="X51" s="115">
        <f t="shared" si="9"/>
        <v>0.3</v>
      </c>
      <c r="Y51" s="85">
        <v>118388</v>
      </c>
      <c r="Z51" s="86">
        <f t="shared" si="20"/>
        <v>3754.8571428571449</v>
      </c>
      <c r="AA51" s="87">
        <f t="shared" si="21"/>
        <v>3.1716534977000582E-2</v>
      </c>
    </row>
    <row r="52" spans="2:27" s="116" customFormat="1" ht="14.4" customHeight="1">
      <c r="B52" s="117">
        <v>469</v>
      </c>
      <c r="C52" s="117" t="s">
        <v>905</v>
      </c>
      <c r="D52" s="68" t="str">
        <f t="shared" si="0"/>
        <v xml:space="preserve"> 598</v>
      </c>
      <c r="E52" s="117" t="s">
        <v>905</v>
      </c>
      <c r="F52" s="68">
        <f t="shared" si="19"/>
        <v>0</v>
      </c>
      <c r="G52" s="109" t="s">
        <v>790</v>
      </c>
      <c r="H52" s="109" t="s">
        <v>902</v>
      </c>
      <c r="I52" s="109" t="s">
        <v>906</v>
      </c>
      <c r="J52" s="131">
        <v>72000</v>
      </c>
      <c r="K52" s="72">
        <f t="shared" si="16"/>
        <v>0</v>
      </c>
      <c r="L52" s="126" t="s">
        <v>881</v>
      </c>
      <c r="M52" s="127">
        <f>J52</f>
        <v>72000</v>
      </c>
      <c r="N52" s="128">
        <f>2000+3450+800+200+250+400</f>
        <v>7100</v>
      </c>
      <c r="O52" s="128">
        <f>N52+M52</f>
        <v>79100</v>
      </c>
      <c r="P52" s="135"/>
      <c r="Q52" s="64" t="s">
        <v>907</v>
      </c>
      <c r="R52" s="111"/>
      <c r="S52" s="112">
        <f t="shared" si="4"/>
        <v>79100</v>
      </c>
      <c r="T52" s="112">
        <f t="shared" si="5"/>
        <v>113000</v>
      </c>
      <c r="U52" s="113">
        <f t="shared" si="6"/>
        <v>129142.85714285714</v>
      </c>
      <c r="V52" s="114">
        <f t="shared" si="7"/>
        <v>0.12500000000000003</v>
      </c>
      <c r="W52" s="113">
        <f t="shared" si="8"/>
        <v>129200</v>
      </c>
      <c r="X52" s="115">
        <f t="shared" si="9"/>
        <v>0.3</v>
      </c>
      <c r="Y52" s="85">
        <v>120225</v>
      </c>
      <c r="Z52" s="86">
        <f t="shared" si="20"/>
        <v>-7225</v>
      </c>
      <c r="AA52" s="87">
        <f t="shared" si="21"/>
        <v>-6.0095653982116866E-2</v>
      </c>
    </row>
    <row r="53" spans="2:27" s="116" customFormat="1" ht="14.4" customHeight="1">
      <c r="B53" s="149">
        <v>470</v>
      </c>
      <c r="C53" s="117" t="s">
        <v>908</v>
      </c>
      <c r="D53" s="68" t="str">
        <f t="shared" si="0"/>
        <v xml:space="preserve"> 510</v>
      </c>
      <c r="E53" s="117" t="s">
        <v>908</v>
      </c>
      <c r="F53" s="68">
        <f t="shared" si="19"/>
        <v>0</v>
      </c>
      <c r="G53" s="109" t="s">
        <v>790</v>
      </c>
      <c r="H53" s="109" t="s">
        <v>902</v>
      </c>
      <c r="I53" s="109" t="s">
        <v>903</v>
      </c>
      <c r="J53" s="71">
        <f>M53</f>
        <v>65250</v>
      </c>
      <c r="K53" s="72">
        <f t="shared" si="16"/>
        <v>0</v>
      </c>
      <c r="L53" s="118" t="s">
        <v>847</v>
      </c>
      <c r="M53" s="119">
        <v>65250</v>
      </c>
      <c r="N53" s="75">
        <f>2000+600+200+250+800+3600+450</f>
        <v>7900</v>
      </c>
      <c r="O53" s="74">
        <f t="shared" ref="O53:O77" si="22">M53+N53</f>
        <v>73150</v>
      </c>
      <c r="P53" s="134"/>
      <c r="Q53" s="117" t="s">
        <v>909</v>
      </c>
      <c r="R53" s="111"/>
      <c r="S53" s="112">
        <f t="shared" si="4"/>
        <v>73150</v>
      </c>
      <c r="T53" s="112">
        <f t="shared" si="5"/>
        <v>104500</v>
      </c>
      <c r="U53" s="113">
        <f t="shared" si="6"/>
        <v>119428.57142857143</v>
      </c>
      <c r="V53" s="114">
        <f t="shared" si="7"/>
        <v>0.12500000000000006</v>
      </c>
      <c r="W53" s="113">
        <f t="shared" si="8"/>
        <v>119500</v>
      </c>
      <c r="X53" s="115">
        <f t="shared" si="9"/>
        <v>0.3</v>
      </c>
      <c r="Y53" s="85">
        <v>96513</v>
      </c>
      <c r="Z53" s="86">
        <f t="shared" si="20"/>
        <v>7987</v>
      </c>
      <c r="AA53" s="87">
        <f t="shared" si="21"/>
        <v>8.2755690943189006E-2</v>
      </c>
    </row>
    <row r="54" spans="2:27" s="116" customFormat="1" ht="14.4" customHeight="1">
      <c r="B54" s="117">
        <v>471</v>
      </c>
      <c r="C54" s="117" t="s">
        <v>910</v>
      </c>
      <c r="D54" s="68" t="str">
        <f t="shared" si="0"/>
        <v xml:space="preserve"> 267</v>
      </c>
      <c r="E54" s="117" t="s">
        <v>910</v>
      </c>
      <c r="F54" s="68">
        <f t="shared" si="19"/>
        <v>0</v>
      </c>
      <c r="G54" s="109" t="s">
        <v>790</v>
      </c>
      <c r="H54" s="109" t="s">
        <v>902</v>
      </c>
      <c r="I54" s="109" t="s">
        <v>911</v>
      </c>
      <c r="J54" s="71"/>
      <c r="K54" s="72">
        <f t="shared" si="16"/>
        <v>0</v>
      </c>
      <c r="L54" s="68" t="s">
        <v>791</v>
      </c>
      <c r="M54" s="73">
        <f>J54-N54</f>
        <v>0</v>
      </c>
      <c r="N54" s="73"/>
      <c r="O54" s="74">
        <f t="shared" si="22"/>
        <v>0</v>
      </c>
      <c r="P54" s="110"/>
      <c r="Q54" s="117"/>
      <c r="R54" s="111"/>
      <c r="S54" s="112">
        <f t="shared" si="4"/>
        <v>0</v>
      </c>
      <c r="T54" s="112">
        <f t="shared" si="5"/>
        <v>0</v>
      </c>
      <c r="U54" s="113">
        <f t="shared" si="6"/>
        <v>0</v>
      </c>
      <c r="V54" s="114" t="e">
        <f t="shared" si="7"/>
        <v>#DIV/0!</v>
      </c>
      <c r="W54" s="113">
        <f t="shared" si="8"/>
        <v>0</v>
      </c>
      <c r="X54" s="115" t="e">
        <f t="shared" si="9"/>
        <v>#DIV/0!</v>
      </c>
      <c r="Y54" s="85">
        <v>95725</v>
      </c>
      <c r="Z54" s="86">
        <f t="shared" si="20"/>
        <v>-95725</v>
      </c>
      <c r="AA54" s="87">
        <f t="shared" si="21"/>
        <v>-1</v>
      </c>
    </row>
    <row r="55" spans="2:27" s="116" customFormat="1" ht="14.4" customHeight="1">
      <c r="B55" s="149">
        <v>472</v>
      </c>
      <c r="C55" s="117" t="s">
        <v>912</v>
      </c>
      <c r="D55" s="68" t="str">
        <f t="shared" si="0"/>
        <v xml:space="preserve"> 319</v>
      </c>
      <c r="E55" s="117" t="s">
        <v>912</v>
      </c>
      <c r="F55" s="68">
        <f t="shared" si="19"/>
        <v>0</v>
      </c>
      <c r="G55" s="109" t="s">
        <v>790</v>
      </c>
      <c r="H55" s="109" t="s">
        <v>902</v>
      </c>
      <c r="I55" s="109" t="s">
        <v>903</v>
      </c>
      <c r="J55" s="71">
        <f>M55</f>
        <v>67750</v>
      </c>
      <c r="K55" s="72">
        <f t="shared" si="16"/>
        <v>0</v>
      </c>
      <c r="L55" s="118" t="s">
        <v>847</v>
      </c>
      <c r="M55" s="119">
        <v>67750</v>
      </c>
      <c r="N55" s="75">
        <f>2000+600+200+250+700+3600+450</f>
        <v>7800</v>
      </c>
      <c r="O55" s="74">
        <f t="shared" si="22"/>
        <v>75550</v>
      </c>
      <c r="P55" s="134"/>
      <c r="Q55" s="117" t="s">
        <v>990</v>
      </c>
      <c r="R55" s="111"/>
      <c r="S55" s="112">
        <f t="shared" si="4"/>
        <v>75550</v>
      </c>
      <c r="T55" s="112">
        <f t="shared" si="5"/>
        <v>107928.57142857143</v>
      </c>
      <c r="U55" s="113">
        <f t="shared" si="6"/>
        <v>123346.93877551021</v>
      </c>
      <c r="V55" s="114">
        <f t="shared" si="7"/>
        <v>0.12499999999999997</v>
      </c>
      <c r="W55" s="113">
        <f t="shared" si="8"/>
        <v>123400</v>
      </c>
      <c r="X55" s="115">
        <f t="shared" si="9"/>
        <v>0.30000000000000004</v>
      </c>
      <c r="Y55" s="85">
        <v>102900</v>
      </c>
      <c r="Z55" s="86">
        <f t="shared" si="20"/>
        <v>5028.5714285714348</v>
      </c>
      <c r="AA55" s="87">
        <f t="shared" si="21"/>
        <v>4.886852700263785E-2</v>
      </c>
    </row>
    <row r="56" spans="2:27" s="116" customFormat="1" ht="14.4" customHeight="1">
      <c r="B56" s="117">
        <v>473</v>
      </c>
      <c r="C56" s="117" t="s">
        <v>913</v>
      </c>
      <c r="D56" s="68" t="str">
        <f t="shared" si="0"/>
        <v xml:space="preserve"> 669</v>
      </c>
      <c r="E56" s="117" t="s">
        <v>913</v>
      </c>
      <c r="F56" s="68">
        <f t="shared" si="19"/>
        <v>0</v>
      </c>
      <c r="G56" s="109" t="s">
        <v>789</v>
      </c>
      <c r="H56" s="109" t="s">
        <v>854</v>
      </c>
      <c r="I56" s="109" t="s">
        <v>914</v>
      </c>
      <c r="J56" s="71">
        <f>M56</f>
        <v>69000</v>
      </c>
      <c r="K56" s="120">
        <f t="shared" si="16"/>
        <v>0</v>
      </c>
      <c r="L56" s="118" t="s">
        <v>847</v>
      </c>
      <c r="M56" s="119">
        <v>69000</v>
      </c>
      <c r="N56" s="75">
        <f>2000+200+250+600+1000+3600+450</f>
        <v>8100</v>
      </c>
      <c r="O56" s="74">
        <f t="shared" si="22"/>
        <v>77100</v>
      </c>
      <c r="P56" s="110"/>
      <c r="Q56" s="117" t="s">
        <v>915</v>
      </c>
      <c r="R56" s="111"/>
      <c r="S56" s="112">
        <f t="shared" si="4"/>
        <v>77100</v>
      </c>
      <c r="T56" s="112">
        <f t="shared" si="5"/>
        <v>110142.85714285714</v>
      </c>
      <c r="U56" s="113">
        <f t="shared" si="6"/>
        <v>125877.55102040817</v>
      </c>
      <c r="V56" s="114">
        <f t="shared" si="7"/>
        <v>0.125</v>
      </c>
      <c r="W56" s="113">
        <f t="shared" si="8"/>
        <v>125900</v>
      </c>
      <c r="X56" s="115">
        <f t="shared" si="9"/>
        <v>0.3</v>
      </c>
      <c r="Y56" s="85"/>
      <c r="Z56" s="86"/>
      <c r="AA56" s="87"/>
    </row>
    <row r="57" spans="2:27" s="116" customFormat="1" ht="14.4" customHeight="1">
      <c r="B57" s="149">
        <v>474</v>
      </c>
      <c r="C57" s="117" t="s">
        <v>916</v>
      </c>
      <c r="D57" s="68" t="str">
        <f t="shared" si="0"/>
        <v xml:space="preserve"> 380</v>
      </c>
      <c r="E57" s="117" t="s">
        <v>916</v>
      </c>
      <c r="F57" s="68">
        <f t="shared" si="19"/>
        <v>0</v>
      </c>
      <c r="G57" s="109" t="s">
        <v>790</v>
      </c>
      <c r="H57" s="109" t="s">
        <v>902</v>
      </c>
      <c r="I57" s="109" t="s">
        <v>903</v>
      </c>
      <c r="J57" s="71">
        <f>M57</f>
        <v>63250</v>
      </c>
      <c r="K57" s="72">
        <f t="shared" si="16"/>
        <v>0</v>
      </c>
      <c r="L57" s="118" t="s">
        <v>847</v>
      </c>
      <c r="M57" s="119">
        <v>63250</v>
      </c>
      <c r="N57" s="75">
        <f>2000+600+200+250+800+3600+450</f>
        <v>7900</v>
      </c>
      <c r="O57" s="74">
        <f t="shared" si="22"/>
        <v>71150</v>
      </c>
      <c r="P57" s="134"/>
      <c r="Q57" s="117" t="s">
        <v>985</v>
      </c>
      <c r="R57" s="111"/>
      <c r="S57" s="112">
        <f t="shared" si="4"/>
        <v>71150</v>
      </c>
      <c r="T57" s="112">
        <f t="shared" si="5"/>
        <v>101642.85714285714</v>
      </c>
      <c r="U57" s="113">
        <f t="shared" si="6"/>
        <v>116163.26530612246</v>
      </c>
      <c r="V57" s="114">
        <f t="shared" si="7"/>
        <v>0.12500000000000003</v>
      </c>
      <c r="W57" s="113">
        <f t="shared" si="8"/>
        <v>116200</v>
      </c>
      <c r="X57" s="115">
        <f t="shared" si="9"/>
        <v>0.3</v>
      </c>
      <c r="Y57" s="85">
        <v>94325</v>
      </c>
      <c r="Z57" s="86">
        <f>T57-Y57</f>
        <v>7317.8571428571449</v>
      </c>
      <c r="AA57" s="87">
        <f>Z57/Y57</f>
        <v>7.7581310817462446E-2</v>
      </c>
    </row>
    <row r="58" spans="2:27" s="116" customFormat="1" ht="14.4" customHeight="1">
      <c r="B58" s="150">
        <v>475</v>
      </c>
      <c r="C58" s="117" t="s">
        <v>917</v>
      </c>
      <c r="D58" s="68" t="str">
        <f t="shared" si="0"/>
        <v xml:space="preserve"> 667</v>
      </c>
      <c r="E58" s="117" t="s">
        <v>917</v>
      </c>
      <c r="F58" s="68">
        <f t="shared" si="19"/>
        <v>0</v>
      </c>
      <c r="G58" s="109" t="s">
        <v>790</v>
      </c>
      <c r="H58" s="109" t="s">
        <v>902</v>
      </c>
      <c r="I58" s="109" t="s">
        <v>903</v>
      </c>
      <c r="J58" s="71">
        <f>M58</f>
        <v>77750</v>
      </c>
      <c r="K58" s="72">
        <f t="shared" si="16"/>
        <v>0</v>
      </c>
      <c r="L58" s="118" t="s">
        <v>847</v>
      </c>
      <c r="M58" s="119">
        <v>77750</v>
      </c>
      <c r="N58" s="75">
        <f>2000+600+200+250+650+3600+450</f>
        <v>7750</v>
      </c>
      <c r="O58" s="74">
        <f t="shared" si="22"/>
        <v>85500</v>
      </c>
      <c r="P58" s="134"/>
      <c r="Q58" s="117" t="s">
        <v>992</v>
      </c>
      <c r="R58" s="111"/>
      <c r="S58" s="112">
        <f t="shared" si="4"/>
        <v>85500</v>
      </c>
      <c r="T58" s="112">
        <f t="shared" si="5"/>
        <v>122142.85714285714</v>
      </c>
      <c r="U58" s="113">
        <f t="shared" si="6"/>
        <v>139591.83673469388</v>
      </c>
      <c r="V58" s="114">
        <f t="shared" si="7"/>
        <v>0.12499999999999997</v>
      </c>
      <c r="W58" s="113">
        <f t="shared" si="8"/>
        <v>139600</v>
      </c>
      <c r="X58" s="115">
        <f t="shared" si="9"/>
        <v>0.3</v>
      </c>
      <c r="Y58" s="85">
        <v>111300</v>
      </c>
      <c r="Z58" s="86">
        <f>T58-Y58</f>
        <v>10842.857142857145</v>
      </c>
      <c r="AA58" s="87">
        <f>Z58/Y58</f>
        <v>9.7420100115517924E-2</v>
      </c>
    </row>
    <row r="59" spans="2:27" s="116" customFormat="1" ht="14.4" customHeight="1">
      <c r="B59" s="108">
        <v>476</v>
      </c>
      <c r="C59" s="117" t="s">
        <v>918</v>
      </c>
      <c r="D59" s="68" t="str">
        <f t="shared" si="0"/>
        <v xml:space="preserve"> 765</v>
      </c>
      <c r="E59" s="117" t="s">
        <v>918</v>
      </c>
      <c r="F59" s="68">
        <f t="shared" si="19"/>
        <v>0</v>
      </c>
      <c r="G59" s="109" t="s">
        <v>789</v>
      </c>
      <c r="H59" s="109" t="s">
        <v>902</v>
      </c>
      <c r="I59" s="109" t="s">
        <v>919</v>
      </c>
      <c r="J59" s="71">
        <f>M59</f>
        <v>68000</v>
      </c>
      <c r="K59" s="120">
        <f t="shared" si="16"/>
        <v>0</v>
      </c>
      <c r="L59" s="118" t="s">
        <v>847</v>
      </c>
      <c r="M59" s="119">
        <v>68000</v>
      </c>
      <c r="N59" s="75">
        <f>2000+200+250+600+1000+3600+450</f>
        <v>8100</v>
      </c>
      <c r="O59" s="74">
        <f t="shared" si="22"/>
        <v>76100</v>
      </c>
      <c r="P59" s="135"/>
      <c r="Q59" s="136" t="s">
        <v>920</v>
      </c>
      <c r="R59" s="111"/>
      <c r="S59" s="112">
        <f t="shared" si="4"/>
        <v>76100</v>
      </c>
      <c r="T59" s="112">
        <f t="shared" si="5"/>
        <v>108714.28571428572</v>
      </c>
      <c r="U59" s="113">
        <f t="shared" si="6"/>
        <v>124244.89795918368</v>
      </c>
      <c r="V59" s="114">
        <f t="shared" si="7"/>
        <v>0.12499999999999999</v>
      </c>
      <c r="W59" s="113">
        <f t="shared" si="8"/>
        <v>124300</v>
      </c>
      <c r="X59" s="115">
        <f t="shared" si="9"/>
        <v>0.30000000000000004</v>
      </c>
      <c r="Y59" s="85"/>
      <c r="Z59" s="86"/>
      <c r="AA59" s="87"/>
    </row>
    <row r="60" spans="2:27" s="116" customFormat="1" ht="14.4" customHeight="1">
      <c r="B60" s="117">
        <v>477</v>
      </c>
      <c r="C60" s="117" t="s">
        <v>921</v>
      </c>
      <c r="D60" s="68" t="str">
        <f t="shared" si="0"/>
        <v xml:space="preserve"> 666</v>
      </c>
      <c r="E60" s="117" t="s">
        <v>921</v>
      </c>
      <c r="F60" s="68">
        <f t="shared" si="19"/>
        <v>0</v>
      </c>
      <c r="G60" s="109" t="s">
        <v>789</v>
      </c>
      <c r="H60" s="109" t="s">
        <v>902</v>
      </c>
      <c r="I60" s="109" t="s">
        <v>922</v>
      </c>
      <c r="J60" s="71"/>
      <c r="K60" s="72">
        <f t="shared" si="16"/>
        <v>0</v>
      </c>
      <c r="L60" s="68" t="s">
        <v>791</v>
      </c>
      <c r="M60" s="73">
        <f>J60-N60</f>
        <v>0</v>
      </c>
      <c r="N60" s="73"/>
      <c r="O60" s="74">
        <f t="shared" si="22"/>
        <v>0</v>
      </c>
      <c r="P60" s="110"/>
      <c r="Q60" s="117"/>
      <c r="R60" s="111"/>
      <c r="S60" s="112">
        <f t="shared" si="4"/>
        <v>0</v>
      </c>
      <c r="T60" s="112">
        <f t="shared" si="5"/>
        <v>0</v>
      </c>
      <c r="U60" s="113">
        <f t="shared" si="6"/>
        <v>0</v>
      </c>
      <c r="V60" s="114" t="e">
        <f t="shared" si="7"/>
        <v>#DIV/0!</v>
      </c>
      <c r="W60" s="113">
        <f t="shared" si="8"/>
        <v>0</v>
      </c>
      <c r="X60" s="115" t="e">
        <f t="shared" si="9"/>
        <v>#DIV/0!</v>
      </c>
      <c r="Y60" s="85"/>
      <c r="Z60" s="86"/>
      <c r="AA60" s="87"/>
    </row>
    <row r="61" spans="2:27" s="116" customFormat="1" ht="14.4" customHeight="1">
      <c r="B61" s="149">
        <v>478</v>
      </c>
      <c r="C61" s="117" t="s">
        <v>923</v>
      </c>
      <c r="D61" s="68" t="str">
        <f t="shared" si="0"/>
        <v xml:space="preserve"> 386</v>
      </c>
      <c r="E61" s="117" t="s">
        <v>923</v>
      </c>
      <c r="F61" s="68">
        <f t="shared" si="19"/>
        <v>0</v>
      </c>
      <c r="G61" s="109" t="s">
        <v>790</v>
      </c>
      <c r="H61" s="109" t="s">
        <v>902</v>
      </c>
      <c r="I61" s="109" t="s">
        <v>903</v>
      </c>
      <c r="J61" s="71">
        <f>M61</f>
        <v>69250</v>
      </c>
      <c r="K61" s="72">
        <f t="shared" si="16"/>
        <v>0</v>
      </c>
      <c r="L61" s="118" t="s">
        <v>847</v>
      </c>
      <c r="M61" s="119">
        <v>69250</v>
      </c>
      <c r="N61" s="75">
        <f>2000+600+200+250+400+800+3600+450</f>
        <v>8300</v>
      </c>
      <c r="O61" s="74">
        <f t="shared" si="22"/>
        <v>77550</v>
      </c>
      <c r="P61" s="134"/>
      <c r="Q61" s="117" t="s">
        <v>989</v>
      </c>
      <c r="R61" s="111"/>
      <c r="S61" s="112">
        <f t="shared" si="4"/>
        <v>77550</v>
      </c>
      <c r="T61" s="112">
        <f t="shared" si="5"/>
        <v>110785.71428571429</v>
      </c>
      <c r="U61" s="113">
        <f t="shared" si="6"/>
        <v>126612.24489795919</v>
      </c>
      <c r="V61" s="114">
        <f t="shared" si="7"/>
        <v>0.12499999999999999</v>
      </c>
      <c r="W61" s="113">
        <f t="shared" si="8"/>
        <v>126700</v>
      </c>
      <c r="X61" s="115">
        <f t="shared" si="9"/>
        <v>0.30000000000000004</v>
      </c>
      <c r="Y61" s="85">
        <v>108500</v>
      </c>
      <c r="Z61" s="86">
        <f>T61-Y61</f>
        <v>2285.7142857142899</v>
      </c>
      <c r="AA61" s="87">
        <f>Z61/Y61</f>
        <v>2.1066491112574099E-2</v>
      </c>
    </row>
    <row r="62" spans="2:27" s="116" customFormat="1" ht="14.4" customHeight="1">
      <c r="B62" s="117">
        <v>479</v>
      </c>
      <c r="C62" s="117" t="s">
        <v>924</v>
      </c>
      <c r="D62" s="68" t="str">
        <f t="shared" si="0"/>
        <v xml:space="preserve"> 388</v>
      </c>
      <c r="E62" s="117" t="s">
        <v>924</v>
      </c>
      <c r="F62" s="68">
        <f t="shared" si="19"/>
        <v>0</v>
      </c>
      <c r="G62" s="109" t="s">
        <v>789</v>
      </c>
      <c r="H62" s="109" t="s">
        <v>902</v>
      </c>
      <c r="I62" s="109" t="s">
        <v>925</v>
      </c>
      <c r="J62" s="71">
        <f>M62</f>
        <v>75000</v>
      </c>
      <c r="K62" s="72">
        <f t="shared" si="16"/>
        <v>0</v>
      </c>
      <c r="L62" s="118" t="s">
        <v>847</v>
      </c>
      <c r="M62" s="119">
        <v>75000</v>
      </c>
      <c r="N62" s="75">
        <f>2000+200+250+600+1000+3600</f>
        <v>7650</v>
      </c>
      <c r="O62" s="74">
        <f t="shared" si="22"/>
        <v>82650</v>
      </c>
      <c r="P62" s="110"/>
      <c r="Q62" s="117" t="s">
        <v>926</v>
      </c>
      <c r="R62" s="111"/>
      <c r="S62" s="112">
        <f t="shared" si="4"/>
        <v>82650</v>
      </c>
      <c r="T62" s="112">
        <f t="shared" si="5"/>
        <v>118071.42857142858</v>
      </c>
      <c r="U62" s="113">
        <f t="shared" si="6"/>
        <v>134938.77551020408</v>
      </c>
      <c r="V62" s="114">
        <f t="shared" si="7"/>
        <v>0.12499999999999994</v>
      </c>
      <c r="W62" s="113">
        <f t="shared" si="8"/>
        <v>135000</v>
      </c>
      <c r="X62" s="115">
        <f t="shared" si="9"/>
        <v>0.30000000000000004</v>
      </c>
      <c r="Y62" s="85"/>
      <c r="Z62" s="86"/>
      <c r="AA62" s="87"/>
    </row>
    <row r="63" spans="2:27" s="116" customFormat="1" ht="14.4" customHeight="1">
      <c r="B63" s="149">
        <v>480</v>
      </c>
      <c r="C63" s="117" t="s">
        <v>927</v>
      </c>
      <c r="D63" s="68" t="str">
        <f t="shared" si="0"/>
        <v xml:space="preserve"> 427</v>
      </c>
      <c r="E63" s="117" t="s">
        <v>927</v>
      </c>
      <c r="F63" s="68">
        <f t="shared" si="19"/>
        <v>0</v>
      </c>
      <c r="G63" s="109" t="s">
        <v>789</v>
      </c>
      <c r="H63" s="109" t="s">
        <v>902</v>
      </c>
      <c r="I63" s="109" t="s">
        <v>903</v>
      </c>
      <c r="J63" s="71">
        <f>M63</f>
        <v>62750</v>
      </c>
      <c r="K63" s="72">
        <f t="shared" si="16"/>
        <v>0</v>
      </c>
      <c r="L63" s="118" t="s">
        <v>847</v>
      </c>
      <c r="M63" s="119">
        <v>62750</v>
      </c>
      <c r="N63" s="75">
        <f>2000+200+250+600+400+3600+450</f>
        <v>7500</v>
      </c>
      <c r="O63" s="74">
        <f t="shared" si="22"/>
        <v>70250</v>
      </c>
      <c r="P63" s="134"/>
      <c r="Q63" s="117" t="s">
        <v>984</v>
      </c>
      <c r="R63" s="111"/>
      <c r="S63" s="112">
        <f t="shared" si="4"/>
        <v>70250</v>
      </c>
      <c r="T63" s="112">
        <f t="shared" si="5"/>
        <v>100357.14285714287</v>
      </c>
      <c r="U63" s="113">
        <f t="shared" si="6"/>
        <v>114693.87755102043</v>
      </c>
      <c r="V63" s="114">
        <f t="shared" si="7"/>
        <v>0.12500000000000006</v>
      </c>
      <c r="W63" s="113">
        <f t="shared" si="8"/>
        <v>114700</v>
      </c>
      <c r="X63" s="115">
        <f t="shared" si="9"/>
        <v>0.3000000000000001</v>
      </c>
      <c r="Y63" s="85"/>
      <c r="Z63" s="86"/>
      <c r="AA63" s="87"/>
    </row>
    <row r="64" spans="2:27" s="116" customFormat="1" ht="14.4" customHeight="1">
      <c r="B64" s="117">
        <v>481</v>
      </c>
      <c r="C64" s="117" t="s">
        <v>928</v>
      </c>
      <c r="D64" s="68" t="str">
        <f t="shared" si="0"/>
        <v xml:space="preserve"> 409</v>
      </c>
      <c r="E64" s="117" t="s">
        <v>928</v>
      </c>
      <c r="F64" s="68">
        <f t="shared" si="19"/>
        <v>0</v>
      </c>
      <c r="G64" s="109" t="s">
        <v>789</v>
      </c>
      <c r="H64" s="109" t="s">
        <v>902</v>
      </c>
      <c r="I64" s="109" t="s">
        <v>922</v>
      </c>
      <c r="J64" s="71"/>
      <c r="K64" s="72">
        <f t="shared" si="16"/>
        <v>0</v>
      </c>
      <c r="L64" s="68" t="s">
        <v>791</v>
      </c>
      <c r="M64" s="73">
        <f>J64-N64</f>
        <v>0</v>
      </c>
      <c r="N64" s="73"/>
      <c r="O64" s="74">
        <f t="shared" si="22"/>
        <v>0</v>
      </c>
      <c r="P64" s="110"/>
      <c r="Q64" s="117"/>
      <c r="R64" s="111"/>
      <c r="S64" s="112">
        <f t="shared" si="4"/>
        <v>0</v>
      </c>
      <c r="T64" s="112">
        <f t="shared" si="5"/>
        <v>0</v>
      </c>
      <c r="U64" s="113">
        <f t="shared" si="6"/>
        <v>0</v>
      </c>
      <c r="V64" s="114" t="e">
        <f t="shared" si="7"/>
        <v>#DIV/0!</v>
      </c>
      <c r="W64" s="113">
        <f t="shared" si="8"/>
        <v>0</v>
      </c>
      <c r="X64" s="115" t="e">
        <f t="shared" si="9"/>
        <v>#DIV/0!</v>
      </c>
      <c r="Y64" s="85"/>
      <c r="Z64" s="86"/>
      <c r="AA64" s="87"/>
    </row>
    <row r="65" spans="2:27" s="116" customFormat="1" ht="14.4" customHeight="1">
      <c r="B65" s="108">
        <v>482</v>
      </c>
      <c r="C65" s="117" t="s">
        <v>929</v>
      </c>
      <c r="D65" s="68" t="str">
        <f t="shared" si="0"/>
        <v xml:space="preserve"> 641</v>
      </c>
      <c r="E65" s="117" t="s">
        <v>929</v>
      </c>
      <c r="F65" s="68">
        <f t="shared" si="19"/>
        <v>0</v>
      </c>
      <c r="G65" s="109" t="s">
        <v>789</v>
      </c>
      <c r="H65" s="109" t="s">
        <v>854</v>
      </c>
      <c r="I65" s="109" t="s">
        <v>914</v>
      </c>
      <c r="J65" s="71">
        <f t="shared" ref="J65:J71" si="23">M65</f>
        <v>69000</v>
      </c>
      <c r="K65" s="120">
        <f t="shared" si="16"/>
        <v>0</v>
      </c>
      <c r="L65" s="118" t="s">
        <v>847</v>
      </c>
      <c r="M65" s="119">
        <v>69000</v>
      </c>
      <c r="N65" s="75">
        <f>2000+200+250+600+1000+3600+450</f>
        <v>8100</v>
      </c>
      <c r="O65" s="74">
        <f t="shared" si="22"/>
        <v>77100</v>
      </c>
      <c r="P65" s="110"/>
      <c r="Q65" s="117" t="s">
        <v>915</v>
      </c>
      <c r="R65" s="111"/>
      <c r="S65" s="112">
        <f t="shared" si="4"/>
        <v>77100</v>
      </c>
      <c r="T65" s="112">
        <f t="shared" si="5"/>
        <v>110142.85714285714</v>
      </c>
      <c r="U65" s="113">
        <f t="shared" si="6"/>
        <v>125877.55102040817</v>
      </c>
      <c r="V65" s="114">
        <f t="shared" si="7"/>
        <v>0.125</v>
      </c>
      <c r="W65" s="113">
        <f t="shared" si="8"/>
        <v>125900</v>
      </c>
      <c r="X65" s="115">
        <f t="shared" si="9"/>
        <v>0.3</v>
      </c>
      <c r="Y65" s="85"/>
      <c r="Z65" s="86"/>
      <c r="AA65" s="87"/>
    </row>
    <row r="66" spans="2:27" s="116" customFormat="1" ht="14.4" customHeight="1">
      <c r="B66" s="117">
        <v>483</v>
      </c>
      <c r="C66" s="117" t="s">
        <v>930</v>
      </c>
      <c r="D66" s="68" t="str">
        <f t="shared" si="0"/>
        <v xml:space="preserve"> 100</v>
      </c>
      <c r="E66" s="117" t="s">
        <v>930</v>
      </c>
      <c r="F66" s="68">
        <f t="shared" si="19"/>
        <v>0</v>
      </c>
      <c r="G66" s="109" t="s">
        <v>789</v>
      </c>
      <c r="H66" s="109" t="s">
        <v>854</v>
      </c>
      <c r="I66" s="109" t="s">
        <v>914</v>
      </c>
      <c r="J66" s="71">
        <f t="shared" si="23"/>
        <v>0</v>
      </c>
      <c r="K66" s="120">
        <f t="shared" si="16"/>
        <v>0</v>
      </c>
      <c r="L66" s="118" t="s">
        <v>847</v>
      </c>
      <c r="M66" s="119">
        <v>0</v>
      </c>
      <c r="N66" s="75">
        <f>2000+200+250+600+1000+3600+450</f>
        <v>8100</v>
      </c>
      <c r="O66" s="74">
        <f t="shared" si="22"/>
        <v>8100</v>
      </c>
      <c r="P66" s="110"/>
      <c r="Q66" s="117"/>
      <c r="R66" s="111"/>
      <c r="S66" s="112">
        <f t="shared" si="4"/>
        <v>8100</v>
      </c>
      <c r="T66" s="112">
        <f t="shared" si="5"/>
        <v>11571.428571428572</v>
      </c>
      <c r="U66" s="113">
        <f t="shared" si="6"/>
        <v>13224.489795918369</v>
      </c>
      <c r="V66" s="114">
        <f t="shared" si="7"/>
        <v>0.12500000000000003</v>
      </c>
      <c r="W66" s="113">
        <f t="shared" si="8"/>
        <v>13300</v>
      </c>
      <c r="X66" s="115">
        <f t="shared" si="9"/>
        <v>0.30000000000000004</v>
      </c>
      <c r="Y66" s="85"/>
      <c r="Z66" s="86"/>
      <c r="AA66" s="87"/>
    </row>
    <row r="67" spans="2:27" s="116" customFormat="1" ht="14.4" customHeight="1">
      <c r="B67" s="108">
        <v>484</v>
      </c>
      <c r="C67" s="117" t="s">
        <v>931</v>
      </c>
      <c r="D67" s="68" t="str">
        <f t="shared" si="0"/>
        <v xml:space="preserve"> 539</v>
      </c>
      <c r="E67" s="117" t="s">
        <v>931</v>
      </c>
      <c r="F67" s="68">
        <f t="shared" si="19"/>
        <v>0</v>
      </c>
      <c r="G67" s="109" t="s">
        <v>789</v>
      </c>
      <c r="H67" s="109" t="s">
        <v>854</v>
      </c>
      <c r="I67" s="109" t="s">
        <v>914</v>
      </c>
      <c r="J67" s="71">
        <f t="shared" si="23"/>
        <v>69000</v>
      </c>
      <c r="K67" s="120">
        <f t="shared" si="16"/>
        <v>0</v>
      </c>
      <c r="L67" s="118" t="s">
        <v>847</v>
      </c>
      <c r="M67" s="119">
        <v>69000</v>
      </c>
      <c r="N67" s="75">
        <f>2000+200+250+600+1000+3600+450</f>
        <v>8100</v>
      </c>
      <c r="O67" s="74">
        <f t="shared" si="22"/>
        <v>77100</v>
      </c>
      <c r="P67" s="110"/>
      <c r="Q67" s="117" t="s">
        <v>915</v>
      </c>
      <c r="R67" s="111"/>
      <c r="S67" s="112">
        <f t="shared" si="4"/>
        <v>77100</v>
      </c>
      <c r="T67" s="112">
        <f t="shared" si="5"/>
        <v>110142.85714285714</v>
      </c>
      <c r="U67" s="113">
        <f t="shared" si="6"/>
        <v>125877.55102040817</v>
      </c>
      <c r="V67" s="114">
        <f t="shared" si="7"/>
        <v>0.125</v>
      </c>
      <c r="W67" s="113">
        <f t="shared" si="8"/>
        <v>125900</v>
      </c>
      <c r="X67" s="115">
        <f t="shared" si="9"/>
        <v>0.3</v>
      </c>
      <c r="Y67" s="85"/>
      <c r="Z67" s="86"/>
      <c r="AA67" s="87"/>
    </row>
    <row r="68" spans="2:27" s="116" customFormat="1" ht="14.4" customHeight="1">
      <c r="B68" s="117">
        <v>485</v>
      </c>
      <c r="C68" s="117" t="s">
        <v>932</v>
      </c>
      <c r="D68" s="68" t="str">
        <f t="shared" ref="D68:D96" si="24">REPLACE(C68,1,3, )</f>
        <v xml:space="preserve"> 415</v>
      </c>
      <c r="E68" s="117" t="s">
        <v>932</v>
      </c>
      <c r="F68" s="68">
        <f t="shared" si="19"/>
        <v>0</v>
      </c>
      <c r="G68" s="109" t="s">
        <v>789</v>
      </c>
      <c r="H68" s="109" t="s">
        <v>854</v>
      </c>
      <c r="I68" s="109" t="s">
        <v>914</v>
      </c>
      <c r="J68" s="71">
        <f t="shared" si="23"/>
        <v>69000</v>
      </c>
      <c r="K68" s="120">
        <f t="shared" si="16"/>
        <v>0</v>
      </c>
      <c r="L68" s="118" t="s">
        <v>847</v>
      </c>
      <c r="M68" s="119">
        <v>69000</v>
      </c>
      <c r="N68" s="75">
        <f>2000+200+250+600+1000+3600+450</f>
        <v>8100</v>
      </c>
      <c r="O68" s="74">
        <f t="shared" si="22"/>
        <v>77100</v>
      </c>
      <c r="P68" s="110"/>
      <c r="Q68" s="117" t="s">
        <v>915</v>
      </c>
      <c r="R68" s="111"/>
      <c r="S68" s="112">
        <f t="shared" ref="S68:S96" si="25">R68+O68</f>
        <v>77100</v>
      </c>
      <c r="T68" s="112">
        <f t="shared" ref="T68:T96" si="26">S68/0.7</f>
        <v>110142.85714285714</v>
      </c>
      <c r="U68" s="113">
        <f t="shared" ref="U68:U96" si="27">T68/0.875</f>
        <v>125877.55102040817</v>
      </c>
      <c r="V68" s="114">
        <f t="shared" ref="V68:V96" si="28">(U68-T68)/U68</f>
        <v>0.125</v>
      </c>
      <c r="W68" s="113">
        <f t="shared" ref="W68:W96" si="29">(ROUNDUP((U68/100),0))*100</f>
        <v>125900</v>
      </c>
      <c r="X68" s="115">
        <f t="shared" ref="X68:X96" si="30">(T68-O68)/T68</f>
        <v>0.3</v>
      </c>
      <c r="Y68" s="85"/>
      <c r="Z68" s="86"/>
      <c r="AA68" s="87"/>
    </row>
    <row r="69" spans="2:27" s="116" customFormat="1" ht="14.4" customHeight="1">
      <c r="B69" s="149">
        <v>486</v>
      </c>
      <c r="C69" s="117" t="s">
        <v>933</v>
      </c>
      <c r="D69" s="68" t="str">
        <f t="shared" si="24"/>
        <v xml:space="preserve"> 537</v>
      </c>
      <c r="E69" s="117" t="s">
        <v>933</v>
      </c>
      <c r="F69" s="68">
        <f t="shared" si="19"/>
        <v>0</v>
      </c>
      <c r="G69" s="109" t="s">
        <v>790</v>
      </c>
      <c r="H69" s="109" t="s">
        <v>902</v>
      </c>
      <c r="I69" s="109" t="s">
        <v>903</v>
      </c>
      <c r="J69" s="71">
        <f t="shared" si="23"/>
        <v>71750</v>
      </c>
      <c r="K69" s="120">
        <f t="shared" si="16"/>
        <v>0</v>
      </c>
      <c r="L69" s="118" t="s">
        <v>847</v>
      </c>
      <c r="M69" s="119">
        <v>71750</v>
      </c>
      <c r="N69" s="75">
        <f>2000+600+200+250+3600+450</f>
        <v>7100</v>
      </c>
      <c r="O69" s="74">
        <f t="shared" si="22"/>
        <v>78850</v>
      </c>
      <c r="P69" s="134"/>
      <c r="Q69" s="117" t="s">
        <v>988</v>
      </c>
      <c r="R69" s="111"/>
      <c r="S69" s="112">
        <f t="shared" si="25"/>
        <v>78850</v>
      </c>
      <c r="T69" s="112">
        <f t="shared" si="26"/>
        <v>112642.85714285714</v>
      </c>
      <c r="U69" s="113">
        <f t="shared" si="27"/>
        <v>128734.69387755102</v>
      </c>
      <c r="V69" s="114">
        <f t="shared" si="28"/>
        <v>0.12499999999999999</v>
      </c>
      <c r="W69" s="113">
        <f t="shared" si="29"/>
        <v>128800</v>
      </c>
      <c r="X69" s="115">
        <f t="shared" si="30"/>
        <v>0.3</v>
      </c>
      <c r="Y69" s="85">
        <v>104650</v>
      </c>
      <c r="Z69" s="86">
        <f>T69-Y69</f>
        <v>7992.8571428571449</v>
      </c>
      <c r="AA69" s="87">
        <f>Z69/Y69</f>
        <v>7.6377039109958383E-2</v>
      </c>
    </row>
    <row r="70" spans="2:27" s="116" customFormat="1" ht="14.4" customHeight="1">
      <c r="B70" s="150">
        <v>487</v>
      </c>
      <c r="C70" s="117" t="s">
        <v>934</v>
      </c>
      <c r="D70" s="68" t="str">
        <f t="shared" si="24"/>
        <v xml:space="preserve"> 535</v>
      </c>
      <c r="E70" s="117" t="s">
        <v>934</v>
      </c>
      <c r="F70" s="68">
        <f t="shared" si="19"/>
        <v>0</v>
      </c>
      <c r="G70" s="109" t="s">
        <v>789</v>
      </c>
      <c r="H70" s="109" t="s">
        <v>815</v>
      </c>
      <c r="I70" s="109" t="s">
        <v>903</v>
      </c>
      <c r="J70" s="71">
        <f t="shared" si="23"/>
        <v>35000</v>
      </c>
      <c r="K70" s="120">
        <f t="shared" si="16"/>
        <v>0</v>
      </c>
      <c r="L70" s="118" t="s">
        <v>847</v>
      </c>
      <c r="M70" s="119">
        <v>35000</v>
      </c>
      <c r="N70" s="75">
        <f>2000+600+200+250+650+2500</f>
        <v>6200</v>
      </c>
      <c r="O70" s="74">
        <f t="shared" si="22"/>
        <v>41200</v>
      </c>
      <c r="P70" s="134"/>
      <c r="Q70" s="117" t="s">
        <v>935</v>
      </c>
      <c r="R70" s="111"/>
      <c r="S70" s="112">
        <f t="shared" si="25"/>
        <v>41200</v>
      </c>
      <c r="T70" s="112">
        <f t="shared" si="26"/>
        <v>58857.142857142862</v>
      </c>
      <c r="U70" s="113">
        <f t="shared" si="27"/>
        <v>67265.306122448979</v>
      </c>
      <c r="V70" s="114">
        <f t="shared" si="28"/>
        <v>0.12499999999999992</v>
      </c>
      <c r="W70" s="113">
        <f t="shared" si="29"/>
        <v>67300</v>
      </c>
      <c r="X70" s="115">
        <f t="shared" si="30"/>
        <v>0.30000000000000004</v>
      </c>
      <c r="Y70" s="85"/>
      <c r="Z70" s="86"/>
      <c r="AA70" s="87"/>
    </row>
    <row r="71" spans="2:27" s="116" customFormat="1" ht="14.4" customHeight="1">
      <c r="B71" s="149">
        <v>488</v>
      </c>
      <c r="C71" s="117" t="s">
        <v>936</v>
      </c>
      <c r="D71" s="68" t="str">
        <f t="shared" si="24"/>
        <v xml:space="preserve"> 817</v>
      </c>
      <c r="E71" s="117" t="s">
        <v>936</v>
      </c>
      <c r="F71" s="68">
        <f t="shared" si="19"/>
        <v>0</v>
      </c>
      <c r="G71" s="109" t="s">
        <v>789</v>
      </c>
      <c r="H71" s="109" t="s">
        <v>815</v>
      </c>
      <c r="I71" s="109" t="s">
        <v>903</v>
      </c>
      <c r="J71" s="71">
        <f t="shared" si="23"/>
        <v>60200</v>
      </c>
      <c r="K71" s="120">
        <f t="shared" si="16"/>
        <v>0</v>
      </c>
      <c r="L71" s="118" t="s">
        <v>847</v>
      </c>
      <c r="M71" s="119">
        <v>60200</v>
      </c>
      <c r="N71" s="75">
        <f>2000+600+400+250+650+3000+450</f>
        <v>7350</v>
      </c>
      <c r="O71" s="74">
        <f t="shared" si="22"/>
        <v>67550</v>
      </c>
      <c r="P71" s="134"/>
      <c r="Q71" s="117" t="s">
        <v>937</v>
      </c>
      <c r="R71" s="111"/>
      <c r="S71" s="112">
        <f t="shared" si="25"/>
        <v>67550</v>
      </c>
      <c r="T71" s="112">
        <f t="shared" si="26"/>
        <v>96500</v>
      </c>
      <c r="U71" s="113">
        <f t="shared" si="27"/>
        <v>110285.71428571429</v>
      </c>
      <c r="V71" s="114">
        <f t="shared" si="28"/>
        <v>0.12500000000000003</v>
      </c>
      <c r="W71" s="113">
        <f t="shared" si="29"/>
        <v>110300</v>
      </c>
      <c r="X71" s="115">
        <f t="shared" si="30"/>
        <v>0.3</v>
      </c>
      <c r="Y71" s="85"/>
      <c r="Z71" s="86"/>
      <c r="AA71" s="87"/>
    </row>
    <row r="72" spans="2:27" s="116" customFormat="1" ht="14.4" customHeight="1">
      <c r="B72" s="117">
        <v>489</v>
      </c>
      <c r="C72" s="117" t="s">
        <v>938</v>
      </c>
      <c r="D72" s="68" t="str">
        <f t="shared" si="24"/>
        <v xml:space="preserve"> 748</v>
      </c>
      <c r="E72" s="117" t="s">
        <v>938</v>
      </c>
      <c r="F72" s="68">
        <f t="shared" si="19"/>
        <v>0</v>
      </c>
      <c r="G72" s="109" t="s">
        <v>789</v>
      </c>
      <c r="H72" s="109" t="s">
        <v>939</v>
      </c>
      <c r="I72" s="109" t="s">
        <v>940</v>
      </c>
      <c r="J72" s="71"/>
      <c r="K72" s="72">
        <f t="shared" si="16"/>
        <v>0</v>
      </c>
      <c r="L72" s="68" t="s">
        <v>791</v>
      </c>
      <c r="M72" s="73">
        <f>J72-N72</f>
        <v>0</v>
      </c>
      <c r="N72" s="73"/>
      <c r="O72" s="74">
        <f t="shared" si="22"/>
        <v>0</v>
      </c>
      <c r="P72" s="110"/>
      <c r="Q72" s="117"/>
      <c r="R72" s="111"/>
      <c r="S72" s="112">
        <f t="shared" si="25"/>
        <v>0</v>
      </c>
      <c r="T72" s="112">
        <f t="shared" si="26"/>
        <v>0</v>
      </c>
      <c r="U72" s="113">
        <f t="shared" si="27"/>
        <v>0</v>
      </c>
      <c r="V72" s="114" t="e">
        <f t="shared" si="28"/>
        <v>#DIV/0!</v>
      </c>
      <c r="W72" s="113">
        <f t="shared" si="29"/>
        <v>0</v>
      </c>
      <c r="X72" s="115" t="e">
        <f t="shared" si="30"/>
        <v>#DIV/0!</v>
      </c>
      <c r="Y72" s="85"/>
      <c r="Z72" s="86"/>
      <c r="AA72" s="87"/>
    </row>
    <row r="73" spans="2:27" s="116" customFormat="1" ht="14.4" customHeight="1">
      <c r="B73" s="108">
        <v>490</v>
      </c>
      <c r="C73" s="117" t="s">
        <v>941</v>
      </c>
      <c r="D73" s="68" t="str">
        <f t="shared" si="24"/>
        <v xml:space="preserve"> 398</v>
      </c>
      <c r="E73" s="117" t="s">
        <v>941</v>
      </c>
      <c r="F73" s="68">
        <f t="shared" si="19"/>
        <v>0</v>
      </c>
      <c r="G73" s="109" t="s">
        <v>789</v>
      </c>
      <c r="H73" s="109" t="s">
        <v>815</v>
      </c>
      <c r="I73" s="109" t="s">
        <v>859</v>
      </c>
      <c r="J73" s="71">
        <f>M73</f>
        <v>65000</v>
      </c>
      <c r="K73" s="120">
        <f t="shared" si="16"/>
        <v>0</v>
      </c>
      <c r="L73" s="118" t="s">
        <v>847</v>
      </c>
      <c r="M73" s="121">
        <v>65000</v>
      </c>
      <c r="N73" s="73">
        <f>2000+250+250+600+1000+3600</f>
        <v>7700</v>
      </c>
      <c r="O73" s="74">
        <f t="shared" si="22"/>
        <v>72700</v>
      </c>
      <c r="P73" s="122"/>
      <c r="Q73" s="117"/>
      <c r="R73" s="111"/>
      <c r="S73" s="112">
        <f t="shared" si="25"/>
        <v>72700</v>
      </c>
      <c r="T73" s="112">
        <f t="shared" si="26"/>
        <v>103857.14285714287</v>
      </c>
      <c r="U73" s="113">
        <f t="shared" si="27"/>
        <v>118693.87755102043</v>
      </c>
      <c r="V73" s="114">
        <f t="shared" si="28"/>
        <v>0.12500000000000006</v>
      </c>
      <c r="W73" s="113">
        <f t="shared" si="29"/>
        <v>118700</v>
      </c>
      <c r="X73" s="115">
        <f t="shared" si="30"/>
        <v>0.3000000000000001</v>
      </c>
      <c r="Y73" s="85"/>
      <c r="Z73" s="86"/>
      <c r="AA73" s="87"/>
    </row>
    <row r="74" spans="2:27" s="116" customFormat="1" ht="14.4" customHeight="1">
      <c r="B74" s="117">
        <v>491</v>
      </c>
      <c r="C74" s="117" t="s">
        <v>942</v>
      </c>
      <c r="D74" s="68" t="str">
        <f t="shared" si="24"/>
        <v xml:space="preserve"> 893</v>
      </c>
      <c r="E74" s="117" t="s">
        <v>942</v>
      </c>
      <c r="F74" s="68">
        <f t="shared" si="19"/>
        <v>0</v>
      </c>
      <c r="G74" s="109" t="s">
        <v>790</v>
      </c>
      <c r="H74" s="109" t="s">
        <v>939</v>
      </c>
      <c r="I74" s="63" t="s">
        <v>943</v>
      </c>
      <c r="J74" s="137">
        <v>27000</v>
      </c>
      <c r="K74" s="133">
        <f t="shared" si="16"/>
        <v>0</v>
      </c>
      <c r="L74" s="138" t="s">
        <v>847</v>
      </c>
      <c r="M74" s="139">
        <f>J74</f>
        <v>27000</v>
      </c>
      <c r="N74" s="140">
        <f>2000+2850+800+200+250+800</f>
        <v>6900</v>
      </c>
      <c r="O74" s="133">
        <f t="shared" si="22"/>
        <v>33900</v>
      </c>
      <c r="P74" s="130"/>
      <c r="Q74" s="64" t="s">
        <v>944</v>
      </c>
      <c r="R74" s="111"/>
      <c r="S74" s="112">
        <f t="shared" si="25"/>
        <v>33900</v>
      </c>
      <c r="T74" s="112">
        <f t="shared" si="26"/>
        <v>48428.571428571435</v>
      </c>
      <c r="U74" s="113">
        <f t="shared" si="27"/>
        <v>55346.938775510214</v>
      </c>
      <c r="V74" s="114">
        <f t="shared" si="28"/>
        <v>0.12500000000000006</v>
      </c>
      <c r="W74" s="113">
        <f t="shared" si="29"/>
        <v>55400</v>
      </c>
      <c r="X74" s="115">
        <f t="shared" si="30"/>
        <v>0.3000000000000001</v>
      </c>
      <c r="Y74" s="85">
        <v>57750</v>
      </c>
      <c r="Z74" s="86">
        <f>T74-Y74</f>
        <v>-9321.4285714285652</v>
      </c>
      <c r="AA74" s="87">
        <f>Z74/Y74</f>
        <v>-0.16141001855287559</v>
      </c>
    </row>
    <row r="75" spans="2:27" s="116" customFormat="1" ht="14.4" customHeight="1">
      <c r="B75" s="108">
        <v>492</v>
      </c>
      <c r="C75" s="117" t="s">
        <v>945</v>
      </c>
      <c r="D75" s="68" t="str">
        <f t="shared" si="24"/>
        <v xml:space="preserve"> 579</v>
      </c>
      <c r="E75" s="117" t="s">
        <v>945</v>
      </c>
      <c r="F75" s="68">
        <f t="shared" si="19"/>
        <v>0</v>
      </c>
      <c r="G75" s="109" t="s">
        <v>789</v>
      </c>
      <c r="H75" s="109" t="s">
        <v>815</v>
      </c>
      <c r="I75" s="109" t="s">
        <v>822</v>
      </c>
      <c r="J75" s="71"/>
      <c r="K75" s="72">
        <f t="shared" si="16"/>
        <v>0</v>
      </c>
      <c r="L75" s="68" t="s">
        <v>791</v>
      </c>
      <c r="M75" s="73">
        <f>J75-N75</f>
        <v>0</v>
      </c>
      <c r="N75" s="73"/>
      <c r="O75" s="74">
        <f t="shared" si="22"/>
        <v>0</v>
      </c>
      <c r="P75" s="110"/>
      <c r="Q75" s="117"/>
      <c r="R75" s="111"/>
      <c r="S75" s="112">
        <f t="shared" si="25"/>
        <v>0</v>
      </c>
      <c r="T75" s="112">
        <f t="shared" si="26"/>
        <v>0</v>
      </c>
      <c r="U75" s="113">
        <f t="shared" si="27"/>
        <v>0</v>
      </c>
      <c r="V75" s="114" t="e">
        <f t="shared" si="28"/>
        <v>#DIV/0!</v>
      </c>
      <c r="W75" s="113">
        <f t="shared" si="29"/>
        <v>0</v>
      </c>
      <c r="X75" s="115" t="e">
        <f t="shared" si="30"/>
        <v>#DIV/0!</v>
      </c>
      <c r="Y75" s="85"/>
      <c r="Z75" s="86"/>
      <c r="AA75" s="87"/>
    </row>
    <row r="76" spans="2:27" s="116" customFormat="1" ht="14.4" customHeight="1">
      <c r="B76" s="150">
        <v>493</v>
      </c>
      <c r="C76" s="117" t="s">
        <v>946</v>
      </c>
      <c r="D76" s="68" t="str">
        <f t="shared" si="24"/>
        <v xml:space="preserve"> 753</v>
      </c>
      <c r="E76" s="117" t="s">
        <v>946</v>
      </c>
      <c r="F76" s="68">
        <f t="shared" si="19"/>
        <v>0</v>
      </c>
      <c r="G76" s="109" t="s">
        <v>789</v>
      </c>
      <c r="H76" s="109" t="s">
        <v>947</v>
      </c>
      <c r="I76" s="109" t="s">
        <v>903</v>
      </c>
      <c r="J76" s="71">
        <f>M76</f>
        <v>74250</v>
      </c>
      <c r="K76" s="120">
        <f t="shared" si="16"/>
        <v>0</v>
      </c>
      <c r="L76" s="118" t="s">
        <v>847</v>
      </c>
      <c r="M76" s="119">
        <v>74250</v>
      </c>
      <c r="N76" s="75">
        <f>2000+600+200+250+1000+3600</f>
        <v>7650</v>
      </c>
      <c r="O76" s="74">
        <f t="shared" si="22"/>
        <v>81900</v>
      </c>
      <c r="P76" s="134"/>
      <c r="Q76" s="117" t="s">
        <v>948</v>
      </c>
      <c r="R76" s="111"/>
      <c r="S76" s="112">
        <f t="shared" si="25"/>
        <v>81900</v>
      </c>
      <c r="T76" s="112">
        <f t="shared" si="26"/>
        <v>117000.00000000001</v>
      </c>
      <c r="U76" s="113">
        <f t="shared" si="27"/>
        <v>133714.28571428574</v>
      </c>
      <c r="V76" s="114">
        <f t="shared" si="28"/>
        <v>0.12500000000000006</v>
      </c>
      <c r="W76" s="113">
        <f t="shared" si="29"/>
        <v>133800</v>
      </c>
      <c r="X76" s="115">
        <f t="shared" si="30"/>
        <v>0.3000000000000001</v>
      </c>
      <c r="Y76" s="85"/>
      <c r="Z76" s="86"/>
      <c r="AA76" s="87"/>
    </row>
    <row r="77" spans="2:27" s="116" customFormat="1" ht="14.4" customHeight="1">
      <c r="B77" s="149">
        <v>494</v>
      </c>
      <c r="C77" s="117" t="s">
        <v>949</v>
      </c>
      <c r="D77" s="68" t="str">
        <f t="shared" si="24"/>
        <v xml:space="preserve"> 053</v>
      </c>
      <c r="E77" s="117" t="s">
        <v>949</v>
      </c>
      <c r="F77" s="68">
        <f t="shared" si="19"/>
        <v>0</v>
      </c>
      <c r="G77" s="109" t="s">
        <v>790</v>
      </c>
      <c r="H77" s="109" t="s">
        <v>950</v>
      </c>
      <c r="I77" s="109" t="s">
        <v>903</v>
      </c>
      <c r="J77" s="71">
        <f>M77</f>
        <v>74250</v>
      </c>
      <c r="K77" s="120">
        <f t="shared" si="16"/>
        <v>0</v>
      </c>
      <c r="L77" s="118" t="s">
        <v>847</v>
      </c>
      <c r="M77" s="119">
        <v>74250</v>
      </c>
      <c r="N77" s="75">
        <f>2000+600+200+250+3600</f>
        <v>6650</v>
      </c>
      <c r="O77" s="74">
        <f t="shared" si="22"/>
        <v>80900</v>
      </c>
      <c r="P77" s="134"/>
      <c r="Q77" s="117" t="s">
        <v>991</v>
      </c>
      <c r="R77" s="111"/>
      <c r="S77" s="112">
        <f t="shared" si="25"/>
        <v>80900</v>
      </c>
      <c r="T77" s="112">
        <f t="shared" si="26"/>
        <v>115571.42857142858</v>
      </c>
      <c r="U77" s="113">
        <f t="shared" si="27"/>
        <v>132081.63265306124</v>
      </c>
      <c r="V77" s="114">
        <f t="shared" si="28"/>
        <v>0.12500000000000006</v>
      </c>
      <c r="W77" s="113">
        <f t="shared" si="29"/>
        <v>132100</v>
      </c>
      <c r="X77" s="115">
        <f t="shared" si="30"/>
        <v>0.30000000000000004</v>
      </c>
      <c r="Y77" s="85">
        <v>107450</v>
      </c>
      <c r="Z77" s="86">
        <f>T77-Y77</f>
        <v>8121.4285714285797</v>
      </c>
      <c r="AA77" s="87">
        <f>Z77/Y77</f>
        <v>7.5583327793658256E-2</v>
      </c>
    </row>
    <row r="78" spans="2:27" s="116" customFormat="1" ht="14.4" customHeight="1">
      <c r="B78" s="117">
        <v>495</v>
      </c>
      <c r="C78" s="117" t="s">
        <v>951</v>
      </c>
      <c r="D78" s="68" t="str">
        <f t="shared" si="24"/>
        <v xml:space="preserve"> 308</v>
      </c>
      <c r="E78" s="117" t="s">
        <v>951</v>
      </c>
      <c r="F78" s="68">
        <f t="shared" si="19"/>
        <v>0</v>
      </c>
      <c r="G78" s="109" t="s">
        <v>790</v>
      </c>
      <c r="H78" s="109" t="s">
        <v>902</v>
      </c>
      <c r="I78" s="63" t="s">
        <v>943</v>
      </c>
      <c r="J78" s="124">
        <v>97100</v>
      </c>
      <c r="K78" s="125">
        <f t="shared" si="16"/>
        <v>0</v>
      </c>
      <c r="L78" s="138" t="s">
        <v>847</v>
      </c>
      <c r="M78" s="139">
        <f>J78</f>
        <v>97100</v>
      </c>
      <c r="N78" s="140">
        <f>2000+800+200+250</f>
        <v>3250</v>
      </c>
      <c r="O78" s="133">
        <f>N78+M78</f>
        <v>100350</v>
      </c>
      <c r="P78" s="130"/>
      <c r="Q78" s="63" t="s">
        <v>952</v>
      </c>
      <c r="R78" s="111"/>
      <c r="S78" s="112">
        <f t="shared" si="25"/>
        <v>100350</v>
      </c>
      <c r="T78" s="112">
        <f t="shared" si="26"/>
        <v>143357.14285714287</v>
      </c>
      <c r="U78" s="113">
        <f t="shared" si="27"/>
        <v>163836.73469387757</v>
      </c>
      <c r="V78" s="114">
        <f t="shared" si="28"/>
        <v>0.12500000000000006</v>
      </c>
      <c r="W78" s="113">
        <f t="shared" si="29"/>
        <v>163900</v>
      </c>
      <c r="X78" s="115">
        <f t="shared" si="30"/>
        <v>0.30000000000000004</v>
      </c>
      <c r="Y78" s="85">
        <v>150500</v>
      </c>
      <c r="Z78" s="86">
        <f>T78-Y78</f>
        <v>-7142.8571428571304</v>
      </c>
      <c r="AA78" s="87">
        <f>Z78/Y78</f>
        <v>-4.7460844803037409E-2</v>
      </c>
    </row>
    <row r="79" spans="2:27" s="116" customFormat="1" ht="14.4" customHeight="1">
      <c r="B79" s="108">
        <v>496</v>
      </c>
      <c r="C79" s="117" t="s">
        <v>953</v>
      </c>
      <c r="D79" s="68" t="str">
        <f t="shared" si="24"/>
        <v xml:space="preserve"> 567</v>
      </c>
      <c r="E79" s="117" t="s">
        <v>953</v>
      </c>
      <c r="F79" s="68">
        <f t="shared" si="19"/>
        <v>0</v>
      </c>
      <c r="G79" s="109" t="s">
        <v>790</v>
      </c>
      <c r="H79" s="109" t="s">
        <v>954</v>
      </c>
      <c r="I79" s="109" t="s">
        <v>321</v>
      </c>
      <c r="J79" s="71">
        <v>30000</v>
      </c>
      <c r="K79" s="72">
        <f t="shared" si="16"/>
        <v>4450</v>
      </c>
      <c r="L79" s="68" t="s">
        <v>791</v>
      </c>
      <c r="M79" s="73">
        <f>J79-N79</f>
        <v>25550</v>
      </c>
      <c r="N79" s="73">
        <f>2000+200+600+1650</f>
        <v>4450</v>
      </c>
      <c r="O79" s="74">
        <f>M79+N79</f>
        <v>30000</v>
      </c>
      <c r="P79" s="110"/>
      <c r="Q79" s="117" t="s">
        <v>955</v>
      </c>
      <c r="R79" s="111"/>
      <c r="S79" s="112">
        <f t="shared" si="25"/>
        <v>30000</v>
      </c>
      <c r="T79" s="112">
        <f t="shared" si="26"/>
        <v>42857.142857142862</v>
      </c>
      <c r="U79" s="113">
        <f t="shared" si="27"/>
        <v>48979.591836734697</v>
      </c>
      <c r="V79" s="114">
        <f t="shared" si="28"/>
        <v>0.12499999999999994</v>
      </c>
      <c r="W79" s="113">
        <f t="shared" si="29"/>
        <v>49000</v>
      </c>
      <c r="X79" s="115">
        <f t="shared" si="30"/>
        <v>0.3000000000000001</v>
      </c>
      <c r="Y79" s="85">
        <v>44638</v>
      </c>
      <c r="Z79" s="86">
        <f>T79-Y79</f>
        <v>-1780.8571428571377</v>
      </c>
      <c r="AA79" s="87">
        <f>Z79/Y79</f>
        <v>-3.9895540634820953E-2</v>
      </c>
    </row>
    <row r="80" spans="2:27" s="116" customFormat="1" ht="14.4" customHeight="1">
      <c r="B80" s="117">
        <v>497</v>
      </c>
      <c r="C80" s="117" t="s">
        <v>956</v>
      </c>
      <c r="D80" s="68" t="str">
        <f t="shared" si="24"/>
        <v xml:space="preserve"> 160</v>
      </c>
      <c r="E80" s="117" t="s">
        <v>956</v>
      </c>
      <c r="F80" s="68">
        <f t="shared" si="19"/>
        <v>0</v>
      </c>
      <c r="G80" s="109" t="s">
        <v>790</v>
      </c>
      <c r="H80" s="109" t="s">
        <v>954</v>
      </c>
      <c r="I80" s="109" t="s">
        <v>889</v>
      </c>
      <c r="J80" s="131">
        <v>25000</v>
      </c>
      <c r="K80" s="125">
        <f t="shared" si="16"/>
        <v>0</v>
      </c>
      <c r="L80" s="126" t="s">
        <v>881</v>
      </c>
      <c r="M80" s="132">
        <f>J80</f>
        <v>25000</v>
      </c>
      <c r="N80" s="128">
        <f>2000+1600+800+200</f>
        <v>4600</v>
      </c>
      <c r="O80" s="133">
        <f>N80+M80</f>
        <v>29600</v>
      </c>
      <c r="P80" s="130"/>
      <c r="Q80" s="63" t="s">
        <v>957</v>
      </c>
      <c r="R80" s="111"/>
      <c r="S80" s="112">
        <f t="shared" si="25"/>
        <v>29600</v>
      </c>
      <c r="T80" s="112">
        <f t="shared" si="26"/>
        <v>42285.71428571429</v>
      </c>
      <c r="U80" s="113">
        <f t="shared" si="27"/>
        <v>48326.530612244904</v>
      </c>
      <c r="V80" s="114">
        <f t="shared" si="28"/>
        <v>0.12500000000000003</v>
      </c>
      <c r="W80" s="113">
        <f t="shared" si="29"/>
        <v>48400</v>
      </c>
      <c r="X80" s="115">
        <f t="shared" si="30"/>
        <v>0.30000000000000004</v>
      </c>
      <c r="Y80" s="85">
        <v>50925</v>
      </c>
      <c r="Z80" s="86">
        <f>T80-Y80</f>
        <v>-8639.2857142857101</v>
      </c>
      <c r="AA80" s="87">
        <f>Z80/Y80</f>
        <v>-0.16964724033943465</v>
      </c>
    </row>
    <row r="81" spans="2:27" s="116" customFormat="1" ht="14.4" customHeight="1">
      <c r="B81" s="108">
        <v>498</v>
      </c>
      <c r="C81" s="117" t="s">
        <v>958</v>
      </c>
      <c r="D81" s="68" t="str">
        <f t="shared" si="24"/>
        <v xml:space="preserve"> 552</v>
      </c>
      <c r="E81" s="117" t="s">
        <v>958</v>
      </c>
      <c r="F81" s="68">
        <f t="shared" si="19"/>
        <v>0</v>
      </c>
      <c r="G81" s="109" t="s">
        <v>789</v>
      </c>
      <c r="H81" s="109" t="s">
        <v>954</v>
      </c>
      <c r="I81" s="109" t="s">
        <v>959</v>
      </c>
      <c r="J81" s="71">
        <v>29500</v>
      </c>
      <c r="K81" s="72">
        <f t="shared" si="16"/>
        <v>4450</v>
      </c>
      <c r="L81" s="68" t="s">
        <v>791</v>
      </c>
      <c r="M81" s="73">
        <f>J81-N81</f>
        <v>25050</v>
      </c>
      <c r="N81" s="73">
        <f>2000+200+600+1650</f>
        <v>4450</v>
      </c>
      <c r="O81" s="74">
        <f t="shared" ref="O81:O94" si="31">M81+N81</f>
        <v>29500</v>
      </c>
      <c r="P81" s="110"/>
      <c r="Q81" s="117" t="s">
        <v>993</v>
      </c>
      <c r="R81" s="111"/>
      <c r="S81" s="112">
        <f t="shared" si="25"/>
        <v>29500</v>
      </c>
      <c r="T81" s="112">
        <f t="shared" si="26"/>
        <v>42142.857142857145</v>
      </c>
      <c r="U81" s="113">
        <f t="shared" si="27"/>
        <v>48163.265306122448</v>
      </c>
      <c r="V81" s="114">
        <f t="shared" si="28"/>
        <v>0.12499999999999994</v>
      </c>
      <c r="W81" s="113">
        <f t="shared" si="29"/>
        <v>48200</v>
      </c>
      <c r="X81" s="115">
        <f t="shared" si="30"/>
        <v>0.30000000000000004</v>
      </c>
      <c r="Y81" s="85"/>
      <c r="Z81" s="86"/>
      <c r="AA81" s="87"/>
    </row>
    <row r="82" spans="2:27" s="116" customFormat="1" ht="14.4" customHeight="1">
      <c r="B82" s="117">
        <v>499</v>
      </c>
      <c r="C82" s="117" t="s">
        <v>960</v>
      </c>
      <c r="D82" s="68" t="str">
        <f t="shared" si="24"/>
        <v xml:space="preserve"> 456</v>
      </c>
      <c r="E82" s="117" t="s">
        <v>960</v>
      </c>
      <c r="F82" s="68">
        <f t="shared" si="19"/>
        <v>0</v>
      </c>
      <c r="G82" s="109" t="s">
        <v>790</v>
      </c>
      <c r="H82" s="109" t="s">
        <v>954</v>
      </c>
      <c r="I82" s="109" t="s">
        <v>961</v>
      </c>
      <c r="J82" s="124">
        <v>27500</v>
      </c>
      <c r="K82" s="125">
        <f t="shared" si="16"/>
        <v>4600</v>
      </c>
      <c r="L82" s="126" t="s">
        <v>962</v>
      </c>
      <c r="M82" s="128">
        <f>J82-N82</f>
        <v>22900</v>
      </c>
      <c r="N82" s="128">
        <f>2000+1600+800+200</f>
        <v>4600</v>
      </c>
      <c r="O82" s="129">
        <f t="shared" si="31"/>
        <v>27500</v>
      </c>
      <c r="P82" s="130"/>
      <c r="Q82" s="63" t="s">
        <v>957</v>
      </c>
      <c r="R82" s="111"/>
      <c r="S82" s="112">
        <f t="shared" si="25"/>
        <v>27500</v>
      </c>
      <c r="T82" s="112">
        <f t="shared" si="26"/>
        <v>39285.71428571429</v>
      </c>
      <c r="U82" s="113">
        <f t="shared" si="27"/>
        <v>44897.959183673476</v>
      </c>
      <c r="V82" s="114">
        <f t="shared" si="28"/>
        <v>0.12500000000000003</v>
      </c>
      <c r="W82" s="113">
        <f t="shared" si="29"/>
        <v>44900</v>
      </c>
      <c r="X82" s="115">
        <f t="shared" si="30"/>
        <v>0.3000000000000001</v>
      </c>
      <c r="Y82" s="85">
        <v>46463</v>
      </c>
      <c r="Z82" s="86">
        <f>T82-Y82</f>
        <v>-7177.2857142857101</v>
      </c>
      <c r="AA82" s="87">
        <f>Z82/Y82</f>
        <v>-0.15447314452974861</v>
      </c>
    </row>
    <row r="83" spans="2:27" s="116" customFormat="1" ht="14.4" customHeight="1">
      <c r="B83" s="108">
        <v>500</v>
      </c>
      <c r="C83" s="117" t="s">
        <v>963</v>
      </c>
      <c r="D83" s="68" t="str">
        <f t="shared" si="24"/>
        <v xml:space="preserve"> 746</v>
      </c>
      <c r="E83" s="117" t="s">
        <v>963</v>
      </c>
      <c r="F83" s="68">
        <f t="shared" si="19"/>
        <v>0</v>
      </c>
      <c r="G83" s="109" t="s">
        <v>790</v>
      </c>
      <c r="H83" s="109" t="s">
        <v>954</v>
      </c>
      <c r="I83" s="109" t="s">
        <v>889</v>
      </c>
      <c r="J83" s="131">
        <v>26000</v>
      </c>
      <c r="K83" s="125">
        <v>0</v>
      </c>
      <c r="L83" s="126" t="s">
        <v>881</v>
      </c>
      <c r="M83" s="132">
        <f>J83</f>
        <v>26000</v>
      </c>
      <c r="N83" s="128">
        <f>2000+1600+800+200</f>
        <v>4600</v>
      </c>
      <c r="O83" s="129">
        <f t="shared" si="31"/>
        <v>30600</v>
      </c>
      <c r="P83" s="130"/>
      <c r="Q83" s="63" t="s">
        <v>957</v>
      </c>
      <c r="R83" s="111"/>
      <c r="S83" s="112">
        <f t="shared" si="25"/>
        <v>30600</v>
      </c>
      <c r="T83" s="112">
        <f t="shared" si="26"/>
        <v>43714.285714285717</v>
      </c>
      <c r="U83" s="113">
        <f t="shared" si="27"/>
        <v>49959.183673469393</v>
      </c>
      <c r="V83" s="114">
        <f t="shared" si="28"/>
        <v>0.12500000000000003</v>
      </c>
      <c r="W83" s="113">
        <f t="shared" si="29"/>
        <v>50000</v>
      </c>
      <c r="X83" s="115">
        <f t="shared" si="30"/>
        <v>0.30000000000000004</v>
      </c>
      <c r="Y83" s="85">
        <v>52325</v>
      </c>
      <c r="Z83" s="86">
        <f>T83-Y83</f>
        <v>-8610.7142857142826</v>
      </c>
      <c r="AA83" s="87">
        <f>Z83/Y83</f>
        <v>-0.16456214592860549</v>
      </c>
    </row>
    <row r="84" spans="2:27" s="116" customFormat="1" ht="14.4" customHeight="1">
      <c r="B84" s="117">
        <v>501</v>
      </c>
      <c r="C84" s="117" t="s">
        <v>964</v>
      </c>
      <c r="D84" s="68" t="str">
        <f t="shared" si="24"/>
        <v xml:space="preserve"> 345</v>
      </c>
      <c r="E84" s="117" t="s">
        <v>964</v>
      </c>
      <c r="F84" s="68">
        <f t="shared" si="19"/>
        <v>0</v>
      </c>
      <c r="G84" s="109" t="s">
        <v>789</v>
      </c>
      <c r="H84" s="109" t="s">
        <v>954</v>
      </c>
      <c r="I84" s="109" t="s">
        <v>965</v>
      </c>
      <c r="J84" s="71">
        <v>32000</v>
      </c>
      <c r="K84" s="72">
        <f>J84-M84</f>
        <v>4800</v>
      </c>
      <c r="L84" s="68" t="s">
        <v>791</v>
      </c>
      <c r="M84" s="73">
        <f t="shared" ref="M84:M94" si="32">J84-N84</f>
        <v>27200</v>
      </c>
      <c r="N84" s="73">
        <f>2000+2000+600+200</f>
        <v>4800</v>
      </c>
      <c r="O84" s="74">
        <f t="shared" si="31"/>
        <v>32000</v>
      </c>
      <c r="P84" s="110"/>
      <c r="Q84" s="117" t="s">
        <v>966</v>
      </c>
      <c r="R84" s="111"/>
      <c r="S84" s="112">
        <f t="shared" si="25"/>
        <v>32000</v>
      </c>
      <c r="T84" s="112">
        <f t="shared" si="26"/>
        <v>45714.285714285717</v>
      </c>
      <c r="U84" s="113">
        <f t="shared" si="27"/>
        <v>52244.897959183676</v>
      </c>
      <c r="V84" s="114">
        <f t="shared" si="28"/>
        <v>0.12499999999999999</v>
      </c>
      <c r="W84" s="113">
        <f t="shared" si="29"/>
        <v>52300</v>
      </c>
      <c r="X84" s="115">
        <f t="shared" si="30"/>
        <v>0.30000000000000004</v>
      </c>
      <c r="Y84" s="85"/>
      <c r="Z84" s="86"/>
      <c r="AA84" s="87"/>
    </row>
    <row r="85" spans="2:27" s="116" customFormat="1" ht="14.4" customHeight="1">
      <c r="B85" s="108">
        <v>502</v>
      </c>
      <c r="C85" s="117" t="s">
        <v>967</v>
      </c>
      <c r="D85" s="68" t="str">
        <f t="shared" si="24"/>
        <v xml:space="preserve"> 202</v>
      </c>
      <c r="E85" s="117" t="s">
        <v>967</v>
      </c>
      <c r="F85" s="68">
        <f t="shared" si="19"/>
        <v>0</v>
      </c>
      <c r="G85" s="109" t="s">
        <v>790</v>
      </c>
      <c r="H85" s="109" t="s">
        <v>954</v>
      </c>
      <c r="I85" s="109" t="s">
        <v>889</v>
      </c>
      <c r="J85" s="71"/>
      <c r="K85" s="72">
        <f>J85-M85</f>
        <v>0</v>
      </c>
      <c r="L85" s="68" t="s">
        <v>791</v>
      </c>
      <c r="M85" s="73">
        <f t="shared" si="32"/>
        <v>0</v>
      </c>
      <c r="N85" s="73"/>
      <c r="O85" s="74">
        <f t="shared" si="31"/>
        <v>0</v>
      </c>
      <c r="P85" s="110"/>
      <c r="Q85" s="117"/>
      <c r="R85" s="111"/>
      <c r="S85" s="112">
        <f t="shared" si="25"/>
        <v>0</v>
      </c>
      <c r="T85" s="112">
        <f t="shared" si="26"/>
        <v>0</v>
      </c>
      <c r="U85" s="113">
        <f t="shared" si="27"/>
        <v>0</v>
      </c>
      <c r="V85" s="114" t="e">
        <f t="shared" si="28"/>
        <v>#DIV/0!</v>
      </c>
      <c r="W85" s="113">
        <f t="shared" si="29"/>
        <v>0</v>
      </c>
      <c r="X85" s="115" t="e">
        <f t="shared" si="30"/>
        <v>#DIV/0!</v>
      </c>
      <c r="Y85" s="85">
        <v>44363</v>
      </c>
      <c r="Z85" s="86">
        <f>T85-Y85</f>
        <v>-44363</v>
      </c>
      <c r="AA85" s="87">
        <f>Z85/Y85</f>
        <v>-1</v>
      </c>
    </row>
    <row r="86" spans="2:27" s="116" customFormat="1" ht="14.4" customHeight="1">
      <c r="B86" s="68">
        <v>503</v>
      </c>
      <c r="C86" s="108" t="s">
        <v>968</v>
      </c>
      <c r="D86" s="68" t="str">
        <f t="shared" si="24"/>
        <v xml:space="preserve"> 750</v>
      </c>
      <c r="E86" s="108" t="s">
        <v>968</v>
      </c>
      <c r="F86" s="108">
        <f>SUM(F87:F101)</f>
        <v>0</v>
      </c>
      <c r="G86" s="109" t="s">
        <v>84</v>
      </c>
      <c r="H86" s="109" t="s">
        <v>954</v>
      </c>
      <c r="I86" s="109" t="s">
        <v>969</v>
      </c>
      <c r="J86" s="71">
        <v>32500</v>
      </c>
      <c r="K86" s="72">
        <f>J86-M86</f>
        <v>4800</v>
      </c>
      <c r="L86" s="68" t="s">
        <v>791</v>
      </c>
      <c r="M86" s="73">
        <f t="shared" si="32"/>
        <v>27700</v>
      </c>
      <c r="N86" s="73">
        <v>4800</v>
      </c>
      <c r="O86" s="74">
        <f t="shared" si="31"/>
        <v>32500</v>
      </c>
      <c r="P86" s="123"/>
      <c r="Q86" s="117" t="s">
        <v>970</v>
      </c>
      <c r="R86" s="111"/>
      <c r="S86" s="112">
        <f t="shared" si="25"/>
        <v>32500</v>
      </c>
      <c r="T86" s="112">
        <f t="shared" si="26"/>
        <v>46428.571428571435</v>
      </c>
      <c r="U86" s="113">
        <f t="shared" si="27"/>
        <v>53061.224489795924</v>
      </c>
      <c r="V86" s="114">
        <f t="shared" si="28"/>
        <v>0.12499999999999999</v>
      </c>
      <c r="W86" s="113">
        <f t="shared" si="29"/>
        <v>53100</v>
      </c>
      <c r="X86" s="115">
        <f t="shared" si="30"/>
        <v>0.3000000000000001</v>
      </c>
      <c r="Y86" s="85"/>
      <c r="Z86" s="86"/>
      <c r="AA86" s="87"/>
    </row>
    <row r="87" spans="2:27" s="116" customFormat="1" ht="14.4" customHeight="1">
      <c r="B87" s="108">
        <v>504</v>
      </c>
      <c r="C87" s="117" t="s">
        <v>971</v>
      </c>
      <c r="D87" s="68" t="str">
        <f t="shared" si="24"/>
        <v xml:space="preserve"> 494</v>
      </c>
      <c r="E87" s="117" t="s">
        <v>971</v>
      </c>
      <c r="F87" s="68">
        <f>IF(C87=E87,0,1)</f>
        <v>0</v>
      </c>
      <c r="G87" s="109" t="s">
        <v>790</v>
      </c>
      <c r="H87" s="109" t="s">
        <v>954</v>
      </c>
      <c r="I87" s="109" t="s">
        <v>887</v>
      </c>
      <c r="J87" s="71"/>
      <c r="K87" s="72">
        <f>J87-M87</f>
        <v>0</v>
      </c>
      <c r="L87" s="68" t="s">
        <v>791</v>
      </c>
      <c r="M87" s="73">
        <f t="shared" si="32"/>
        <v>0</v>
      </c>
      <c r="N87" s="73"/>
      <c r="O87" s="74">
        <f t="shared" si="31"/>
        <v>0</v>
      </c>
      <c r="P87" s="110"/>
      <c r="Q87" s="117"/>
      <c r="R87" s="111"/>
      <c r="S87" s="112">
        <f t="shared" si="25"/>
        <v>0</v>
      </c>
      <c r="T87" s="112">
        <f t="shared" si="26"/>
        <v>0</v>
      </c>
      <c r="U87" s="113">
        <f t="shared" si="27"/>
        <v>0</v>
      </c>
      <c r="V87" s="114" t="e">
        <f t="shared" si="28"/>
        <v>#DIV/0!</v>
      </c>
      <c r="W87" s="113">
        <f t="shared" si="29"/>
        <v>0</v>
      </c>
      <c r="X87" s="115" t="e">
        <f t="shared" si="30"/>
        <v>#DIV/0!</v>
      </c>
      <c r="Y87" s="85">
        <v>42875</v>
      </c>
      <c r="Z87" s="86">
        <f>T87-Y87</f>
        <v>-42875</v>
      </c>
      <c r="AA87" s="87">
        <f>Z87/Y87</f>
        <v>-1</v>
      </c>
    </row>
    <row r="88" spans="2:27" s="116" customFormat="1" ht="14.4" customHeight="1">
      <c r="B88" s="68">
        <v>505</v>
      </c>
      <c r="C88" s="108" t="s">
        <v>972</v>
      </c>
      <c r="D88" s="68" t="str">
        <f t="shared" si="24"/>
        <v xml:space="preserve"> 709</v>
      </c>
      <c r="E88" s="108" t="s">
        <v>972</v>
      </c>
      <c r="F88" s="108">
        <f>SUM(F89:F107)</f>
        <v>0</v>
      </c>
      <c r="G88" s="109" t="s">
        <v>84</v>
      </c>
      <c r="H88" s="109" t="s">
        <v>954</v>
      </c>
      <c r="I88" s="109" t="s">
        <v>969</v>
      </c>
      <c r="J88" s="71">
        <v>29000</v>
      </c>
      <c r="K88" s="72">
        <f>J88-M88</f>
        <v>4450</v>
      </c>
      <c r="L88" s="68" t="s">
        <v>791</v>
      </c>
      <c r="M88" s="73">
        <f t="shared" si="32"/>
        <v>24550</v>
      </c>
      <c r="N88" s="73">
        <v>4450</v>
      </c>
      <c r="O88" s="74">
        <f t="shared" si="31"/>
        <v>29000</v>
      </c>
      <c r="P88" s="123"/>
      <c r="Q88" s="117" t="s">
        <v>973</v>
      </c>
      <c r="R88" s="111"/>
      <c r="S88" s="112">
        <f t="shared" si="25"/>
        <v>29000</v>
      </c>
      <c r="T88" s="112">
        <f t="shared" si="26"/>
        <v>41428.571428571435</v>
      </c>
      <c r="U88" s="113">
        <f t="shared" si="27"/>
        <v>47346.938775510214</v>
      </c>
      <c r="V88" s="114">
        <f t="shared" si="28"/>
        <v>0.12500000000000006</v>
      </c>
      <c r="W88" s="113">
        <f t="shared" si="29"/>
        <v>47400</v>
      </c>
      <c r="X88" s="115">
        <f t="shared" si="30"/>
        <v>0.3000000000000001</v>
      </c>
      <c r="Y88" s="85"/>
      <c r="Z88" s="86"/>
      <c r="AA88" s="87"/>
    </row>
    <row r="89" spans="2:27" s="116" customFormat="1" ht="14.4" customHeight="1">
      <c r="B89" s="108">
        <v>506</v>
      </c>
      <c r="C89" s="117" t="s">
        <v>974</v>
      </c>
      <c r="D89" s="68" t="str">
        <f t="shared" si="24"/>
        <v xml:space="preserve"> 478</v>
      </c>
      <c r="E89" s="117" t="s">
        <v>974</v>
      </c>
      <c r="F89" s="68">
        <f>IF(C89=E89,0,1)</f>
        <v>0</v>
      </c>
      <c r="G89" s="109" t="s">
        <v>789</v>
      </c>
      <c r="H89" s="109" t="s">
        <v>954</v>
      </c>
      <c r="I89" s="109" t="s">
        <v>321</v>
      </c>
      <c r="J89" s="71">
        <v>30000</v>
      </c>
      <c r="K89" s="73">
        <v>4450</v>
      </c>
      <c r="L89" s="68" t="s">
        <v>791</v>
      </c>
      <c r="M89" s="73">
        <f t="shared" si="32"/>
        <v>25550</v>
      </c>
      <c r="N89" s="73">
        <f>2000+200+600+1650</f>
        <v>4450</v>
      </c>
      <c r="O89" s="74">
        <f t="shared" si="31"/>
        <v>30000</v>
      </c>
      <c r="P89" s="110"/>
      <c r="Q89" s="117" t="s">
        <v>955</v>
      </c>
      <c r="R89" s="111"/>
      <c r="S89" s="112">
        <f t="shared" si="25"/>
        <v>30000</v>
      </c>
      <c r="T89" s="112">
        <f t="shared" si="26"/>
        <v>42857.142857142862</v>
      </c>
      <c r="U89" s="113">
        <f t="shared" si="27"/>
        <v>48979.591836734697</v>
      </c>
      <c r="V89" s="114">
        <f t="shared" si="28"/>
        <v>0.12499999999999994</v>
      </c>
      <c r="W89" s="113">
        <f t="shared" si="29"/>
        <v>49000</v>
      </c>
      <c r="X89" s="115">
        <f t="shared" si="30"/>
        <v>0.3000000000000001</v>
      </c>
      <c r="Y89" s="85"/>
      <c r="Z89" s="86"/>
      <c r="AA89" s="87"/>
    </row>
    <row r="90" spans="2:27" s="116" customFormat="1" ht="14.4" customHeight="1">
      <c r="B90" s="117">
        <v>507</v>
      </c>
      <c r="C90" s="117" t="s">
        <v>975</v>
      </c>
      <c r="D90" s="68" t="str">
        <f t="shared" si="24"/>
        <v xml:space="preserve"> 315</v>
      </c>
      <c r="E90" s="117" t="s">
        <v>975</v>
      </c>
      <c r="F90" s="68">
        <f>IF(C90=E90,0,1)</f>
        <v>0</v>
      </c>
      <c r="G90" s="109" t="s">
        <v>789</v>
      </c>
      <c r="H90" s="109" t="s">
        <v>954</v>
      </c>
      <c r="I90" s="109" t="s">
        <v>959</v>
      </c>
      <c r="J90" s="71">
        <v>29500</v>
      </c>
      <c r="K90" s="72">
        <f>J90-M90</f>
        <v>4450</v>
      </c>
      <c r="L90" s="68" t="s">
        <v>791</v>
      </c>
      <c r="M90" s="73">
        <f t="shared" si="32"/>
        <v>25050</v>
      </c>
      <c r="N90" s="73">
        <f>2000+200+600+1650</f>
        <v>4450</v>
      </c>
      <c r="O90" s="74">
        <f t="shared" si="31"/>
        <v>29500</v>
      </c>
      <c r="P90" s="110"/>
      <c r="Q90" s="117" t="s">
        <v>993</v>
      </c>
      <c r="R90" s="111"/>
      <c r="S90" s="112">
        <f t="shared" si="25"/>
        <v>29500</v>
      </c>
      <c r="T90" s="112">
        <f t="shared" si="26"/>
        <v>42142.857142857145</v>
      </c>
      <c r="U90" s="113">
        <f t="shared" si="27"/>
        <v>48163.265306122448</v>
      </c>
      <c r="V90" s="114">
        <f t="shared" si="28"/>
        <v>0.12499999999999994</v>
      </c>
      <c r="W90" s="113">
        <f t="shared" si="29"/>
        <v>48200</v>
      </c>
      <c r="X90" s="115">
        <f t="shared" si="30"/>
        <v>0.30000000000000004</v>
      </c>
      <c r="Y90" s="85"/>
      <c r="Z90" s="86"/>
      <c r="AA90" s="87"/>
    </row>
    <row r="91" spans="2:27" s="116" customFormat="1" ht="14.4" customHeight="1">
      <c r="B91" s="108">
        <v>508</v>
      </c>
      <c r="C91" s="117" t="s">
        <v>976</v>
      </c>
      <c r="D91" s="68" t="str">
        <f t="shared" si="24"/>
        <v xml:space="preserve"> 571</v>
      </c>
      <c r="E91" s="117" t="s">
        <v>976</v>
      </c>
      <c r="F91" s="68">
        <f>IF(C91=E91,0,1)</f>
        <v>0</v>
      </c>
      <c r="G91" s="109" t="s">
        <v>789</v>
      </c>
      <c r="H91" s="109" t="s">
        <v>954</v>
      </c>
      <c r="I91" s="109" t="s">
        <v>969</v>
      </c>
      <c r="J91" s="71"/>
      <c r="K91" s="72">
        <f>J91-M91</f>
        <v>0</v>
      </c>
      <c r="L91" s="68" t="s">
        <v>791</v>
      </c>
      <c r="M91" s="73">
        <f t="shared" si="32"/>
        <v>0</v>
      </c>
      <c r="N91" s="73"/>
      <c r="O91" s="74">
        <f t="shared" si="31"/>
        <v>0</v>
      </c>
      <c r="P91" s="110"/>
      <c r="Q91" s="117"/>
      <c r="R91" s="111"/>
      <c r="S91" s="112">
        <f t="shared" si="25"/>
        <v>0</v>
      </c>
      <c r="T91" s="112">
        <f t="shared" si="26"/>
        <v>0</v>
      </c>
      <c r="U91" s="113">
        <f t="shared" si="27"/>
        <v>0</v>
      </c>
      <c r="V91" s="114" t="e">
        <f t="shared" si="28"/>
        <v>#DIV/0!</v>
      </c>
      <c r="W91" s="113">
        <f t="shared" si="29"/>
        <v>0</v>
      </c>
      <c r="X91" s="115" t="e">
        <f t="shared" si="30"/>
        <v>#DIV/0!</v>
      </c>
      <c r="Y91" s="85"/>
      <c r="Z91" s="86"/>
      <c r="AA91" s="87"/>
    </row>
    <row r="92" spans="2:27" s="116" customFormat="1" ht="14.4" customHeight="1">
      <c r="B92" s="68">
        <v>509</v>
      </c>
      <c r="C92" s="108" t="s">
        <v>977</v>
      </c>
      <c r="D92" s="68" t="str">
        <f t="shared" si="24"/>
        <v xml:space="preserve"> 521</v>
      </c>
      <c r="E92" s="108" t="s">
        <v>977</v>
      </c>
      <c r="F92" s="108">
        <f>SUM(F93:F109)</f>
        <v>0</v>
      </c>
      <c r="G92" s="109" t="s">
        <v>84</v>
      </c>
      <c r="H92" s="109" t="s">
        <v>954</v>
      </c>
      <c r="I92" s="109" t="s">
        <v>969</v>
      </c>
      <c r="J92" s="71">
        <v>29000</v>
      </c>
      <c r="K92" s="72">
        <f>J92-M92</f>
        <v>4450</v>
      </c>
      <c r="L92" s="68" t="s">
        <v>791</v>
      </c>
      <c r="M92" s="73">
        <f t="shared" si="32"/>
        <v>24550</v>
      </c>
      <c r="N92" s="73">
        <v>4450</v>
      </c>
      <c r="O92" s="74">
        <f t="shared" si="31"/>
        <v>29000</v>
      </c>
      <c r="P92" s="123"/>
      <c r="Q92" s="117" t="s">
        <v>973</v>
      </c>
      <c r="R92" s="111"/>
      <c r="S92" s="112">
        <f t="shared" si="25"/>
        <v>29000</v>
      </c>
      <c r="T92" s="112">
        <f t="shared" si="26"/>
        <v>41428.571428571435</v>
      </c>
      <c r="U92" s="113">
        <f t="shared" si="27"/>
        <v>47346.938775510214</v>
      </c>
      <c r="V92" s="114">
        <f t="shared" si="28"/>
        <v>0.12500000000000006</v>
      </c>
      <c r="W92" s="113">
        <f t="shared" si="29"/>
        <v>47400</v>
      </c>
      <c r="X92" s="115">
        <f t="shared" si="30"/>
        <v>0.3000000000000001</v>
      </c>
      <c r="Y92" s="85"/>
      <c r="Z92" s="86"/>
      <c r="AA92" s="87"/>
    </row>
    <row r="93" spans="2:27" s="116" customFormat="1" ht="14.4" customHeight="1">
      <c r="B93" s="68">
        <v>510</v>
      </c>
      <c r="C93" s="108" t="s">
        <v>978</v>
      </c>
      <c r="D93" s="68" t="str">
        <f t="shared" si="24"/>
        <v xml:space="preserve"> 852</v>
      </c>
      <c r="E93" s="108" t="s">
        <v>978</v>
      </c>
      <c r="F93" s="108">
        <f>SUM(F94:F109)</f>
        <v>0</v>
      </c>
      <c r="G93" s="109" t="s">
        <v>84</v>
      </c>
      <c r="H93" s="109" t="s">
        <v>954</v>
      </c>
      <c r="I93" s="109" t="s">
        <v>969</v>
      </c>
      <c r="J93" s="71">
        <v>29000</v>
      </c>
      <c r="K93" s="72">
        <f>J93-M93</f>
        <v>4450</v>
      </c>
      <c r="L93" s="68" t="s">
        <v>791</v>
      </c>
      <c r="M93" s="73">
        <f t="shared" si="32"/>
        <v>24550</v>
      </c>
      <c r="N93" s="73">
        <v>4450</v>
      </c>
      <c r="O93" s="74">
        <f t="shared" si="31"/>
        <v>29000</v>
      </c>
      <c r="P93" s="123"/>
      <c r="Q93" s="117" t="s">
        <v>973</v>
      </c>
      <c r="R93" s="111"/>
      <c r="S93" s="112">
        <f t="shared" si="25"/>
        <v>29000</v>
      </c>
      <c r="T93" s="112">
        <f t="shared" si="26"/>
        <v>41428.571428571435</v>
      </c>
      <c r="U93" s="113">
        <f t="shared" si="27"/>
        <v>47346.938775510214</v>
      </c>
      <c r="V93" s="114">
        <f t="shared" si="28"/>
        <v>0.12500000000000006</v>
      </c>
      <c r="W93" s="113">
        <f t="shared" si="29"/>
        <v>47400</v>
      </c>
      <c r="X93" s="115">
        <f t="shared" si="30"/>
        <v>0.3000000000000001</v>
      </c>
      <c r="Y93" s="85"/>
      <c r="Z93" s="86"/>
      <c r="AA93" s="87"/>
    </row>
    <row r="94" spans="2:27" s="116" customFormat="1" ht="14.4" customHeight="1">
      <c r="B94" s="117">
        <v>511</v>
      </c>
      <c r="C94" s="117" t="s">
        <v>979</v>
      </c>
      <c r="D94" s="68" t="str">
        <f t="shared" si="24"/>
        <v xml:space="preserve"> 589</v>
      </c>
      <c r="E94" s="117" t="s">
        <v>979</v>
      </c>
      <c r="F94" s="68">
        <f>IF(C94=E94,0,1)</f>
        <v>0</v>
      </c>
      <c r="G94" s="109" t="s">
        <v>789</v>
      </c>
      <c r="H94" s="109" t="s">
        <v>954</v>
      </c>
      <c r="I94" s="109" t="s">
        <v>965</v>
      </c>
      <c r="J94" s="71">
        <v>28000</v>
      </c>
      <c r="K94" s="72">
        <f>J94-M94</f>
        <v>4450</v>
      </c>
      <c r="L94" s="68" t="s">
        <v>791</v>
      </c>
      <c r="M94" s="73">
        <f t="shared" si="32"/>
        <v>23550</v>
      </c>
      <c r="N94" s="73">
        <f>2000+1650+600+200</f>
        <v>4450</v>
      </c>
      <c r="O94" s="74">
        <f t="shared" si="31"/>
        <v>28000</v>
      </c>
      <c r="P94" s="110"/>
      <c r="Q94" s="117" t="s">
        <v>980</v>
      </c>
      <c r="R94" s="111"/>
      <c r="S94" s="112">
        <f t="shared" si="25"/>
        <v>28000</v>
      </c>
      <c r="T94" s="112">
        <f t="shared" si="26"/>
        <v>40000</v>
      </c>
      <c r="U94" s="113">
        <f t="shared" si="27"/>
        <v>45714.285714285717</v>
      </c>
      <c r="V94" s="114">
        <f t="shared" si="28"/>
        <v>0.12500000000000006</v>
      </c>
      <c r="W94" s="113">
        <f t="shared" si="29"/>
        <v>45800</v>
      </c>
      <c r="X94" s="115">
        <f t="shared" si="30"/>
        <v>0.3</v>
      </c>
      <c r="Y94" s="85"/>
      <c r="Z94" s="86"/>
      <c r="AA94" s="87"/>
    </row>
    <row r="95" spans="2:27" s="116" customFormat="1" ht="14.4" customHeight="1">
      <c r="B95" s="108">
        <v>512</v>
      </c>
      <c r="C95" s="117" t="s">
        <v>981</v>
      </c>
      <c r="D95" s="68" t="str">
        <f t="shared" si="24"/>
        <v xml:space="preserve"> 117</v>
      </c>
      <c r="E95" s="117" t="s">
        <v>981</v>
      </c>
      <c r="F95" s="68">
        <f>IF(C95=E95,0,1)</f>
        <v>0</v>
      </c>
      <c r="G95" s="109" t="s">
        <v>790</v>
      </c>
      <c r="H95" s="109" t="s">
        <v>954</v>
      </c>
      <c r="I95" s="109" t="s">
        <v>889</v>
      </c>
      <c r="J95" s="131">
        <v>24000</v>
      </c>
      <c r="K95" s="125">
        <v>0</v>
      </c>
      <c r="L95" s="126" t="s">
        <v>881</v>
      </c>
      <c r="M95" s="132">
        <f>J95</f>
        <v>24000</v>
      </c>
      <c r="N95" s="128">
        <f>2000+1600+800+200+650</f>
        <v>5250</v>
      </c>
      <c r="O95" s="129">
        <f>N95+M95</f>
        <v>29250</v>
      </c>
      <c r="P95" s="130"/>
      <c r="Q95" s="63" t="s">
        <v>982</v>
      </c>
      <c r="R95" s="111"/>
      <c r="S95" s="112">
        <f t="shared" si="25"/>
        <v>29250</v>
      </c>
      <c r="T95" s="112">
        <f t="shared" si="26"/>
        <v>41785.71428571429</v>
      </c>
      <c r="U95" s="113">
        <f t="shared" si="27"/>
        <v>47755.102040816331</v>
      </c>
      <c r="V95" s="114">
        <f t="shared" si="28"/>
        <v>0.125</v>
      </c>
      <c r="W95" s="113">
        <f t="shared" si="29"/>
        <v>47800</v>
      </c>
      <c r="X95" s="115">
        <f t="shared" si="30"/>
        <v>0.30000000000000004</v>
      </c>
      <c r="Y95" s="85">
        <v>46113</v>
      </c>
      <c r="Z95" s="86">
        <f>T95-Y95</f>
        <v>-4327.2857142857101</v>
      </c>
      <c r="AA95" s="87">
        <f>Z95/Y95</f>
        <v>-9.3840906344972358E-2</v>
      </c>
    </row>
    <row r="96" spans="2:27" s="116" customFormat="1" ht="14.4" customHeight="1">
      <c r="B96" s="68">
        <v>513</v>
      </c>
      <c r="C96" s="108" t="s">
        <v>983</v>
      </c>
      <c r="D96" s="68" t="str">
        <f t="shared" si="24"/>
        <v xml:space="preserve"> 678</v>
      </c>
      <c r="E96" s="108" t="s">
        <v>983</v>
      </c>
      <c r="F96" s="108">
        <f>SUM(F97:F114)</f>
        <v>0</v>
      </c>
      <c r="G96" s="109" t="s">
        <v>84</v>
      </c>
      <c r="H96" s="109" t="s">
        <v>954</v>
      </c>
      <c r="I96" s="109" t="s">
        <v>969</v>
      </c>
      <c r="J96" s="71">
        <v>29000</v>
      </c>
      <c r="K96" s="72">
        <f>J96-M96</f>
        <v>4450</v>
      </c>
      <c r="L96" s="68" t="s">
        <v>791</v>
      </c>
      <c r="M96" s="73">
        <f>J96-N96</f>
        <v>24550</v>
      </c>
      <c r="N96" s="73">
        <v>4450</v>
      </c>
      <c r="O96" s="74">
        <f>M96+N96</f>
        <v>29000</v>
      </c>
      <c r="P96" s="123"/>
      <c r="Q96" s="117" t="s">
        <v>973</v>
      </c>
      <c r="R96" s="111"/>
      <c r="S96" s="112">
        <f t="shared" si="25"/>
        <v>29000</v>
      </c>
      <c r="T96" s="112">
        <f t="shared" si="26"/>
        <v>41428.571428571435</v>
      </c>
      <c r="U96" s="113">
        <f t="shared" si="27"/>
        <v>47346.938775510214</v>
      </c>
      <c r="V96" s="114">
        <f t="shared" si="28"/>
        <v>0.12500000000000006</v>
      </c>
      <c r="W96" s="113">
        <f t="shared" si="29"/>
        <v>47400</v>
      </c>
      <c r="X96" s="115">
        <f t="shared" si="30"/>
        <v>0.3000000000000001</v>
      </c>
      <c r="Y96" s="85"/>
      <c r="Z96" s="86"/>
      <c r="AA96" s="87"/>
    </row>
  </sheetData>
  <autoFilter ref="B3:AA96"/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BCL 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Bro Roby</cp:lastModifiedBy>
  <dcterms:created xsi:type="dcterms:W3CDTF">2016-11-19T11:06:34Z</dcterms:created>
  <dcterms:modified xsi:type="dcterms:W3CDTF">2018-11-16T10:38:36Z</dcterms:modified>
</cp:coreProperties>
</file>