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 activeTab="2"/>
  </bookViews>
  <sheets>
    <sheet name="BCL Fashion" sheetId="2" r:id="rId1"/>
    <sheet name="Inficlo" sheetId="1" r:id="rId2"/>
    <sheet name="BCL Alas Kaki" sheetId="3" r:id="rId3"/>
  </sheets>
  <externalReferences>
    <externalReference r:id="rId4"/>
  </externalReferences>
  <definedNames>
    <definedName name="_xlnm._FilterDatabase" localSheetId="2" hidden="1">'BCL Alas Kaki'!$A$3:$AG$516</definedName>
    <definedName name="_xlnm._FilterDatabase" localSheetId="0" hidden="1">'BCL Fashion'!$D$3:$CI$96</definedName>
    <definedName name="_xlnm._FilterDatabase" localSheetId="1" hidden="1">Inficlo!$A$3:$AH$510</definedName>
  </definedNames>
  <calcPr calcId="144525"/>
</workbook>
</file>

<file path=xl/calcChain.xml><?xml version="1.0" encoding="utf-8"?>
<calcChain xmlns="http://schemas.openxmlformats.org/spreadsheetml/2006/main">
  <c r="F476" i="1" l="1"/>
  <c r="D3" i="3"/>
  <c r="BY96" i="2" l="1"/>
  <c r="BM96" i="2"/>
  <c r="AX96" i="2"/>
  <c r="AT96" i="2"/>
  <c r="AP96" i="2"/>
  <c r="AL96" i="2"/>
  <c r="AI96" i="2"/>
  <c r="L96" i="2"/>
  <c r="J96" i="2" s="1"/>
  <c r="E96" i="2"/>
  <c r="C96" i="2"/>
  <c r="M95" i="2"/>
  <c r="L95" i="2"/>
  <c r="E95" i="2"/>
  <c r="C95" i="2"/>
  <c r="M94" i="2"/>
  <c r="L94" i="2" s="1"/>
  <c r="E94" i="2"/>
  <c r="C94" i="2"/>
  <c r="L93" i="2"/>
  <c r="J93" i="2" s="1"/>
  <c r="E93" i="2"/>
  <c r="C93" i="2"/>
  <c r="L92" i="2"/>
  <c r="J92" i="2" s="1"/>
  <c r="E92" i="2"/>
  <c r="C92" i="2"/>
  <c r="V91" i="2"/>
  <c r="W91" i="2" s="1"/>
  <c r="AA91" i="2" s="1"/>
  <c r="R91" i="2"/>
  <c r="E91" i="2"/>
  <c r="C91" i="2"/>
  <c r="M90" i="2"/>
  <c r="L90" i="2"/>
  <c r="N90" i="2" s="1"/>
  <c r="V90" i="2" s="1"/>
  <c r="W90" i="2" s="1"/>
  <c r="E90" i="2"/>
  <c r="C90" i="2"/>
  <c r="M89" i="2"/>
  <c r="L89" i="2" s="1"/>
  <c r="N89" i="2" s="1"/>
  <c r="E89" i="2"/>
  <c r="C89" i="2"/>
  <c r="L88" i="2"/>
  <c r="N88" i="2" s="1"/>
  <c r="E88" i="2"/>
  <c r="C88" i="2"/>
  <c r="V87" i="2"/>
  <c r="W87" i="2" s="1"/>
  <c r="AC87" i="2" s="1"/>
  <c r="AD87" i="2" s="1"/>
  <c r="R87" i="2"/>
  <c r="E87" i="2"/>
  <c r="C87" i="2"/>
  <c r="L86" i="2"/>
  <c r="J86" i="2" s="1"/>
  <c r="E86" i="2"/>
  <c r="C86" i="2"/>
  <c r="V85" i="2"/>
  <c r="W85" i="2" s="1"/>
  <c r="R85" i="2"/>
  <c r="E85" i="2"/>
  <c r="C85" i="2"/>
  <c r="M84" i="2"/>
  <c r="L84" i="2" s="1"/>
  <c r="E84" i="2"/>
  <c r="C84" i="2"/>
  <c r="M83" i="2"/>
  <c r="L83" i="2"/>
  <c r="E83" i="2"/>
  <c r="C83" i="2"/>
  <c r="M82" i="2"/>
  <c r="L82" i="2" s="1"/>
  <c r="N82" i="2" s="1"/>
  <c r="V82" i="2" s="1"/>
  <c r="W82" i="2" s="1"/>
  <c r="E82" i="2"/>
  <c r="C82" i="2"/>
  <c r="M81" i="2"/>
  <c r="L81" i="2" s="1"/>
  <c r="E81" i="2"/>
  <c r="C81" i="2"/>
  <c r="M80" i="2"/>
  <c r="L80" i="2"/>
  <c r="N80" i="2" s="1"/>
  <c r="V80" i="2" s="1"/>
  <c r="W80" i="2" s="1"/>
  <c r="E80" i="2"/>
  <c r="C80" i="2"/>
  <c r="M79" i="2"/>
  <c r="L79" i="2" s="1"/>
  <c r="E79" i="2"/>
  <c r="C79" i="2"/>
  <c r="BY78" i="2"/>
  <c r="BQ78" i="2"/>
  <c r="BM78" i="2"/>
  <c r="BI78" i="2"/>
  <c r="AX78" i="2"/>
  <c r="AT78" i="2"/>
  <c r="AP78" i="2"/>
  <c r="AL78" i="2"/>
  <c r="AI78" i="2"/>
  <c r="M78" i="2"/>
  <c r="L78" i="2"/>
  <c r="N78" i="2" s="1"/>
  <c r="V78" i="2" s="1"/>
  <c r="W78" i="2" s="1"/>
  <c r="E78" i="2"/>
  <c r="C78" i="2"/>
  <c r="BI77" i="2"/>
  <c r="AI77" i="2"/>
  <c r="M77" i="2"/>
  <c r="N77" i="2" s="1"/>
  <c r="I77" i="2"/>
  <c r="J77" i="2" s="1"/>
  <c r="E77" i="2"/>
  <c r="C77" i="2"/>
  <c r="BI76" i="2"/>
  <c r="AI76" i="2"/>
  <c r="M76" i="2"/>
  <c r="N76" i="2" s="1"/>
  <c r="I76" i="2"/>
  <c r="J76" i="2" s="1"/>
  <c r="E76" i="2"/>
  <c r="C76" i="2"/>
  <c r="BY75" i="2"/>
  <c r="BQ75" i="2"/>
  <c r="BM75" i="2"/>
  <c r="BI75" i="2"/>
  <c r="AX75" i="2"/>
  <c r="AT75" i="2"/>
  <c r="AP75" i="2"/>
  <c r="AL75" i="2"/>
  <c r="AI75" i="2"/>
  <c r="L75" i="2"/>
  <c r="N75" i="2" s="1"/>
  <c r="V75" i="2" s="1"/>
  <c r="W75" i="2" s="1"/>
  <c r="X75" i="2" s="1"/>
  <c r="Z75" i="2" s="1"/>
  <c r="E75" i="2"/>
  <c r="C75" i="2"/>
  <c r="M74" i="2"/>
  <c r="L74" i="2"/>
  <c r="J74" i="2" s="1"/>
  <c r="E74" i="2"/>
  <c r="C74" i="2"/>
  <c r="M73" i="2"/>
  <c r="N73" i="2" s="1"/>
  <c r="V73" i="2" s="1"/>
  <c r="W73" i="2" s="1"/>
  <c r="I73" i="2"/>
  <c r="J73" i="2" s="1"/>
  <c r="E73" i="2"/>
  <c r="C73" i="2"/>
  <c r="V72" i="2"/>
  <c r="W72" i="2" s="1"/>
  <c r="R72" i="2"/>
  <c r="E72" i="2"/>
  <c r="C72" i="2"/>
  <c r="M71" i="2"/>
  <c r="N71" i="2" s="1"/>
  <c r="I71" i="2"/>
  <c r="J71" i="2" s="1"/>
  <c r="E71" i="2"/>
  <c r="C71" i="2"/>
  <c r="M70" i="2"/>
  <c r="N70" i="2" s="1"/>
  <c r="I70" i="2"/>
  <c r="J70" i="2" s="1"/>
  <c r="E70" i="2"/>
  <c r="C70" i="2"/>
  <c r="M69" i="2"/>
  <c r="N69" i="2" s="1"/>
  <c r="I69" i="2"/>
  <c r="J69" i="2" s="1"/>
  <c r="E69" i="2"/>
  <c r="C69" i="2"/>
  <c r="M68" i="2"/>
  <c r="N68" i="2" s="1"/>
  <c r="I68" i="2"/>
  <c r="J68" i="2" s="1"/>
  <c r="E68" i="2"/>
  <c r="C68" i="2"/>
  <c r="M67" i="2"/>
  <c r="N67" i="2" s="1"/>
  <c r="V67" i="2" s="1"/>
  <c r="W67" i="2" s="1"/>
  <c r="I67" i="2"/>
  <c r="J67" i="2" s="1"/>
  <c r="E67" i="2"/>
  <c r="C67" i="2"/>
  <c r="V66" i="2"/>
  <c r="W66" i="2" s="1"/>
  <c r="R66" i="2"/>
  <c r="E66" i="2"/>
  <c r="C66" i="2"/>
  <c r="M65" i="2"/>
  <c r="N65" i="2" s="1"/>
  <c r="I65" i="2"/>
  <c r="J65" i="2" s="1"/>
  <c r="E65" i="2"/>
  <c r="C65" i="2"/>
  <c r="L64" i="2"/>
  <c r="N64" i="2" s="1"/>
  <c r="V64" i="2" s="1"/>
  <c r="W64" i="2" s="1"/>
  <c r="E64" i="2"/>
  <c r="C64" i="2"/>
  <c r="M63" i="2"/>
  <c r="N63" i="2" s="1"/>
  <c r="I63" i="2"/>
  <c r="J63" i="2" s="1"/>
  <c r="E63" i="2"/>
  <c r="C63" i="2"/>
  <c r="M62" i="2"/>
  <c r="N62" i="2" s="1"/>
  <c r="I62" i="2"/>
  <c r="J62" i="2" s="1"/>
  <c r="E62" i="2"/>
  <c r="C62" i="2"/>
  <c r="M61" i="2"/>
  <c r="N61" i="2" s="1"/>
  <c r="I61" i="2"/>
  <c r="J61" i="2" s="1"/>
  <c r="E61" i="2"/>
  <c r="C61" i="2"/>
  <c r="L60" i="2"/>
  <c r="N60" i="2" s="1"/>
  <c r="V60" i="2" s="1"/>
  <c r="W60" i="2" s="1"/>
  <c r="E60" i="2"/>
  <c r="C60" i="2"/>
  <c r="N59" i="2"/>
  <c r="V59" i="2" s="1"/>
  <c r="W59" i="2" s="1"/>
  <c r="M59" i="2"/>
  <c r="I59" i="2"/>
  <c r="J59" i="2" s="1"/>
  <c r="E59" i="2"/>
  <c r="C59" i="2"/>
  <c r="M58" i="2"/>
  <c r="N58" i="2" s="1"/>
  <c r="V58" i="2" s="1"/>
  <c r="W58" i="2" s="1"/>
  <c r="I58" i="2"/>
  <c r="J58" i="2" s="1"/>
  <c r="E58" i="2"/>
  <c r="C58" i="2"/>
  <c r="M57" i="2"/>
  <c r="N57" i="2" s="1"/>
  <c r="I57" i="2"/>
  <c r="J57" i="2" s="1"/>
  <c r="E57" i="2"/>
  <c r="C57" i="2"/>
  <c r="M56" i="2"/>
  <c r="N56" i="2" s="1"/>
  <c r="V56" i="2" s="1"/>
  <c r="W56" i="2" s="1"/>
  <c r="I56" i="2"/>
  <c r="J56" i="2" s="1"/>
  <c r="E56" i="2"/>
  <c r="C56" i="2"/>
  <c r="M55" i="2"/>
  <c r="N55" i="2" s="1"/>
  <c r="I55" i="2"/>
  <c r="J55" i="2" s="1"/>
  <c r="E55" i="2"/>
  <c r="C55" i="2"/>
  <c r="V54" i="2"/>
  <c r="W54" i="2" s="1"/>
  <c r="R54" i="2"/>
  <c r="E54" i="2"/>
  <c r="C54" i="2"/>
  <c r="M53" i="2"/>
  <c r="N53" i="2" s="1"/>
  <c r="V53" i="2" s="1"/>
  <c r="W53" i="2" s="1"/>
  <c r="I53" i="2"/>
  <c r="J53" i="2" s="1"/>
  <c r="E53" i="2"/>
  <c r="C53" i="2"/>
  <c r="M52" i="2"/>
  <c r="L52" i="2"/>
  <c r="J52" i="2" s="1"/>
  <c r="E52" i="2"/>
  <c r="C52" i="2"/>
  <c r="M51" i="2"/>
  <c r="N51" i="2" s="1"/>
  <c r="V51" i="2" s="1"/>
  <c r="W51" i="2" s="1"/>
  <c r="I51" i="2"/>
  <c r="J51" i="2" s="1"/>
  <c r="E51" i="2"/>
  <c r="C51" i="2"/>
  <c r="N50" i="2"/>
  <c r="V50" i="2" s="1"/>
  <c r="W50" i="2" s="1"/>
  <c r="M50" i="2"/>
  <c r="I50" i="2"/>
  <c r="J50" i="2" s="1"/>
  <c r="E50" i="2"/>
  <c r="C50" i="2"/>
  <c r="V49" i="2"/>
  <c r="W49" i="2" s="1"/>
  <c r="AA49" i="2" s="1"/>
  <c r="R49" i="2"/>
  <c r="E49" i="2"/>
  <c r="C49" i="2"/>
  <c r="BY48" i="2"/>
  <c r="BQ48" i="2"/>
  <c r="BM48" i="2"/>
  <c r="BI48" i="2"/>
  <c r="AX48" i="2"/>
  <c r="AT48" i="2"/>
  <c r="AP48" i="2"/>
  <c r="AL48" i="2"/>
  <c r="AI48" i="2"/>
  <c r="L48" i="2"/>
  <c r="J48" i="2" s="1"/>
  <c r="E48" i="2"/>
  <c r="C48" i="2"/>
  <c r="M47" i="2"/>
  <c r="L47" i="2" s="1"/>
  <c r="E47" i="2"/>
  <c r="C47" i="2"/>
  <c r="L46" i="2"/>
  <c r="J46" i="2" s="1"/>
  <c r="E46" i="2"/>
  <c r="C46" i="2"/>
  <c r="M45" i="2"/>
  <c r="L45" i="2" s="1"/>
  <c r="E45" i="2"/>
  <c r="C45" i="2"/>
  <c r="M44" i="2"/>
  <c r="L44" i="2" s="1"/>
  <c r="N44" i="2" s="1"/>
  <c r="E44" i="2"/>
  <c r="C44" i="2"/>
  <c r="L43" i="2"/>
  <c r="J43" i="2" s="1"/>
  <c r="E43" i="2"/>
  <c r="C43" i="2"/>
  <c r="M42" i="2"/>
  <c r="L42" i="2"/>
  <c r="J42" i="2" s="1"/>
  <c r="E42" i="2"/>
  <c r="C42" i="2"/>
  <c r="L41" i="2"/>
  <c r="J41" i="2" s="1"/>
  <c r="E41" i="2"/>
  <c r="C41" i="2"/>
  <c r="L40" i="2"/>
  <c r="N40" i="2" s="1"/>
  <c r="E40" i="2"/>
  <c r="C40" i="2"/>
  <c r="V39" i="2"/>
  <c r="W39" i="2" s="1"/>
  <c r="AA39" i="2" s="1"/>
  <c r="R39" i="2"/>
  <c r="E39" i="2"/>
  <c r="C39" i="2"/>
  <c r="M38" i="2"/>
  <c r="L38" i="2"/>
  <c r="N38" i="2" s="1"/>
  <c r="V38" i="2" s="1"/>
  <c r="W38" i="2" s="1"/>
  <c r="E38" i="2"/>
  <c r="C38" i="2"/>
  <c r="L37" i="2"/>
  <c r="J37" i="2" s="1"/>
  <c r="E37" i="2"/>
  <c r="C37" i="2"/>
  <c r="L36" i="2"/>
  <c r="N36" i="2" s="1"/>
  <c r="E36" i="2"/>
  <c r="C36" i="2"/>
  <c r="L35" i="2"/>
  <c r="J35" i="2" s="1"/>
  <c r="E35" i="2"/>
  <c r="C35" i="2"/>
  <c r="V34" i="2"/>
  <c r="W34" i="2" s="1"/>
  <c r="E34" i="2"/>
  <c r="C34" i="2"/>
  <c r="BY33" i="2"/>
  <c r="BQ33" i="2"/>
  <c r="BM33" i="2"/>
  <c r="BI33" i="2"/>
  <c r="AX33" i="2"/>
  <c r="AT33" i="2"/>
  <c r="AP33" i="2"/>
  <c r="AL33" i="2"/>
  <c r="AI33" i="2"/>
  <c r="M33" i="2"/>
  <c r="N33" i="2" s="1"/>
  <c r="I33" i="2"/>
  <c r="J33" i="2" s="1"/>
  <c r="E33" i="2"/>
  <c r="C33" i="2"/>
  <c r="L32" i="2"/>
  <c r="J32" i="2" s="1"/>
  <c r="E32" i="2"/>
  <c r="C32" i="2"/>
  <c r="L31" i="2"/>
  <c r="N31" i="2" s="1"/>
  <c r="E31" i="2"/>
  <c r="C31" i="2"/>
  <c r="M30" i="2"/>
  <c r="N30" i="2" s="1"/>
  <c r="I30" i="2"/>
  <c r="J30" i="2" s="1"/>
  <c r="E30" i="2"/>
  <c r="C30" i="2"/>
  <c r="M29" i="2"/>
  <c r="L29" i="2" s="1"/>
  <c r="E29" i="2"/>
  <c r="C29" i="2"/>
  <c r="L28" i="2"/>
  <c r="N28" i="2" s="1"/>
  <c r="E28" i="2"/>
  <c r="C28" i="2"/>
  <c r="L27" i="2"/>
  <c r="N27" i="2" s="1"/>
  <c r="E27" i="2"/>
  <c r="C27" i="2"/>
  <c r="M26" i="2"/>
  <c r="N26" i="2" s="1"/>
  <c r="V26" i="2" s="1"/>
  <c r="W26" i="2" s="1"/>
  <c r="I26" i="2"/>
  <c r="J26" i="2" s="1"/>
  <c r="E26" i="2"/>
  <c r="C26" i="2"/>
  <c r="V25" i="2"/>
  <c r="W25" i="2" s="1"/>
  <c r="AA25" i="2" s="1"/>
  <c r="R25" i="2"/>
  <c r="E25" i="2"/>
  <c r="C25" i="2"/>
  <c r="M24" i="2"/>
  <c r="N24" i="2" s="1"/>
  <c r="V24" i="2" s="1"/>
  <c r="W24" i="2" s="1"/>
  <c r="I24" i="2"/>
  <c r="J24" i="2" s="1"/>
  <c r="E24" i="2"/>
  <c r="C24" i="2"/>
  <c r="L23" i="2"/>
  <c r="N23" i="2" s="1"/>
  <c r="V23" i="2" s="1"/>
  <c r="W23" i="2" s="1"/>
  <c r="X23" i="2" s="1"/>
  <c r="Z23" i="2" s="1"/>
  <c r="E23" i="2"/>
  <c r="C23" i="2"/>
  <c r="M22" i="2"/>
  <c r="N22" i="2" s="1"/>
  <c r="V22" i="2" s="1"/>
  <c r="W22" i="2" s="1"/>
  <c r="I22" i="2"/>
  <c r="J22" i="2" s="1"/>
  <c r="E22" i="2"/>
  <c r="C22" i="2"/>
  <c r="BY21" i="2"/>
  <c r="BQ21" i="2"/>
  <c r="BM21" i="2"/>
  <c r="BI21" i="2"/>
  <c r="AX21" i="2"/>
  <c r="AT21" i="2"/>
  <c r="AP21" i="2"/>
  <c r="AL21" i="2"/>
  <c r="AI21" i="2"/>
  <c r="V21" i="2"/>
  <c r="W21" i="2" s="1"/>
  <c r="R21" i="2"/>
  <c r="E21" i="2"/>
  <c r="C21" i="2"/>
  <c r="V20" i="2"/>
  <c r="W20" i="2" s="1"/>
  <c r="E20" i="2"/>
  <c r="C20" i="2"/>
  <c r="N19" i="2"/>
  <c r="R19" i="2" s="1"/>
  <c r="M19" i="2"/>
  <c r="I19" i="2"/>
  <c r="J19" i="2" s="1"/>
  <c r="E19" i="2"/>
  <c r="C19" i="2"/>
  <c r="V18" i="2"/>
  <c r="W18" i="2" s="1"/>
  <c r="R18" i="2"/>
  <c r="E18" i="2"/>
  <c r="C18" i="2"/>
  <c r="V17" i="2"/>
  <c r="W17" i="2" s="1"/>
  <c r="AA17" i="2" s="1"/>
  <c r="E17" i="2"/>
  <c r="C17" i="2"/>
  <c r="L16" i="2"/>
  <c r="J16" i="2" s="1"/>
  <c r="E16" i="2"/>
  <c r="C16" i="2"/>
  <c r="M15" i="2"/>
  <c r="N15" i="2" s="1"/>
  <c r="I15" i="2"/>
  <c r="J15" i="2" s="1"/>
  <c r="E15" i="2"/>
  <c r="C15" i="2"/>
  <c r="L14" i="2"/>
  <c r="J14" i="2" s="1"/>
  <c r="E14" i="2"/>
  <c r="C14" i="2"/>
  <c r="V13" i="2"/>
  <c r="W13" i="2" s="1"/>
  <c r="R13" i="2"/>
  <c r="E13" i="2"/>
  <c r="C13" i="2"/>
  <c r="M12" i="2"/>
  <c r="I12" i="2"/>
  <c r="E12" i="2"/>
  <c r="C12" i="2"/>
  <c r="L11" i="2"/>
  <c r="J11" i="2" s="1"/>
  <c r="E11" i="2"/>
  <c r="C11" i="2"/>
  <c r="M10" i="2"/>
  <c r="I10" i="2"/>
  <c r="E10" i="2"/>
  <c r="C10" i="2"/>
  <c r="V9" i="2"/>
  <c r="W9" i="2" s="1"/>
  <c r="E9" i="2"/>
  <c r="C9" i="2"/>
  <c r="V8" i="2"/>
  <c r="W8" i="2" s="1"/>
  <c r="R8" i="2"/>
  <c r="E8" i="2"/>
  <c r="C8" i="2"/>
  <c r="L7" i="2"/>
  <c r="J7" i="2" s="1"/>
  <c r="E7" i="2"/>
  <c r="C7" i="2"/>
  <c r="L6" i="2"/>
  <c r="N6" i="2" s="1"/>
  <c r="E6" i="2"/>
  <c r="C6" i="2"/>
  <c r="V5" i="2"/>
  <c r="W5" i="2" s="1"/>
  <c r="R5" i="2"/>
  <c r="E5" i="2"/>
  <c r="C5" i="2"/>
  <c r="L4" i="2"/>
  <c r="J4" i="2" s="1"/>
  <c r="E4" i="2"/>
  <c r="C4" i="2"/>
  <c r="L10" i="2" l="1"/>
  <c r="N4" i="2"/>
  <c r="R4" i="2" s="1"/>
  <c r="N32" i="2"/>
  <c r="V32" i="2" s="1"/>
  <c r="W32" i="2" s="1"/>
  <c r="AC32" i="2" s="1"/>
  <c r="N86" i="2"/>
  <c r="V86" i="2" s="1"/>
  <c r="W86" i="2" s="1"/>
  <c r="X86" i="2" s="1"/>
  <c r="N7" i="2"/>
  <c r="V7" i="2" s="1"/>
  <c r="W7" i="2" s="1"/>
  <c r="N42" i="2"/>
  <c r="V42" i="2" s="1"/>
  <c r="W42" i="2" s="1"/>
  <c r="X42" i="2" s="1"/>
  <c r="J28" i="2"/>
  <c r="J40" i="2"/>
  <c r="J78" i="2"/>
  <c r="R22" i="2"/>
  <c r="V28" i="2"/>
  <c r="W28" i="2" s="1"/>
  <c r="AA28" i="2" s="1"/>
  <c r="R28" i="2"/>
  <c r="J23" i="2"/>
  <c r="J60" i="2"/>
  <c r="J36" i="2"/>
  <c r="J6" i="2"/>
  <c r="N11" i="2"/>
  <c r="V11" i="2" s="1"/>
  <c r="W11" i="2" s="1"/>
  <c r="AC11" i="2" s="1"/>
  <c r="AD11" i="2" s="1"/>
  <c r="N14" i="2"/>
  <c r="V14" i="2" s="1"/>
  <c r="W14" i="2" s="1"/>
  <c r="X14" i="2" s="1"/>
  <c r="N41" i="2"/>
  <c r="V41" i="2" s="1"/>
  <c r="W41" i="2" s="1"/>
  <c r="X41" i="2" s="1"/>
  <c r="X49" i="2"/>
  <c r="Z49" i="2" s="1"/>
  <c r="N95" i="2"/>
  <c r="V95" i="2" s="1"/>
  <c r="W95" i="2" s="1"/>
  <c r="X95" i="2" s="1"/>
  <c r="N96" i="2"/>
  <c r="R96" i="2" s="1"/>
  <c r="AA20" i="2"/>
  <c r="X20" i="2"/>
  <c r="Z20" i="2" s="1"/>
  <c r="AC20" i="2"/>
  <c r="AD20" i="2" s="1"/>
  <c r="V27" i="2"/>
  <c r="W27" i="2" s="1"/>
  <c r="AA27" i="2" s="1"/>
  <c r="R27" i="2"/>
  <c r="V40" i="2"/>
  <c r="W40" i="2" s="1"/>
  <c r="AA40" i="2" s="1"/>
  <c r="R40" i="2"/>
  <c r="V36" i="2"/>
  <c r="W36" i="2" s="1"/>
  <c r="AA36" i="2" s="1"/>
  <c r="R36" i="2"/>
  <c r="V6" i="2"/>
  <c r="W6" i="2" s="1"/>
  <c r="AA6" i="2" s="1"/>
  <c r="R6" i="2"/>
  <c r="AA8" i="2"/>
  <c r="AC8" i="2"/>
  <c r="AD8" i="2" s="1"/>
  <c r="X8" i="2"/>
  <c r="Y8" i="2" s="1"/>
  <c r="V31" i="2"/>
  <c r="W31" i="2" s="1"/>
  <c r="AA31" i="2" s="1"/>
  <c r="R31" i="2"/>
  <c r="J27" i="2"/>
  <c r="J64" i="2"/>
  <c r="J80" i="2"/>
  <c r="N83" i="2"/>
  <c r="V83" i="2" s="1"/>
  <c r="W83" i="2" s="1"/>
  <c r="X83" i="2" s="1"/>
  <c r="J88" i="2"/>
  <c r="J90" i="2"/>
  <c r="AC17" i="2"/>
  <c r="AD17" i="2" s="1"/>
  <c r="V19" i="2"/>
  <c r="W19" i="2" s="1"/>
  <c r="X19" i="2" s="1"/>
  <c r="J75" i="2"/>
  <c r="E3" i="2"/>
  <c r="L12" i="2"/>
  <c r="N12" i="2" s="1"/>
  <c r="J31" i="2"/>
  <c r="X17" i="2"/>
  <c r="Z17" i="2" s="1"/>
  <c r="N35" i="2"/>
  <c r="V35" i="2" s="1"/>
  <c r="W35" i="2" s="1"/>
  <c r="X35" i="2" s="1"/>
  <c r="N46" i="2"/>
  <c r="N48" i="2"/>
  <c r="V48" i="2" s="1"/>
  <c r="W48" i="2" s="1"/>
  <c r="AA48" i="2" s="1"/>
  <c r="R51" i="2"/>
  <c r="N52" i="2"/>
  <c r="V52" i="2" s="1"/>
  <c r="W52" i="2" s="1"/>
  <c r="AC52" i="2" s="1"/>
  <c r="AD52" i="2" s="1"/>
  <c r="X56" i="2"/>
  <c r="AA56" i="2"/>
  <c r="AA78" i="2"/>
  <c r="AC78" i="2"/>
  <c r="AD78" i="2" s="1"/>
  <c r="X78" i="2"/>
  <c r="J81" i="2"/>
  <c r="N81" i="2"/>
  <c r="AC5" i="2"/>
  <c r="AD5" i="2" s="1"/>
  <c r="X5" i="2"/>
  <c r="R15" i="2"/>
  <c r="V15" i="2"/>
  <c r="W15" i="2" s="1"/>
  <c r="X22" i="2"/>
  <c r="AA22" i="2"/>
  <c r="R33" i="2"/>
  <c r="V33" i="2"/>
  <c r="W33" i="2" s="1"/>
  <c r="AC34" i="2"/>
  <c r="AD34" i="2" s="1"/>
  <c r="X34" i="2"/>
  <c r="AA34" i="2"/>
  <c r="V44" i="2"/>
  <c r="W44" i="2" s="1"/>
  <c r="R44" i="2"/>
  <c r="N45" i="2"/>
  <c r="J45" i="2"/>
  <c r="N47" i="2"/>
  <c r="J47" i="2"/>
  <c r="R57" i="2"/>
  <c r="V57" i="2"/>
  <c r="W57" i="2" s="1"/>
  <c r="X59" i="2"/>
  <c r="AA59" i="2"/>
  <c r="AA60" i="2"/>
  <c r="X60" i="2"/>
  <c r="R65" i="2"/>
  <c r="V65" i="2"/>
  <c r="W65" i="2" s="1"/>
  <c r="AA66" i="2"/>
  <c r="X66" i="2"/>
  <c r="R70" i="2"/>
  <c r="V70" i="2"/>
  <c r="W70" i="2" s="1"/>
  <c r="V76" i="2"/>
  <c r="W76" i="2" s="1"/>
  <c r="R76" i="2"/>
  <c r="AA26" i="2"/>
  <c r="X26" i="2"/>
  <c r="R30" i="2"/>
  <c r="V30" i="2"/>
  <c r="W30" i="2" s="1"/>
  <c r="AC38" i="2"/>
  <c r="AD38" i="2" s="1"/>
  <c r="X38" i="2"/>
  <c r="AA38" i="2"/>
  <c r="AA51" i="2"/>
  <c r="AC51" i="2"/>
  <c r="AD51" i="2" s="1"/>
  <c r="X51" i="2"/>
  <c r="R63" i="2"/>
  <c r="V63" i="2"/>
  <c r="W63" i="2" s="1"/>
  <c r="R69" i="2"/>
  <c r="V69" i="2"/>
  <c r="W69" i="2" s="1"/>
  <c r="AC80" i="2"/>
  <c r="AD80" i="2" s="1"/>
  <c r="X80" i="2"/>
  <c r="AA80" i="2"/>
  <c r="J94" i="2"/>
  <c r="N94" i="2"/>
  <c r="AC95" i="2"/>
  <c r="AD95" i="2" s="1"/>
  <c r="AA95" i="2"/>
  <c r="N10" i="2"/>
  <c r="J10" i="2"/>
  <c r="N29" i="2"/>
  <c r="J29" i="2"/>
  <c r="AC50" i="2"/>
  <c r="AD50" i="2" s="1"/>
  <c r="AA50" i="2"/>
  <c r="X50" i="2"/>
  <c r="R55" i="2"/>
  <c r="V55" i="2"/>
  <c r="W55" i="2" s="1"/>
  <c r="AA58" i="2"/>
  <c r="X58" i="2"/>
  <c r="AC58" i="2"/>
  <c r="AD58" i="2" s="1"/>
  <c r="R62" i="2"/>
  <c r="V62" i="2"/>
  <c r="W62" i="2" s="1"/>
  <c r="R68" i="2"/>
  <c r="V68" i="2"/>
  <c r="W68" i="2" s="1"/>
  <c r="AA73" i="2"/>
  <c r="X73" i="2"/>
  <c r="AC82" i="2"/>
  <c r="AD82" i="2" s="1"/>
  <c r="X82" i="2"/>
  <c r="AA82" i="2"/>
  <c r="J84" i="2"/>
  <c r="N84" i="2"/>
  <c r="AC85" i="2"/>
  <c r="AD85" i="2" s="1"/>
  <c r="X85" i="2"/>
  <c r="AA85" i="2"/>
  <c r="AA86" i="2"/>
  <c r="R89" i="2"/>
  <c r="V89" i="2"/>
  <c r="W89" i="2" s="1"/>
  <c r="AC13" i="2"/>
  <c r="AD13" i="2" s="1"/>
  <c r="X13" i="2"/>
  <c r="AA13" i="2"/>
  <c r="AA21" i="2"/>
  <c r="X21" i="2"/>
  <c r="AA64" i="2"/>
  <c r="X64" i="2"/>
  <c r="V77" i="2"/>
  <c r="W77" i="2" s="1"/>
  <c r="R77" i="2"/>
  <c r="N79" i="2"/>
  <c r="J79" i="2"/>
  <c r="R88" i="2"/>
  <c r="V88" i="2"/>
  <c r="W88" i="2" s="1"/>
  <c r="AA7" i="2"/>
  <c r="X7" i="2"/>
  <c r="AC9" i="2"/>
  <c r="AD9" i="2" s="1"/>
  <c r="X9" i="2"/>
  <c r="AA9" i="2"/>
  <c r="X11" i="2"/>
  <c r="AA18" i="2"/>
  <c r="AC18" i="2"/>
  <c r="AD18" i="2" s="1"/>
  <c r="X18" i="2"/>
  <c r="AA24" i="2"/>
  <c r="X24" i="2"/>
  <c r="AA53" i="2"/>
  <c r="X53" i="2"/>
  <c r="AC53" i="2"/>
  <c r="AD53" i="2" s="1"/>
  <c r="AA54" i="2"/>
  <c r="AC54" i="2"/>
  <c r="AD54" i="2" s="1"/>
  <c r="X54" i="2"/>
  <c r="V61" i="2"/>
  <c r="W61" i="2" s="1"/>
  <c r="R61" i="2"/>
  <c r="X67" i="2"/>
  <c r="AA67" i="2"/>
  <c r="R71" i="2"/>
  <c r="V71" i="2"/>
  <c r="W71" i="2" s="1"/>
  <c r="AA72" i="2"/>
  <c r="X72" i="2"/>
  <c r="X90" i="2"/>
  <c r="AA90" i="2"/>
  <c r="AA5" i="2"/>
  <c r="AA87" i="2"/>
  <c r="R14" i="2"/>
  <c r="N16" i="2"/>
  <c r="V16" i="2" s="1"/>
  <c r="W16" i="2" s="1"/>
  <c r="R24" i="2"/>
  <c r="X25" i="2"/>
  <c r="AC25" i="2"/>
  <c r="AD25" i="2" s="1"/>
  <c r="N37" i="2"/>
  <c r="X39" i="2"/>
  <c r="AC39" i="2"/>
  <c r="AD39" i="2" s="1"/>
  <c r="N43" i="2"/>
  <c r="R50" i="2"/>
  <c r="R53" i="2"/>
  <c r="R58" i="2"/>
  <c r="R67" i="2"/>
  <c r="R73" i="2"/>
  <c r="N74" i="2"/>
  <c r="V74" i="2" s="1"/>
  <c r="W74" i="2" s="1"/>
  <c r="R86" i="2"/>
  <c r="X87" i="2"/>
  <c r="R90" i="2"/>
  <c r="X91" i="2"/>
  <c r="N92" i="2"/>
  <c r="N93" i="2"/>
  <c r="V93" i="2" s="1"/>
  <c r="W93" i="2" s="1"/>
  <c r="J44" i="2"/>
  <c r="J82" i="2"/>
  <c r="X48" i="2" l="1"/>
  <c r="X27" i="2"/>
  <c r="Y27" i="2" s="1"/>
  <c r="AC36" i="2"/>
  <c r="AD36" i="2" s="1"/>
  <c r="AA42" i="2"/>
  <c r="AC19" i="2"/>
  <c r="AD19" i="2" s="1"/>
  <c r="AA83" i="2"/>
  <c r="R41" i="2"/>
  <c r="X36" i="2"/>
  <c r="Z36" i="2" s="1"/>
  <c r="AA19" i="2"/>
  <c r="AC42" i="2"/>
  <c r="AD42" i="2" s="1"/>
  <c r="J12" i="2"/>
  <c r="V4" i="2"/>
  <c r="W4" i="2" s="1"/>
  <c r="X4" i="2" s="1"/>
  <c r="X32" i="2"/>
  <c r="Z32" i="2" s="1"/>
  <c r="AA35" i="2"/>
  <c r="AA14" i="2"/>
  <c r="R7" i="2"/>
  <c r="V96" i="2"/>
  <c r="W96" i="2" s="1"/>
  <c r="AA96" i="2" s="1"/>
  <c r="AA41" i="2"/>
  <c r="X28" i="2"/>
  <c r="Y28" i="2" s="1"/>
  <c r="X40" i="2"/>
  <c r="Z40" i="2" s="1"/>
  <c r="AC83" i="2"/>
  <c r="AD83" i="2" s="1"/>
  <c r="Z8" i="2"/>
  <c r="X6" i="2"/>
  <c r="Y6" i="2" s="1"/>
  <c r="AA11" i="2"/>
  <c r="R48" i="2"/>
  <c r="Y20" i="2"/>
  <c r="X52" i="2"/>
  <c r="Y52" i="2" s="1"/>
  <c r="X31" i="2"/>
  <c r="Z31" i="2" s="1"/>
  <c r="Y49" i="2"/>
  <c r="V46" i="2"/>
  <c r="W46" i="2" s="1"/>
  <c r="R46" i="2"/>
  <c r="AA52" i="2"/>
  <c r="Y17" i="2"/>
  <c r="Y91" i="2"/>
  <c r="Z91" i="2"/>
  <c r="AC74" i="2"/>
  <c r="AD74" i="2" s="1"/>
  <c r="AE75" i="2"/>
  <c r="AA74" i="2"/>
  <c r="X74" i="2"/>
  <c r="Y25" i="2"/>
  <c r="Z25" i="2"/>
  <c r="X16" i="2"/>
  <c r="AA16" i="2"/>
  <c r="Z90" i="2"/>
  <c r="Y90" i="2"/>
  <c r="AC61" i="2"/>
  <c r="AD61" i="2" s="1"/>
  <c r="X61" i="2"/>
  <c r="AA61" i="2"/>
  <c r="Z24" i="2"/>
  <c r="Y24" i="2"/>
  <c r="Z11" i="2"/>
  <c r="Y11" i="2"/>
  <c r="Y9" i="2"/>
  <c r="Z9" i="2"/>
  <c r="Z7" i="2"/>
  <c r="Y7" i="2"/>
  <c r="Y64" i="2"/>
  <c r="Z64" i="2"/>
  <c r="AA89" i="2"/>
  <c r="X89" i="2"/>
  <c r="AC55" i="2"/>
  <c r="AD55" i="2" s="1"/>
  <c r="X55" i="2"/>
  <c r="AA55" i="2"/>
  <c r="Z95" i="2"/>
  <c r="Y95" i="2"/>
  <c r="AC69" i="2"/>
  <c r="AD69" i="2" s="1"/>
  <c r="X69" i="2"/>
  <c r="AA69" i="2"/>
  <c r="Y51" i="2"/>
  <c r="Z51" i="2"/>
  <c r="Y38" i="2"/>
  <c r="Z38" i="2"/>
  <c r="Y26" i="2"/>
  <c r="Z26" i="2"/>
  <c r="AA70" i="2"/>
  <c r="X70" i="2"/>
  <c r="X65" i="2"/>
  <c r="AA65" i="2"/>
  <c r="Z52" i="2"/>
  <c r="R92" i="2"/>
  <c r="V92" i="2"/>
  <c r="W92" i="2" s="1"/>
  <c r="R43" i="2"/>
  <c r="V43" i="2"/>
  <c r="W43" i="2" s="1"/>
  <c r="Y19" i="2"/>
  <c r="Z19" i="2"/>
  <c r="AC77" i="2"/>
  <c r="AD77" i="2" s="1"/>
  <c r="X77" i="2"/>
  <c r="AE77" i="2"/>
  <c r="AA77" i="2"/>
  <c r="Z86" i="2"/>
  <c r="Y86" i="2"/>
  <c r="R84" i="2"/>
  <c r="V84" i="2"/>
  <c r="W84" i="2" s="1"/>
  <c r="Z73" i="2"/>
  <c r="Y73" i="2"/>
  <c r="AA62" i="2"/>
  <c r="X62" i="2"/>
  <c r="R10" i="2"/>
  <c r="V10" i="2"/>
  <c r="W10" i="2" s="1"/>
  <c r="R94" i="2"/>
  <c r="V94" i="2"/>
  <c r="W94" i="2" s="1"/>
  <c r="AE76" i="2"/>
  <c r="X76" i="2"/>
  <c r="AA76" i="2"/>
  <c r="V47" i="2"/>
  <c r="W47" i="2" s="1"/>
  <c r="R47" i="2"/>
  <c r="R45" i="2"/>
  <c r="V45" i="2"/>
  <c r="W45" i="2" s="1"/>
  <c r="AC33" i="2"/>
  <c r="AD33" i="2" s="1"/>
  <c r="X33" i="2"/>
  <c r="AA33" i="2"/>
  <c r="Z27" i="2"/>
  <c r="X15" i="2"/>
  <c r="AA15" i="2"/>
  <c r="R81" i="2"/>
  <c r="V81" i="2"/>
  <c r="W81" i="2" s="1"/>
  <c r="Z14" i="2"/>
  <c r="Y14" i="2"/>
  <c r="X71" i="2"/>
  <c r="AA71" i="2"/>
  <c r="AA93" i="2"/>
  <c r="X93" i="2"/>
  <c r="Y87" i="2"/>
  <c r="Z87" i="2"/>
  <c r="R37" i="2"/>
  <c r="V37" i="2"/>
  <c r="W37" i="2" s="1"/>
  <c r="Z67" i="2"/>
  <c r="Y67" i="2"/>
  <c r="AA88" i="2"/>
  <c r="X88" i="2"/>
  <c r="Y41" i="2"/>
  <c r="Z41" i="2"/>
  <c r="Z21" i="2"/>
  <c r="Y21" i="2"/>
  <c r="Y13" i="2"/>
  <c r="Z13" i="2"/>
  <c r="Z83" i="2"/>
  <c r="Y83" i="2"/>
  <c r="Z58" i="2"/>
  <c r="Y58" i="2"/>
  <c r="Z50" i="2"/>
  <c r="Y50" i="2"/>
  <c r="Y80" i="2"/>
  <c r="Z80" i="2"/>
  <c r="X63" i="2"/>
  <c r="AA63" i="2"/>
  <c r="AA30" i="2"/>
  <c r="AC30" i="2"/>
  <c r="AD30" i="2" s="1"/>
  <c r="X30" i="2"/>
  <c r="Z66" i="2"/>
  <c r="Y66" i="2"/>
  <c r="Y60" i="2"/>
  <c r="Z60" i="2"/>
  <c r="AA57" i="2"/>
  <c r="AC57" i="2"/>
  <c r="AD57" i="2" s="1"/>
  <c r="X57" i="2"/>
  <c r="Y35" i="2"/>
  <c r="Z35" i="2"/>
  <c r="Y22" i="2"/>
  <c r="Z22" i="2"/>
  <c r="Y78" i="2"/>
  <c r="Z78" i="2"/>
  <c r="Z56" i="2"/>
  <c r="Y56" i="2"/>
  <c r="Y39" i="2"/>
  <c r="Z39" i="2"/>
  <c r="Y72" i="2"/>
  <c r="Z72" i="2"/>
  <c r="Y54" i="2"/>
  <c r="Z54" i="2"/>
  <c r="Z53" i="2"/>
  <c r="Y53" i="2"/>
  <c r="Y18" i="2"/>
  <c r="Z18" i="2"/>
  <c r="V79" i="2"/>
  <c r="W79" i="2" s="1"/>
  <c r="R79" i="2"/>
  <c r="Y85" i="2"/>
  <c r="Z85" i="2"/>
  <c r="Y82" i="2"/>
  <c r="Z82" i="2"/>
  <c r="AA68" i="2"/>
  <c r="X68" i="2"/>
  <c r="Y42" i="2"/>
  <c r="Z42" i="2"/>
  <c r="V29" i="2"/>
  <c r="W29" i="2" s="1"/>
  <c r="R29" i="2"/>
  <c r="R12" i="2"/>
  <c r="V12" i="2"/>
  <c r="W12" i="2" s="1"/>
  <c r="Z59" i="2"/>
  <c r="Y59" i="2"/>
  <c r="Z48" i="2"/>
  <c r="Y48" i="2"/>
  <c r="X44" i="2"/>
  <c r="AA44" i="2"/>
  <c r="Z34" i="2"/>
  <c r="Y34" i="2"/>
  <c r="Y31" i="2"/>
  <c r="Y5" i="2"/>
  <c r="Z5" i="2"/>
  <c r="AE78" i="2"/>
  <c r="Y40" i="2" l="1"/>
  <c r="Y36" i="2"/>
  <c r="AA4" i="2"/>
  <c r="X96" i="2"/>
  <c r="Z96" i="2" s="1"/>
  <c r="Z28" i="2"/>
  <c r="Y96" i="2"/>
  <c r="Z6" i="2"/>
  <c r="X46" i="2"/>
  <c r="AA46" i="2"/>
  <c r="AA29" i="2"/>
  <c r="X29" i="2"/>
  <c r="Z61" i="2"/>
  <c r="Y61" i="2"/>
  <c r="AA12" i="2"/>
  <c r="AC12" i="2"/>
  <c r="AD12" i="2" s="1"/>
  <c r="X12" i="2"/>
  <c r="Y57" i="2"/>
  <c r="Z57" i="2"/>
  <c r="Y88" i="2"/>
  <c r="Z88" i="2"/>
  <c r="AA37" i="2"/>
  <c r="AC37" i="2"/>
  <c r="AD37" i="2" s="1"/>
  <c r="X37" i="2"/>
  <c r="Z93" i="2"/>
  <c r="Y93" i="2"/>
  <c r="X47" i="2"/>
  <c r="AA47" i="2"/>
  <c r="AE48" i="2"/>
  <c r="AA94" i="2"/>
  <c r="X94" i="2"/>
  <c r="AE96" i="2"/>
  <c r="AC10" i="2"/>
  <c r="AD10" i="2" s="1"/>
  <c r="X10" i="2"/>
  <c r="AA10" i="2"/>
  <c r="Y77" i="2"/>
  <c r="Z77" i="2"/>
  <c r="AA92" i="2"/>
  <c r="X92" i="2"/>
  <c r="Y70" i="2"/>
  <c r="Z70" i="2"/>
  <c r="Y55" i="2"/>
  <c r="Z55" i="2"/>
  <c r="Z16" i="2"/>
  <c r="Y16" i="2"/>
  <c r="AE21" i="2"/>
  <c r="Y44" i="2"/>
  <c r="Z44" i="2"/>
  <c r="Y63" i="2"/>
  <c r="Z63" i="2"/>
  <c r="Z71" i="2"/>
  <c r="Y71" i="2"/>
  <c r="Y33" i="2"/>
  <c r="Z33" i="2"/>
  <c r="Z65" i="2"/>
  <c r="Y65" i="2"/>
  <c r="Z74" i="2"/>
  <c r="Y74" i="2"/>
  <c r="Y68" i="2"/>
  <c r="Z68" i="2"/>
  <c r="Y15" i="2"/>
  <c r="Z15" i="2"/>
  <c r="Z76" i="2"/>
  <c r="Y76" i="2"/>
  <c r="Z4" i="2"/>
  <c r="Y4" i="2"/>
  <c r="Y62" i="2"/>
  <c r="Z62" i="2"/>
  <c r="AA84" i="2"/>
  <c r="X84" i="2"/>
  <c r="X43" i="2"/>
  <c r="AA43" i="2"/>
  <c r="Z89" i="2"/>
  <c r="Y89" i="2"/>
  <c r="AE33" i="2"/>
  <c r="Y30" i="2"/>
  <c r="Z30" i="2"/>
  <c r="X81" i="2"/>
  <c r="AA81" i="2"/>
  <c r="AA79" i="2"/>
  <c r="AC79" i="2"/>
  <c r="AD79" i="2" s="1"/>
  <c r="X79" i="2"/>
  <c r="AA45" i="2"/>
  <c r="X45" i="2"/>
  <c r="Y69" i="2"/>
  <c r="Z69" i="2"/>
  <c r="Y46" i="2" l="1"/>
  <c r="Z46" i="2"/>
  <c r="Z45" i="2"/>
  <c r="Y45" i="2"/>
  <c r="Y37" i="2"/>
  <c r="Z37" i="2"/>
  <c r="Z29" i="2"/>
  <c r="Y29" i="2"/>
  <c r="Y43" i="2"/>
  <c r="Z43" i="2"/>
  <c r="Y92" i="2"/>
  <c r="Z92" i="2"/>
  <c r="Y94" i="2"/>
  <c r="Z94" i="2"/>
  <c r="Z47" i="2"/>
  <c r="Y47" i="2"/>
  <c r="Z12" i="2"/>
  <c r="Y12" i="2"/>
  <c r="Z79" i="2"/>
  <c r="Y79" i="2"/>
  <c r="Y81" i="2"/>
  <c r="Z81" i="2"/>
  <c r="Y84" i="2"/>
  <c r="Z84" i="2"/>
  <c r="Y10" i="2"/>
  <c r="Z10" i="2"/>
  <c r="N367" i="1" l="1"/>
  <c r="O367" i="1" s="1"/>
  <c r="J367" i="1"/>
  <c r="K367" i="1" s="1"/>
  <c r="F367" i="1"/>
  <c r="D367" i="1"/>
  <c r="B367" i="1"/>
  <c r="N365" i="1"/>
  <c r="O365" i="1" s="1"/>
  <c r="J365" i="1"/>
  <c r="K365" i="1" s="1"/>
  <c r="F365" i="1"/>
  <c r="D365" i="1"/>
  <c r="B365" i="1"/>
  <c r="N364" i="1"/>
  <c r="O364" i="1" s="1"/>
  <c r="J364" i="1"/>
  <c r="K364" i="1" s="1"/>
  <c r="F364" i="1"/>
  <c r="D364" i="1"/>
  <c r="B364" i="1"/>
  <c r="N363" i="1"/>
  <c r="O363" i="1" s="1"/>
  <c r="J363" i="1"/>
  <c r="K363" i="1" s="1"/>
  <c r="F363" i="1"/>
  <c r="D363" i="1"/>
  <c r="B363" i="1"/>
  <c r="N366" i="1"/>
  <c r="O366" i="1" s="1"/>
  <c r="J366" i="1"/>
  <c r="K366" i="1" s="1"/>
  <c r="F366" i="1"/>
  <c r="D366" i="1"/>
  <c r="B366" i="1"/>
  <c r="N362" i="1"/>
  <c r="O362" i="1" s="1"/>
  <c r="J362" i="1"/>
  <c r="K362" i="1" s="1"/>
  <c r="F362" i="1"/>
  <c r="D362" i="1"/>
  <c r="B362" i="1"/>
  <c r="N396" i="1"/>
  <c r="M396" i="1" s="1"/>
  <c r="F396" i="1"/>
  <c r="D396" i="1"/>
  <c r="B396" i="1"/>
  <c r="N434" i="1"/>
  <c r="M434" i="1" s="1"/>
  <c r="F434" i="1"/>
  <c r="D434" i="1"/>
  <c r="B434" i="1"/>
  <c r="N49" i="1"/>
  <c r="M49" i="1" s="1"/>
  <c r="O49" i="1" s="1"/>
  <c r="V49" i="1" s="1"/>
  <c r="W49" i="1" s="1"/>
  <c r="F49" i="1"/>
  <c r="D49" i="1"/>
  <c r="B49" i="1"/>
  <c r="N459" i="1"/>
  <c r="M459" i="1" s="1"/>
  <c r="F459" i="1"/>
  <c r="D459" i="1"/>
  <c r="B459" i="1"/>
  <c r="N243" i="1"/>
  <c r="O243" i="1" s="1"/>
  <c r="V243" i="1" s="1"/>
  <c r="W243" i="1" s="1"/>
  <c r="J243" i="1"/>
  <c r="K243" i="1" s="1"/>
  <c r="F243" i="1"/>
  <c r="D243" i="1"/>
  <c r="B243" i="1"/>
  <c r="N460" i="1"/>
  <c r="M460" i="1" s="1"/>
  <c r="F460" i="1"/>
  <c r="D460" i="1"/>
  <c r="B460" i="1"/>
  <c r="M140" i="1"/>
  <c r="K140" i="1" s="1"/>
  <c r="F140" i="1"/>
  <c r="D140" i="1"/>
  <c r="B140" i="1"/>
  <c r="N186" i="1"/>
  <c r="M186" i="1"/>
  <c r="O186" i="1" s="1"/>
  <c r="V186" i="1" s="1"/>
  <c r="W186" i="1" s="1"/>
  <c r="F186" i="1"/>
  <c r="D186" i="1"/>
  <c r="B186" i="1"/>
  <c r="N412" i="1"/>
  <c r="O412" i="1" s="1"/>
  <c r="J412" i="1"/>
  <c r="K412" i="1" s="1"/>
  <c r="F412" i="1"/>
  <c r="D412" i="1"/>
  <c r="B412" i="1"/>
  <c r="N391" i="1"/>
  <c r="M391" i="1" s="1"/>
  <c r="O391" i="1" s="1"/>
  <c r="V391" i="1" s="1"/>
  <c r="W391" i="1" s="1"/>
  <c r="F391" i="1"/>
  <c r="D391" i="1"/>
  <c r="B391" i="1"/>
  <c r="N462" i="1"/>
  <c r="M462" i="1" s="1"/>
  <c r="O462" i="1" s="1"/>
  <c r="V462" i="1" s="1"/>
  <c r="W462" i="1" s="1"/>
  <c r="F462" i="1"/>
  <c r="D462" i="1"/>
  <c r="B462" i="1"/>
  <c r="N498" i="1"/>
  <c r="M498" i="1" s="1"/>
  <c r="F498" i="1"/>
  <c r="D498" i="1"/>
  <c r="B498" i="1"/>
  <c r="N409" i="1"/>
  <c r="O409" i="1" s="1"/>
  <c r="J409" i="1"/>
  <c r="K409" i="1" s="1"/>
  <c r="F409" i="1"/>
  <c r="D409" i="1"/>
  <c r="B409" i="1"/>
  <c r="N504" i="1"/>
  <c r="M504" i="1" s="1"/>
  <c r="F504" i="1"/>
  <c r="D504" i="1"/>
  <c r="B504" i="1"/>
  <c r="N507" i="1"/>
  <c r="O507" i="1" s="1"/>
  <c r="R507" i="1" s="1"/>
  <c r="J507" i="1"/>
  <c r="K507" i="1" s="1"/>
  <c r="F507" i="1"/>
  <c r="D507" i="1"/>
  <c r="B507" i="1"/>
  <c r="N397" i="1"/>
  <c r="M397" i="1" s="1"/>
  <c r="F397" i="1"/>
  <c r="D397" i="1"/>
  <c r="B397" i="1"/>
  <c r="N392" i="1"/>
  <c r="M392" i="1" s="1"/>
  <c r="F392" i="1"/>
  <c r="D392" i="1"/>
  <c r="B392" i="1"/>
  <c r="N112" i="1"/>
  <c r="M112" i="1" s="1"/>
  <c r="O112" i="1" s="1"/>
  <c r="V112" i="1" s="1"/>
  <c r="W112" i="1" s="1"/>
  <c r="F112" i="1"/>
  <c r="D112" i="1"/>
  <c r="B112" i="1"/>
  <c r="N111" i="1"/>
  <c r="M111" i="1" s="1"/>
  <c r="F111" i="1"/>
  <c r="D111" i="1"/>
  <c r="B111" i="1"/>
  <c r="N394" i="1"/>
  <c r="M394" i="1"/>
  <c r="O394" i="1" s="1"/>
  <c r="F394" i="1"/>
  <c r="D394" i="1"/>
  <c r="B394" i="1"/>
  <c r="M433" i="1"/>
  <c r="K433" i="1" s="1"/>
  <c r="F433" i="1"/>
  <c r="D433" i="1"/>
  <c r="B433" i="1"/>
  <c r="M138" i="1"/>
  <c r="O138" i="1" s="1"/>
  <c r="V138" i="1" s="1"/>
  <c r="W138" i="1" s="1"/>
  <c r="F138" i="1"/>
  <c r="D138" i="1"/>
  <c r="B138" i="1"/>
  <c r="N510" i="1"/>
  <c r="O510" i="1" s="1"/>
  <c r="V510" i="1" s="1"/>
  <c r="W510" i="1" s="1"/>
  <c r="J510" i="1"/>
  <c r="K510" i="1" s="1"/>
  <c r="F510" i="1"/>
  <c r="D510" i="1"/>
  <c r="B510" i="1"/>
  <c r="M139" i="1"/>
  <c r="O139" i="1" s="1"/>
  <c r="V139" i="1" s="1"/>
  <c r="W139" i="1" s="1"/>
  <c r="F139" i="1"/>
  <c r="D139" i="1"/>
  <c r="B139" i="1"/>
  <c r="N321" i="1"/>
  <c r="M321" i="1"/>
  <c r="O321" i="1" s="1"/>
  <c r="V321" i="1" s="1"/>
  <c r="W321" i="1" s="1"/>
  <c r="F321" i="1"/>
  <c r="D321" i="1"/>
  <c r="B321" i="1"/>
  <c r="N432" i="1"/>
  <c r="M432" i="1" s="1"/>
  <c r="F432" i="1"/>
  <c r="D432" i="1"/>
  <c r="B432" i="1"/>
  <c r="N463" i="1"/>
  <c r="M463" i="1"/>
  <c r="K463" i="1" s="1"/>
  <c r="F463" i="1"/>
  <c r="D463" i="1"/>
  <c r="B463" i="1"/>
  <c r="N125" i="1"/>
  <c r="M125" i="1" s="1"/>
  <c r="O125" i="1" s="1"/>
  <c r="V125" i="1" s="1"/>
  <c r="W125" i="1" s="1"/>
  <c r="F125" i="1"/>
  <c r="D125" i="1"/>
  <c r="B125" i="1"/>
  <c r="N320" i="1"/>
  <c r="M320" i="1" s="1"/>
  <c r="F320" i="1"/>
  <c r="D320" i="1"/>
  <c r="B320" i="1"/>
  <c r="N124" i="1"/>
  <c r="M124" i="1"/>
  <c r="O124" i="1" s="1"/>
  <c r="F124" i="1"/>
  <c r="D124" i="1"/>
  <c r="B124" i="1"/>
  <c r="N322" i="1"/>
  <c r="M322" i="1" s="1"/>
  <c r="F322" i="1"/>
  <c r="D322" i="1"/>
  <c r="B322" i="1"/>
  <c r="N319" i="1"/>
  <c r="M319" i="1" s="1"/>
  <c r="O319" i="1" s="1"/>
  <c r="F319" i="1"/>
  <c r="D319" i="1"/>
  <c r="B319" i="1"/>
  <c r="N318" i="1"/>
  <c r="M318" i="1" s="1"/>
  <c r="F318" i="1"/>
  <c r="D318" i="1"/>
  <c r="B318" i="1"/>
  <c r="N126" i="1"/>
  <c r="M126" i="1"/>
  <c r="O126" i="1" s="1"/>
  <c r="F126" i="1"/>
  <c r="B126" i="1"/>
  <c r="N418" i="1"/>
  <c r="M418" i="1"/>
  <c r="O418" i="1" s="1"/>
  <c r="F418" i="1"/>
  <c r="D418" i="1"/>
  <c r="B418" i="1"/>
  <c r="N29" i="1"/>
  <c r="O29" i="1" s="1"/>
  <c r="V29" i="1" s="1"/>
  <c r="W29" i="1" s="1"/>
  <c r="J29" i="1"/>
  <c r="K29" i="1" s="1"/>
  <c r="F29" i="1"/>
  <c r="D29" i="1"/>
  <c r="B29" i="1"/>
  <c r="N317" i="1"/>
  <c r="M317" i="1" s="1"/>
  <c r="F317" i="1"/>
  <c r="D317" i="1"/>
  <c r="B317" i="1"/>
  <c r="N457" i="1"/>
  <c r="M457" i="1" s="1"/>
  <c r="F457" i="1"/>
  <c r="D457" i="1"/>
  <c r="B457" i="1"/>
  <c r="N123" i="1"/>
  <c r="M123" i="1" s="1"/>
  <c r="F123" i="1"/>
  <c r="D123" i="1"/>
  <c r="B123" i="1"/>
  <c r="N127" i="1"/>
  <c r="M127" i="1" s="1"/>
  <c r="F127" i="1"/>
  <c r="D127" i="1"/>
  <c r="B127" i="1"/>
  <c r="N128" i="1"/>
  <c r="M128" i="1"/>
  <c r="F128" i="1"/>
  <c r="D128" i="1"/>
  <c r="B128" i="1"/>
  <c r="N93" i="1"/>
  <c r="O93" i="1" s="1"/>
  <c r="J93" i="1"/>
  <c r="K93" i="1" s="1"/>
  <c r="F93" i="1"/>
  <c r="D93" i="1"/>
  <c r="B93" i="1"/>
  <c r="N40" i="1"/>
  <c r="M40" i="1" s="1"/>
  <c r="K40" i="1" s="1"/>
  <c r="F40" i="1"/>
  <c r="D40" i="1"/>
  <c r="B40" i="1"/>
  <c r="N25" i="1"/>
  <c r="M25" i="1" s="1"/>
  <c r="F25" i="1"/>
  <c r="D25" i="1"/>
  <c r="B25" i="1"/>
  <c r="N482" i="1"/>
  <c r="M482" i="1" s="1"/>
  <c r="F482" i="1"/>
  <c r="D482" i="1"/>
  <c r="B482" i="1"/>
  <c r="N24" i="1"/>
  <c r="M24" i="1" s="1"/>
  <c r="K24" i="1" s="1"/>
  <c r="F24" i="1"/>
  <c r="D24" i="1"/>
  <c r="B24" i="1"/>
  <c r="N315" i="1"/>
  <c r="O315" i="1" s="1"/>
  <c r="R315" i="1" s="1"/>
  <c r="J315" i="1"/>
  <c r="K315" i="1" s="1"/>
  <c r="F315" i="1"/>
  <c r="D315" i="1"/>
  <c r="B315" i="1"/>
  <c r="N96" i="1"/>
  <c r="O96" i="1" s="1"/>
  <c r="J96" i="1"/>
  <c r="K96" i="1" s="1"/>
  <c r="F96" i="1"/>
  <c r="D96" i="1"/>
  <c r="B96" i="1"/>
  <c r="N209" i="1"/>
  <c r="M209" i="1" s="1"/>
  <c r="O209" i="1" s="1"/>
  <c r="V209" i="1" s="1"/>
  <c r="W209" i="1" s="1"/>
  <c r="F209" i="1"/>
  <c r="D209" i="1"/>
  <c r="B209" i="1"/>
  <c r="N361" i="1"/>
  <c r="M361" i="1" s="1"/>
  <c r="O361" i="1" s="1"/>
  <c r="V361" i="1" s="1"/>
  <c r="W361" i="1" s="1"/>
  <c r="F361" i="1"/>
  <c r="D361" i="1"/>
  <c r="B361" i="1"/>
  <c r="N208" i="1"/>
  <c r="M208" i="1" s="1"/>
  <c r="F208" i="1"/>
  <c r="D208" i="1"/>
  <c r="B208" i="1"/>
  <c r="N232" i="1"/>
  <c r="M232" i="1" s="1"/>
  <c r="O232" i="1" s="1"/>
  <c r="V232" i="1" s="1"/>
  <c r="W232" i="1" s="1"/>
  <c r="F232" i="1"/>
  <c r="D232" i="1"/>
  <c r="B232" i="1"/>
  <c r="N214" i="1"/>
  <c r="M214" i="1" s="1"/>
  <c r="F214" i="1"/>
  <c r="D214" i="1"/>
  <c r="B214" i="1"/>
  <c r="N233" i="1"/>
  <c r="M233" i="1" s="1"/>
  <c r="F233" i="1"/>
  <c r="D233" i="1"/>
  <c r="B233" i="1"/>
  <c r="N62" i="1"/>
  <c r="M62" i="1" s="1"/>
  <c r="F62" i="1"/>
  <c r="D62" i="1"/>
  <c r="B62" i="1"/>
  <c r="N212" i="1"/>
  <c r="M212" i="1" s="1"/>
  <c r="F212" i="1"/>
  <c r="D212" i="1"/>
  <c r="B212" i="1"/>
  <c r="N10" i="1"/>
  <c r="M10" i="1" s="1"/>
  <c r="K10" i="1" s="1"/>
  <c r="F10" i="1"/>
  <c r="D10" i="1"/>
  <c r="B10" i="1"/>
  <c r="N16" i="1"/>
  <c r="M16" i="1" s="1"/>
  <c r="F16" i="1"/>
  <c r="D16" i="1"/>
  <c r="B16" i="1"/>
  <c r="N207" i="1"/>
  <c r="M207" i="1" s="1"/>
  <c r="F207" i="1"/>
  <c r="D207" i="1"/>
  <c r="B207" i="1"/>
  <c r="N211" i="1"/>
  <c r="M211" i="1" s="1"/>
  <c r="F211" i="1"/>
  <c r="D211" i="1"/>
  <c r="B211" i="1"/>
  <c r="N150" i="1"/>
  <c r="M150" i="1" s="1"/>
  <c r="F150" i="1"/>
  <c r="D150" i="1"/>
  <c r="B150" i="1"/>
  <c r="N210" i="1"/>
  <c r="M210" i="1" s="1"/>
  <c r="F210" i="1"/>
  <c r="D210" i="1"/>
  <c r="B210" i="1"/>
  <c r="N213" i="1"/>
  <c r="M213" i="1" s="1"/>
  <c r="O213" i="1" s="1"/>
  <c r="V213" i="1" s="1"/>
  <c r="W213" i="1" s="1"/>
  <c r="F213" i="1"/>
  <c r="D213" i="1"/>
  <c r="B213" i="1"/>
  <c r="N206" i="1"/>
  <c r="M206" i="1" s="1"/>
  <c r="F206" i="1"/>
  <c r="D206" i="1"/>
  <c r="B206" i="1"/>
  <c r="V76" i="1"/>
  <c r="W76" i="1" s="1"/>
  <c r="F76" i="1"/>
  <c r="D76" i="1"/>
  <c r="B76" i="1"/>
  <c r="N350" i="1"/>
  <c r="M350" i="1"/>
  <c r="F350" i="1"/>
  <c r="D350" i="1"/>
  <c r="B350" i="1"/>
  <c r="N417" i="1"/>
  <c r="M417" i="1"/>
  <c r="K417" i="1" s="1"/>
  <c r="F417" i="1"/>
  <c r="D417" i="1"/>
  <c r="B417" i="1"/>
  <c r="N270" i="1"/>
  <c r="O270" i="1" s="1"/>
  <c r="V270" i="1" s="1"/>
  <c r="W270" i="1" s="1"/>
  <c r="J270" i="1"/>
  <c r="K270" i="1" s="1"/>
  <c r="F270" i="1"/>
  <c r="D270" i="1"/>
  <c r="B270" i="1"/>
  <c r="N489" i="1"/>
  <c r="O489" i="1" s="1"/>
  <c r="J489" i="1"/>
  <c r="K489" i="1" s="1"/>
  <c r="F489" i="1"/>
  <c r="D489" i="1"/>
  <c r="B489" i="1"/>
  <c r="N295" i="1"/>
  <c r="O295" i="1" s="1"/>
  <c r="J295" i="1"/>
  <c r="K295" i="1" s="1"/>
  <c r="F295" i="1"/>
  <c r="D295" i="1"/>
  <c r="B295" i="1"/>
  <c r="N371" i="1"/>
  <c r="M371" i="1" s="1"/>
  <c r="O371" i="1" s="1"/>
  <c r="V371" i="1" s="1"/>
  <c r="W371" i="1" s="1"/>
  <c r="F371" i="1"/>
  <c r="D371" i="1"/>
  <c r="B371" i="1"/>
  <c r="N288" i="1"/>
  <c r="O288" i="1" s="1"/>
  <c r="V288" i="1" s="1"/>
  <c r="W288" i="1" s="1"/>
  <c r="J288" i="1"/>
  <c r="K288" i="1" s="1"/>
  <c r="F288" i="1"/>
  <c r="D288" i="1"/>
  <c r="B288" i="1"/>
  <c r="N287" i="1"/>
  <c r="O287" i="1" s="1"/>
  <c r="J287" i="1"/>
  <c r="K287" i="1" s="1"/>
  <c r="F287" i="1"/>
  <c r="D287" i="1"/>
  <c r="B287" i="1"/>
  <c r="V466" i="1"/>
  <c r="W466" i="1" s="1"/>
  <c r="F466" i="1"/>
  <c r="D466" i="1"/>
  <c r="B466" i="1"/>
  <c r="N205" i="1"/>
  <c r="O205" i="1" s="1"/>
  <c r="R205" i="1" s="1"/>
  <c r="J205" i="1"/>
  <c r="K205" i="1" s="1"/>
  <c r="F205" i="1"/>
  <c r="D205" i="1"/>
  <c r="B205" i="1"/>
  <c r="N456" i="1"/>
  <c r="M456" i="1" s="1"/>
  <c r="O456" i="1" s="1"/>
  <c r="V456" i="1" s="1"/>
  <c r="W456" i="1" s="1"/>
  <c r="F456" i="1"/>
  <c r="D456" i="1"/>
  <c r="B456" i="1"/>
  <c r="N289" i="1"/>
  <c r="O289" i="1" s="1"/>
  <c r="V289" i="1" s="1"/>
  <c r="W289" i="1" s="1"/>
  <c r="J289" i="1"/>
  <c r="K289" i="1" s="1"/>
  <c r="F289" i="1"/>
  <c r="D289" i="1"/>
  <c r="B289" i="1"/>
  <c r="O491" i="1"/>
  <c r="J491" i="1"/>
  <c r="K491" i="1" s="1"/>
  <c r="F491" i="1"/>
  <c r="D491" i="1"/>
  <c r="B491" i="1"/>
  <c r="N168" i="1"/>
  <c r="M168" i="1" s="1"/>
  <c r="O168" i="1" s="1"/>
  <c r="R168" i="1" s="1"/>
  <c r="F168" i="1"/>
  <c r="D168" i="1"/>
  <c r="B168" i="1"/>
  <c r="N169" i="1"/>
  <c r="M169" i="1" s="1"/>
  <c r="K169" i="1" s="1"/>
  <c r="F169" i="1"/>
  <c r="D169" i="1"/>
  <c r="B169" i="1"/>
  <c r="N274" i="1"/>
  <c r="O274" i="1" s="1"/>
  <c r="J274" i="1"/>
  <c r="K274" i="1" s="1"/>
  <c r="F274" i="1"/>
  <c r="D274" i="1"/>
  <c r="B274" i="1"/>
  <c r="V282" i="1"/>
  <c r="W282" i="1" s="1"/>
  <c r="F282" i="1"/>
  <c r="D282" i="1"/>
  <c r="B282" i="1"/>
  <c r="N278" i="1"/>
  <c r="O278" i="1" s="1"/>
  <c r="V278" i="1" s="1"/>
  <c r="W278" i="1" s="1"/>
  <c r="J278" i="1"/>
  <c r="K278" i="1" s="1"/>
  <c r="F278" i="1"/>
  <c r="D278" i="1"/>
  <c r="B278" i="1"/>
  <c r="N492" i="1"/>
  <c r="O492" i="1" s="1"/>
  <c r="R492" i="1" s="1"/>
  <c r="J492" i="1"/>
  <c r="K492" i="1" s="1"/>
  <c r="F492" i="1"/>
  <c r="D492" i="1"/>
  <c r="B492" i="1"/>
  <c r="N277" i="1"/>
  <c r="O277" i="1" s="1"/>
  <c r="J277" i="1"/>
  <c r="K277" i="1" s="1"/>
  <c r="F277" i="1"/>
  <c r="D277" i="1"/>
  <c r="B277" i="1"/>
  <c r="N19" i="1"/>
  <c r="O19" i="1" s="1"/>
  <c r="R19" i="1" s="1"/>
  <c r="J19" i="1"/>
  <c r="K19" i="1" s="1"/>
  <c r="F19" i="1"/>
  <c r="D19" i="1"/>
  <c r="B19" i="1"/>
  <c r="N199" i="1"/>
  <c r="M199" i="1"/>
  <c r="J199" i="1" s="1"/>
  <c r="K199" i="1" s="1"/>
  <c r="F199" i="1"/>
  <c r="D199" i="1"/>
  <c r="B199" i="1"/>
  <c r="N196" i="1"/>
  <c r="M196" i="1"/>
  <c r="J196" i="1" s="1"/>
  <c r="K196" i="1" s="1"/>
  <c r="F196" i="1"/>
  <c r="D196" i="1"/>
  <c r="B196" i="1"/>
  <c r="N281" i="1"/>
  <c r="O281" i="1" s="1"/>
  <c r="R281" i="1" s="1"/>
  <c r="J281" i="1"/>
  <c r="K281" i="1" s="1"/>
  <c r="F281" i="1"/>
  <c r="D281" i="1"/>
  <c r="B281" i="1"/>
  <c r="N204" i="1"/>
  <c r="M204" i="1"/>
  <c r="O204" i="1" s="1"/>
  <c r="V204" i="1" s="1"/>
  <c r="W204" i="1" s="1"/>
  <c r="F204" i="1"/>
  <c r="D204" i="1"/>
  <c r="B204" i="1"/>
  <c r="N293" i="1"/>
  <c r="O293" i="1" s="1"/>
  <c r="J293" i="1"/>
  <c r="K293" i="1" s="1"/>
  <c r="F293" i="1"/>
  <c r="D293" i="1"/>
  <c r="B293" i="1"/>
  <c r="N200" i="1"/>
  <c r="M200" i="1"/>
  <c r="F200" i="1"/>
  <c r="D200" i="1"/>
  <c r="B200" i="1"/>
  <c r="N372" i="1"/>
  <c r="M372" i="1" s="1"/>
  <c r="F372" i="1"/>
  <c r="D372" i="1"/>
  <c r="B372" i="1"/>
  <c r="N284" i="1"/>
  <c r="O284" i="1" s="1"/>
  <c r="V284" i="1" s="1"/>
  <c r="W284" i="1" s="1"/>
  <c r="J284" i="1"/>
  <c r="K284" i="1" s="1"/>
  <c r="F284" i="1"/>
  <c r="D284" i="1"/>
  <c r="B284" i="1"/>
  <c r="N27" i="1"/>
  <c r="O27" i="1" s="1"/>
  <c r="V27" i="1" s="1"/>
  <c r="W27" i="1" s="1"/>
  <c r="J27" i="1"/>
  <c r="K27" i="1" s="1"/>
  <c r="F27" i="1"/>
  <c r="D27" i="1"/>
  <c r="B27" i="1"/>
  <c r="N419" i="1"/>
  <c r="M419" i="1"/>
  <c r="K419" i="1" s="1"/>
  <c r="F419" i="1"/>
  <c r="D419" i="1"/>
  <c r="B419" i="1"/>
  <c r="N494" i="1"/>
  <c r="O494" i="1" s="1"/>
  <c r="R494" i="1" s="1"/>
  <c r="J494" i="1"/>
  <c r="K494" i="1" s="1"/>
  <c r="F494" i="1"/>
  <c r="D494" i="1"/>
  <c r="B494" i="1"/>
  <c r="N294" i="1"/>
  <c r="O294" i="1" s="1"/>
  <c r="R294" i="1" s="1"/>
  <c r="J294" i="1"/>
  <c r="K294" i="1" s="1"/>
  <c r="F294" i="1"/>
  <c r="D294" i="1"/>
  <c r="B294" i="1"/>
  <c r="N493" i="1"/>
  <c r="O493" i="1" s="1"/>
  <c r="V493" i="1" s="1"/>
  <c r="W493" i="1" s="1"/>
  <c r="J493" i="1"/>
  <c r="K493" i="1" s="1"/>
  <c r="F493" i="1"/>
  <c r="D493" i="1"/>
  <c r="B493" i="1"/>
  <c r="N259" i="1"/>
  <c r="M259" i="1"/>
  <c r="K259" i="1" s="1"/>
  <c r="F259" i="1"/>
  <c r="D259" i="1"/>
  <c r="B259" i="1"/>
  <c r="N273" i="1"/>
  <c r="O273" i="1" s="1"/>
  <c r="V273" i="1" s="1"/>
  <c r="W273" i="1" s="1"/>
  <c r="J273" i="1"/>
  <c r="K273" i="1" s="1"/>
  <c r="F273" i="1"/>
  <c r="D273" i="1"/>
  <c r="B273" i="1"/>
  <c r="N157" i="1"/>
  <c r="O157" i="1" s="1"/>
  <c r="V157" i="1" s="1"/>
  <c r="W157" i="1" s="1"/>
  <c r="J157" i="1"/>
  <c r="K157" i="1" s="1"/>
  <c r="F157" i="1"/>
  <c r="D157" i="1"/>
  <c r="B157" i="1"/>
  <c r="N291" i="1"/>
  <c r="M291" i="1"/>
  <c r="O291" i="1" s="1"/>
  <c r="F291" i="1"/>
  <c r="D291" i="1"/>
  <c r="B291" i="1"/>
  <c r="N280" i="1"/>
  <c r="O280" i="1" s="1"/>
  <c r="J280" i="1"/>
  <c r="K280" i="1" s="1"/>
  <c r="F280" i="1"/>
  <c r="D280" i="1"/>
  <c r="B280" i="1"/>
  <c r="N202" i="1"/>
  <c r="M202" i="1"/>
  <c r="F202" i="1"/>
  <c r="D202" i="1"/>
  <c r="B202" i="1"/>
  <c r="N283" i="1"/>
  <c r="O283" i="1" s="1"/>
  <c r="J283" i="1"/>
  <c r="K283" i="1" s="1"/>
  <c r="F283" i="1"/>
  <c r="D283" i="1"/>
  <c r="B283" i="1"/>
  <c r="N416" i="1"/>
  <c r="M416" i="1"/>
  <c r="K416" i="1" s="1"/>
  <c r="F416" i="1"/>
  <c r="D416" i="1"/>
  <c r="B416" i="1"/>
  <c r="N269" i="1"/>
  <c r="O269" i="1" s="1"/>
  <c r="J269" i="1"/>
  <c r="K269" i="1" s="1"/>
  <c r="F269" i="1"/>
  <c r="D269" i="1"/>
  <c r="B269" i="1"/>
  <c r="N279" i="1"/>
  <c r="O279" i="1" s="1"/>
  <c r="J279" i="1"/>
  <c r="K279" i="1" s="1"/>
  <c r="F279" i="1"/>
  <c r="D279" i="1"/>
  <c r="B279" i="1"/>
  <c r="N286" i="1"/>
  <c r="O286" i="1" s="1"/>
  <c r="J286" i="1"/>
  <c r="K286" i="1" s="1"/>
  <c r="F286" i="1"/>
  <c r="D286" i="1"/>
  <c r="B286" i="1"/>
  <c r="N272" i="1"/>
  <c r="O272" i="1" s="1"/>
  <c r="J272" i="1"/>
  <c r="K272" i="1" s="1"/>
  <c r="F272" i="1"/>
  <c r="D272" i="1"/>
  <c r="B272" i="1"/>
  <c r="N276" i="1"/>
  <c r="O276" i="1" s="1"/>
  <c r="J276" i="1"/>
  <c r="K276" i="1" s="1"/>
  <c r="F276" i="1"/>
  <c r="D276" i="1"/>
  <c r="B276" i="1"/>
  <c r="N271" i="1"/>
  <c r="O271" i="1" s="1"/>
  <c r="J271" i="1"/>
  <c r="K271" i="1" s="1"/>
  <c r="F271" i="1"/>
  <c r="D271" i="1"/>
  <c r="B271" i="1"/>
  <c r="N290" i="1"/>
  <c r="M290" i="1"/>
  <c r="F290" i="1"/>
  <c r="D290" i="1"/>
  <c r="B290" i="1"/>
  <c r="N194" i="1"/>
  <c r="M194" i="1"/>
  <c r="F194" i="1"/>
  <c r="D194" i="1"/>
  <c r="B194" i="1"/>
  <c r="N285" i="1"/>
  <c r="O285" i="1" s="1"/>
  <c r="J285" i="1"/>
  <c r="K285" i="1" s="1"/>
  <c r="F285" i="1"/>
  <c r="D285" i="1"/>
  <c r="B285" i="1"/>
  <c r="N268" i="1"/>
  <c r="O268" i="1" s="1"/>
  <c r="J268" i="1"/>
  <c r="K268" i="1" s="1"/>
  <c r="F268" i="1"/>
  <c r="D268" i="1"/>
  <c r="B268" i="1"/>
  <c r="N203" i="1"/>
  <c r="M203" i="1"/>
  <c r="F203" i="1"/>
  <c r="D203" i="1"/>
  <c r="B203" i="1"/>
  <c r="N275" i="1"/>
  <c r="O275" i="1" s="1"/>
  <c r="J275" i="1"/>
  <c r="K275" i="1" s="1"/>
  <c r="F275" i="1"/>
  <c r="D275" i="1"/>
  <c r="B275" i="1"/>
  <c r="N201" i="1"/>
  <c r="M201" i="1"/>
  <c r="F201" i="1"/>
  <c r="D201" i="1"/>
  <c r="B201" i="1"/>
  <c r="N195" i="1"/>
  <c r="M195" i="1"/>
  <c r="F195" i="1"/>
  <c r="D195" i="1"/>
  <c r="B195" i="1"/>
  <c r="N198" i="1"/>
  <c r="M198" i="1"/>
  <c r="O198" i="1" s="1"/>
  <c r="F198" i="1"/>
  <c r="D198" i="1"/>
  <c r="B198" i="1"/>
  <c r="N490" i="1"/>
  <c r="O490" i="1" s="1"/>
  <c r="V490" i="1" s="1"/>
  <c r="W490" i="1" s="1"/>
  <c r="J490" i="1"/>
  <c r="K490" i="1" s="1"/>
  <c r="F490" i="1"/>
  <c r="D490" i="1"/>
  <c r="B490" i="1"/>
  <c r="N197" i="1"/>
  <c r="M197" i="1"/>
  <c r="O197" i="1" s="1"/>
  <c r="F197" i="1"/>
  <c r="D197" i="1"/>
  <c r="B197" i="1"/>
  <c r="N292" i="1"/>
  <c r="O292" i="1" s="1"/>
  <c r="R292" i="1" s="1"/>
  <c r="J292" i="1"/>
  <c r="K292" i="1" s="1"/>
  <c r="F292" i="1"/>
  <c r="D292" i="1"/>
  <c r="B292" i="1"/>
  <c r="N22" i="1"/>
  <c r="O22" i="1" s="1"/>
  <c r="J22" i="1"/>
  <c r="K22" i="1" s="1"/>
  <c r="F22" i="1"/>
  <c r="D22" i="1"/>
  <c r="B22" i="1"/>
  <c r="N21" i="1"/>
  <c r="O21" i="1" s="1"/>
  <c r="R21" i="1" s="1"/>
  <c r="J21" i="1"/>
  <c r="K21" i="1" s="1"/>
  <c r="F21" i="1"/>
  <c r="D21" i="1"/>
  <c r="B21" i="1"/>
  <c r="N20" i="1"/>
  <c r="O20" i="1" s="1"/>
  <c r="J20" i="1"/>
  <c r="K20" i="1" s="1"/>
  <c r="F20" i="1"/>
  <c r="D20" i="1"/>
  <c r="B20" i="1"/>
  <c r="N224" i="1"/>
  <c r="M224" i="1" s="1"/>
  <c r="F224" i="1"/>
  <c r="D224" i="1"/>
  <c r="B224" i="1"/>
  <c r="N502" i="1"/>
  <c r="O502" i="1" s="1"/>
  <c r="J502" i="1"/>
  <c r="K502" i="1" s="1"/>
  <c r="F502" i="1"/>
  <c r="D502" i="1"/>
  <c r="B502" i="1"/>
  <c r="N468" i="1"/>
  <c r="M468" i="1"/>
  <c r="O468" i="1" s="1"/>
  <c r="F468" i="1"/>
  <c r="D468" i="1"/>
  <c r="B468" i="1"/>
  <c r="N441" i="1"/>
  <c r="O441" i="1" s="1"/>
  <c r="J441" i="1"/>
  <c r="K441" i="1" s="1"/>
  <c r="F441" i="1"/>
  <c r="D441" i="1"/>
  <c r="B441" i="1"/>
  <c r="N220" i="1"/>
  <c r="M220" i="1" s="1"/>
  <c r="F220" i="1"/>
  <c r="D220" i="1"/>
  <c r="B220" i="1"/>
  <c r="M136" i="1"/>
  <c r="O136" i="1" s="1"/>
  <c r="V136" i="1" s="1"/>
  <c r="W136" i="1" s="1"/>
  <c r="X136" i="1" s="1"/>
  <c r="F136" i="1"/>
  <c r="D136" i="1"/>
  <c r="B136" i="1"/>
  <c r="N222" i="1"/>
  <c r="M222" i="1" s="1"/>
  <c r="F222" i="1"/>
  <c r="D222" i="1"/>
  <c r="B222" i="1"/>
  <c r="N500" i="1"/>
  <c r="O500" i="1" s="1"/>
  <c r="R500" i="1" s="1"/>
  <c r="J500" i="1"/>
  <c r="K500" i="1" s="1"/>
  <c r="F500" i="1"/>
  <c r="D500" i="1"/>
  <c r="B500" i="1"/>
  <c r="N444" i="1"/>
  <c r="O444" i="1" s="1"/>
  <c r="R444" i="1" s="1"/>
  <c r="J444" i="1"/>
  <c r="K444" i="1" s="1"/>
  <c r="F444" i="1"/>
  <c r="D444" i="1"/>
  <c r="B444" i="1"/>
  <c r="M369" i="1"/>
  <c r="F369" i="1"/>
  <c r="D369" i="1"/>
  <c r="B369" i="1"/>
  <c r="M137" i="1"/>
  <c r="F137" i="1"/>
  <c r="D137" i="1"/>
  <c r="B137" i="1"/>
  <c r="N501" i="1"/>
  <c r="O501" i="1" s="1"/>
  <c r="J501" i="1"/>
  <c r="K501" i="1" s="1"/>
  <c r="F501" i="1"/>
  <c r="D501" i="1"/>
  <c r="B501" i="1"/>
  <c r="N347" i="1"/>
  <c r="O347" i="1" s="1"/>
  <c r="J347" i="1"/>
  <c r="K347" i="1" s="1"/>
  <c r="F347" i="1"/>
  <c r="D347" i="1"/>
  <c r="B347" i="1"/>
  <c r="N349" i="1"/>
  <c r="O349" i="1" s="1"/>
  <c r="J349" i="1"/>
  <c r="K349" i="1" s="1"/>
  <c r="F349" i="1"/>
  <c r="D349" i="1"/>
  <c r="B349" i="1"/>
  <c r="N348" i="1"/>
  <c r="O348" i="1" s="1"/>
  <c r="R348" i="1" s="1"/>
  <c r="J348" i="1"/>
  <c r="K348" i="1" s="1"/>
  <c r="F348" i="1"/>
  <c r="D348" i="1"/>
  <c r="B348" i="1"/>
  <c r="N344" i="1"/>
  <c r="O344" i="1" s="1"/>
  <c r="J344" i="1"/>
  <c r="K344" i="1" s="1"/>
  <c r="F344" i="1"/>
  <c r="D344" i="1"/>
  <c r="B344" i="1"/>
  <c r="N346" i="1"/>
  <c r="O346" i="1" s="1"/>
  <c r="J346" i="1"/>
  <c r="K346" i="1" s="1"/>
  <c r="F346" i="1"/>
  <c r="D346" i="1"/>
  <c r="B346" i="1"/>
  <c r="N345" i="1"/>
  <c r="O345" i="1" s="1"/>
  <c r="J345" i="1"/>
  <c r="K345" i="1" s="1"/>
  <c r="F345" i="1"/>
  <c r="D345" i="1"/>
  <c r="B345" i="1"/>
  <c r="N262" i="1"/>
  <c r="M262" i="1" s="1"/>
  <c r="F262" i="1"/>
  <c r="D262" i="1"/>
  <c r="B262" i="1"/>
  <c r="M18" i="1"/>
  <c r="F18" i="1"/>
  <c r="D18" i="1"/>
  <c r="B18" i="1"/>
  <c r="N113" i="1"/>
  <c r="M113" i="1" s="1"/>
  <c r="K113" i="1" s="1"/>
  <c r="F113" i="1"/>
  <c r="D113" i="1"/>
  <c r="B113" i="1"/>
  <c r="N509" i="1"/>
  <c r="O509" i="1" s="1"/>
  <c r="J509" i="1"/>
  <c r="K509" i="1" s="1"/>
  <c r="F509" i="1"/>
  <c r="D509" i="1"/>
  <c r="B509" i="1"/>
  <c r="N42" i="1"/>
  <c r="M42" i="1"/>
  <c r="F42" i="1"/>
  <c r="D42" i="1"/>
  <c r="B42" i="1"/>
  <c r="M328" i="1"/>
  <c r="K328" i="1" s="1"/>
  <c r="F328" i="1"/>
  <c r="D328" i="1"/>
  <c r="B328" i="1"/>
  <c r="N506" i="1"/>
  <c r="O506" i="1" s="1"/>
  <c r="V506" i="1" s="1"/>
  <c r="W506" i="1" s="1"/>
  <c r="J506" i="1"/>
  <c r="K506" i="1" s="1"/>
  <c r="F506" i="1"/>
  <c r="D506" i="1"/>
  <c r="B506" i="1"/>
  <c r="N508" i="1"/>
  <c r="O508" i="1" s="1"/>
  <c r="J508" i="1"/>
  <c r="K508" i="1" s="1"/>
  <c r="F508" i="1"/>
  <c r="D508" i="1"/>
  <c r="B508" i="1"/>
  <c r="M51" i="1"/>
  <c r="K51" i="1" s="1"/>
  <c r="F51" i="1"/>
  <c r="D51" i="1"/>
  <c r="B51" i="1"/>
  <c r="N166" i="1"/>
  <c r="M166" i="1" s="1"/>
  <c r="F166" i="1"/>
  <c r="D166" i="1"/>
  <c r="B166" i="1"/>
  <c r="N440" i="1"/>
  <c r="O440" i="1" s="1"/>
  <c r="J440" i="1"/>
  <c r="K440" i="1" s="1"/>
  <c r="F440" i="1"/>
  <c r="D440" i="1"/>
  <c r="B440" i="1"/>
  <c r="O331" i="1"/>
  <c r="V331" i="1" s="1"/>
  <c r="W331" i="1" s="1"/>
  <c r="X331" i="1" s="1"/>
  <c r="Z331" i="1" s="1"/>
  <c r="K331" i="1"/>
  <c r="F331" i="1"/>
  <c r="D331" i="1"/>
  <c r="B331" i="1"/>
  <c r="M333" i="1"/>
  <c r="O333" i="1" s="1"/>
  <c r="V333" i="1" s="1"/>
  <c r="W333" i="1" s="1"/>
  <c r="F333" i="1"/>
  <c r="D333" i="1"/>
  <c r="B333" i="1"/>
  <c r="V121" i="1"/>
  <c r="W121" i="1" s="1"/>
  <c r="X121" i="1" s="1"/>
  <c r="Z121" i="1" s="1"/>
  <c r="F121" i="1"/>
  <c r="D121" i="1"/>
  <c r="B121" i="1"/>
  <c r="M330" i="1"/>
  <c r="K330" i="1" s="1"/>
  <c r="F330" i="1"/>
  <c r="D330" i="1"/>
  <c r="B330" i="1"/>
  <c r="N499" i="1"/>
  <c r="M499" i="1"/>
  <c r="K499" i="1" s="1"/>
  <c r="F499" i="1"/>
  <c r="D499" i="1"/>
  <c r="B499" i="1"/>
  <c r="M329" i="1"/>
  <c r="F329" i="1"/>
  <c r="D329" i="1"/>
  <c r="B329" i="1"/>
  <c r="N177" i="1"/>
  <c r="M177" i="1" s="1"/>
  <c r="F177" i="1"/>
  <c r="D177" i="1"/>
  <c r="B177" i="1"/>
  <c r="N248" i="1"/>
  <c r="O248" i="1" s="1"/>
  <c r="K248" i="1"/>
  <c r="F248" i="1"/>
  <c r="D248" i="1"/>
  <c r="B248" i="1"/>
  <c r="N266" i="1"/>
  <c r="M266" i="1" s="1"/>
  <c r="F266" i="1"/>
  <c r="D266" i="1"/>
  <c r="B266" i="1"/>
  <c r="M52" i="1"/>
  <c r="O52" i="1" s="1"/>
  <c r="R52" i="1" s="1"/>
  <c r="F52" i="1"/>
  <c r="D52" i="1"/>
  <c r="B52" i="1"/>
  <c r="N264" i="1"/>
  <c r="M264" i="1"/>
  <c r="F264" i="1"/>
  <c r="D264" i="1"/>
  <c r="B264" i="1"/>
  <c r="N135" i="1"/>
  <c r="M135" i="1" s="1"/>
  <c r="F135" i="1"/>
  <c r="D135" i="1"/>
  <c r="B135" i="1"/>
  <c r="N267" i="1"/>
  <c r="M267" i="1" s="1"/>
  <c r="F267" i="1"/>
  <c r="D267" i="1"/>
  <c r="B267" i="1"/>
  <c r="N81" i="1"/>
  <c r="M81" i="1" s="1"/>
  <c r="F81" i="1"/>
  <c r="D81" i="1"/>
  <c r="B81" i="1"/>
  <c r="N43" i="1"/>
  <c r="M43" i="1" s="1"/>
  <c r="F43" i="1"/>
  <c r="D43" i="1"/>
  <c r="B43" i="1"/>
  <c r="N253" i="1"/>
  <c r="O253" i="1" s="1"/>
  <c r="J253" i="1"/>
  <c r="K253" i="1" s="1"/>
  <c r="F253" i="1"/>
  <c r="D253" i="1"/>
  <c r="B253" i="1"/>
  <c r="N130" i="1"/>
  <c r="M130" i="1" s="1"/>
  <c r="F130" i="1"/>
  <c r="D130" i="1"/>
  <c r="B130" i="1"/>
  <c r="N263" i="1"/>
  <c r="M263" i="1" s="1"/>
  <c r="F263" i="1"/>
  <c r="D263" i="1"/>
  <c r="B263" i="1"/>
  <c r="N160" i="1"/>
  <c r="M160" i="1" s="1"/>
  <c r="F160" i="1"/>
  <c r="D160" i="1"/>
  <c r="B160" i="1"/>
  <c r="N167" i="1"/>
  <c r="M167" i="1" s="1"/>
  <c r="F167" i="1"/>
  <c r="D167" i="1"/>
  <c r="B167" i="1"/>
  <c r="N313" i="1"/>
  <c r="M313" i="1" s="1"/>
  <c r="F313" i="1"/>
  <c r="D313" i="1"/>
  <c r="B313" i="1"/>
  <c r="N164" i="1"/>
  <c r="M164" i="1" s="1"/>
  <c r="F164" i="1"/>
  <c r="D164" i="1"/>
  <c r="B164" i="1"/>
  <c r="N35" i="1"/>
  <c r="M35" i="1" s="1"/>
  <c r="O35" i="1" s="1"/>
  <c r="V35" i="1" s="1"/>
  <c r="W35" i="1" s="1"/>
  <c r="F35" i="1"/>
  <c r="D35" i="1"/>
  <c r="B35" i="1"/>
  <c r="N41" i="1"/>
  <c r="M41" i="1"/>
  <c r="O41" i="1" s="1"/>
  <c r="V41" i="1" s="1"/>
  <c r="W41" i="1" s="1"/>
  <c r="F41" i="1"/>
  <c r="D41" i="1"/>
  <c r="B41" i="1"/>
  <c r="N503" i="1"/>
  <c r="M503" i="1" s="1"/>
  <c r="F503" i="1"/>
  <c r="D503" i="1"/>
  <c r="B503" i="1"/>
  <c r="N249" i="1"/>
  <c r="O249" i="1" s="1"/>
  <c r="J249" i="1"/>
  <c r="K249" i="1" s="1"/>
  <c r="F249" i="1"/>
  <c r="D249" i="1"/>
  <c r="B249" i="1"/>
  <c r="N129" i="1"/>
  <c r="M129" i="1" s="1"/>
  <c r="F129" i="1"/>
  <c r="D129" i="1"/>
  <c r="B129" i="1"/>
  <c r="N163" i="1"/>
  <c r="M163" i="1"/>
  <c r="O163" i="1" s="1"/>
  <c r="V163" i="1" s="1"/>
  <c r="W163" i="1" s="1"/>
  <c r="F163" i="1"/>
  <c r="D163" i="1"/>
  <c r="B163" i="1"/>
  <c r="N461" i="1"/>
  <c r="M461" i="1" s="1"/>
  <c r="F461" i="1"/>
  <c r="D461" i="1"/>
  <c r="B461" i="1"/>
  <c r="N247" i="1"/>
  <c r="O247" i="1" s="1"/>
  <c r="J247" i="1"/>
  <c r="K247" i="1" s="1"/>
  <c r="F247" i="1"/>
  <c r="D247" i="1"/>
  <c r="B247" i="1"/>
  <c r="M53" i="1"/>
  <c r="F53" i="1"/>
  <c r="D53" i="1"/>
  <c r="B53" i="1"/>
  <c r="M23" i="1"/>
  <c r="K23" i="1" s="1"/>
  <c r="F23" i="1"/>
  <c r="D23" i="1"/>
  <c r="B23" i="1"/>
  <c r="N131" i="1"/>
  <c r="M131" i="1" s="1"/>
  <c r="O131" i="1" s="1"/>
  <c r="V131" i="1" s="1"/>
  <c r="W131" i="1" s="1"/>
  <c r="X131" i="1" s="1"/>
  <c r="F131" i="1"/>
  <c r="D131" i="1"/>
  <c r="B131" i="1"/>
  <c r="N133" i="1"/>
  <c r="M133" i="1"/>
  <c r="F133" i="1"/>
  <c r="D133" i="1"/>
  <c r="B133" i="1"/>
  <c r="N254" i="1"/>
  <c r="O254" i="1" s="1"/>
  <c r="R254" i="1" s="1"/>
  <c r="J254" i="1"/>
  <c r="K254" i="1" s="1"/>
  <c r="F254" i="1"/>
  <c r="D254" i="1"/>
  <c r="B254" i="1"/>
  <c r="N245" i="1"/>
  <c r="O245" i="1" s="1"/>
  <c r="J245" i="1"/>
  <c r="K245" i="1" s="1"/>
  <c r="F245" i="1"/>
  <c r="D245" i="1"/>
  <c r="B245" i="1"/>
  <c r="N265" i="1"/>
  <c r="M265" i="1" s="1"/>
  <c r="F265" i="1"/>
  <c r="D265" i="1"/>
  <c r="B265" i="1"/>
  <c r="N252" i="1"/>
  <c r="O252" i="1" s="1"/>
  <c r="J252" i="1"/>
  <c r="K252" i="1" s="1"/>
  <c r="F252" i="1"/>
  <c r="D252" i="1"/>
  <c r="B252" i="1"/>
  <c r="N258" i="1"/>
  <c r="O258" i="1" s="1"/>
  <c r="V258" i="1" s="1"/>
  <c r="W258" i="1" s="1"/>
  <c r="J258" i="1"/>
  <c r="K258" i="1" s="1"/>
  <c r="F258" i="1"/>
  <c r="D258" i="1"/>
  <c r="B258" i="1"/>
  <c r="N255" i="1"/>
  <c r="O255" i="1" s="1"/>
  <c r="J255" i="1"/>
  <c r="K255" i="1" s="1"/>
  <c r="F255" i="1"/>
  <c r="D255" i="1"/>
  <c r="B255" i="1"/>
  <c r="N257" i="1"/>
  <c r="O257" i="1" s="1"/>
  <c r="J257" i="1"/>
  <c r="K257" i="1" s="1"/>
  <c r="F257" i="1"/>
  <c r="D257" i="1"/>
  <c r="B257" i="1"/>
  <c r="N132" i="1"/>
  <c r="M132" i="1" s="1"/>
  <c r="O132" i="1" s="1"/>
  <c r="V132" i="1" s="1"/>
  <c r="W132" i="1" s="1"/>
  <c r="X132" i="1" s="1"/>
  <c r="F132" i="1"/>
  <c r="D132" i="1"/>
  <c r="B132" i="1"/>
  <c r="M335" i="1"/>
  <c r="K335" i="1" s="1"/>
  <c r="F335" i="1"/>
  <c r="D335" i="1"/>
  <c r="B335" i="1"/>
  <c r="M464" i="1"/>
  <c r="F464" i="1"/>
  <c r="D464" i="1"/>
  <c r="B464" i="1"/>
  <c r="N14" i="1"/>
  <c r="M14" i="1" s="1"/>
  <c r="F14" i="1"/>
  <c r="D14" i="1"/>
  <c r="B14" i="1"/>
  <c r="N239" i="1"/>
  <c r="O239" i="1" s="1"/>
  <c r="V239" i="1" s="1"/>
  <c r="W239" i="1" s="1"/>
  <c r="J239" i="1"/>
  <c r="K239" i="1" s="1"/>
  <c r="F239" i="1"/>
  <c r="D239" i="1"/>
  <c r="B239" i="1"/>
  <c r="N33" i="1"/>
  <c r="M33" i="1" s="1"/>
  <c r="K33" i="1" s="1"/>
  <c r="F33" i="1"/>
  <c r="D33" i="1"/>
  <c r="B33" i="1"/>
  <c r="N11" i="1"/>
  <c r="M11" i="1" s="1"/>
  <c r="K11" i="1" s="1"/>
  <c r="F11" i="1"/>
  <c r="D11" i="1"/>
  <c r="B11" i="1"/>
  <c r="N71" i="1"/>
  <c r="M71" i="1"/>
  <c r="O71" i="1" s="1"/>
  <c r="R71" i="1" s="1"/>
  <c r="F71" i="1"/>
  <c r="D71" i="1"/>
  <c r="B71" i="1"/>
  <c r="N73" i="1"/>
  <c r="M73" i="1" s="1"/>
  <c r="F73" i="1"/>
  <c r="D73" i="1"/>
  <c r="B73" i="1"/>
  <c r="N310" i="1"/>
  <c r="M310" i="1" s="1"/>
  <c r="F310" i="1"/>
  <c r="D310" i="1"/>
  <c r="B310" i="1"/>
  <c r="N149" i="1"/>
  <c r="M149" i="1" s="1"/>
  <c r="K149" i="1" s="1"/>
  <c r="F149" i="1"/>
  <c r="D149" i="1"/>
  <c r="B149" i="1"/>
  <c r="M368" i="1"/>
  <c r="O368" i="1" s="1"/>
  <c r="V368" i="1" s="1"/>
  <c r="W368" i="1" s="1"/>
  <c r="X368" i="1" s="1"/>
  <c r="F368" i="1"/>
  <c r="D368" i="1"/>
  <c r="B368" i="1"/>
  <c r="N58" i="1"/>
  <c r="M58" i="1" s="1"/>
  <c r="F58" i="1"/>
  <c r="D58" i="1"/>
  <c r="B58" i="1"/>
  <c r="N60" i="1"/>
  <c r="M60" i="1"/>
  <c r="O60" i="1" s="1"/>
  <c r="R60" i="1" s="1"/>
  <c r="F60" i="1"/>
  <c r="D60" i="1"/>
  <c r="B60" i="1"/>
  <c r="N55" i="1"/>
  <c r="M55" i="1" s="1"/>
  <c r="O55" i="1" s="1"/>
  <c r="F55" i="1"/>
  <c r="D55" i="1"/>
  <c r="B55" i="1"/>
  <c r="N56" i="1"/>
  <c r="M56" i="1"/>
  <c r="F56" i="1"/>
  <c r="D56" i="1"/>
  <c r="B56" i="1"/>
  <c r="N32" i="1"/>
  <c r="M32" i="1" s="1"/>
  <c r="F32" i="1"/>
  <c r="D32" i="1"/>
  <c r="B32" i="1"/>
  <c r="N309" i="1"/>
  <c r="M309" i="1" s="1"/>
  <c r="K309" i="1" s="1"/>
  <c r="F309" i="1"/>
  <c r="D309" i="1"/>
  <c r="B309" i="1"/>
  <c r="M465" i="1"/>
  <c r="K465" i="1" s="1"/>
  <c r="F465" i="1"/>
  <c r="D465" i="1"/>
  <c r="B465" i="1"/>
  <c r="N31" i="1"/>
  <c r="M31" i="1" s="1"/>
  <c r="O31" i="1" s="1"/>
  <c r="V31" i="1" s="1"/>
  <c r="W31" i="1" s="1"/>
  <c r="X31" i="1" s="1"/>
  <c r="F31" i="1"/>
  <c r="D31" i="1"/>
  <c r="B31" i="1"/>
  <c r="N72" i="1"/>
  <c r="M72" i="1" s="1"/>
  <c r="F72" i="1"/>
  <c r="D72" i="1"/>
  <c r="B72" i="1"/>
  <c r="N30" i="1"/>
  <c r="M30" i="1" s="1"/>
  <c r="K30" i="1" s="1"/>
  <c r="F30" i="1"/>
  <c r="D30" i="1"/>
  <c r="B30" i="1"/>
  <c r="N26" i="1"/>
  <c r="M26" i="1"/>
  <c r="K26" i="1" s="1"/>
  <c r="F26" i="1"/>
  <c r="D26" i="1"/>
  <c r="B26" i="1"/>
  <c r="N256" i="1"/>
  <c r="O256" i="1" s="1"/>
  <c r="R256" i="1" s="1"/>
  <c r="J256" i="1"/>
  <c r="K256" i="1" s="1"/>
  <c r="F256" i="1"/>
  <c r="D256" i="1"/>
  <c r="B256" i="1"/>
  <c r="N306" i="1"/>
  <c r="M306" i="1"/>
  <c r="F306" i="1"/>
  <c r="D306" i="1"/>
  <c r="B306" i="1"/>
  <c r="N251" i="1"/>
  <c r="O251" i="1" s="1"/>
  <c r="J251" i="1"/>
  <c r="K251" i="1" s="1"/>
  <c r="F251" i="1"/>
  <c r="D251" i="1"/>
  <c r="B251" i="1"/>
  <c r="N36" i="1"/>
  <c r="M36" i="1" s="1"/>
  <c r="F36" i="1"/>
  <c r="D36" i="1"/>
  <c r="B36" i="1"/>
  <c r="N187" i="1"/>
  <c r="M187" i="1"/>
  <c r="F187" i="1"/>
  <c r="D187" i="1"/>
  <c r="B187" i="1"/>
  <c r="N75" i="1"/>
  <c r="M75" i="1" s="1"/>
  <c r="F75" i="1"/>
  <c r="D75" i="1"/>
  <c r="B75" i="1"/>
  <c r="V68" i="1"/>
  <c r="W68" i="1" s="1"/>
  <c r="X68" i="1" s="1"/>
  <c r="F68" i="1"/>
  <c r="D68" i="1"/>
  <c r="B68" i="1"/>
  <c r="V67" i="1"/>
  <c r="W67" i="1" s="1"/>
  <c r="F67" i="1"/>
  <c r="D67" i="1"/>
  <c r="B67" i="1"/>
  <c r="V69" i="1"/>
  <c r="W69" i="1" s="1"/>
  <c r="F69" i="1"/>
  <c r="D69" i="1"/>
  <c r="B69" i="1"/>
  <c r="N70" i="1"/>
  <c r="M70" i="1" s="1"/>
  <c r="O70" i="1" s="1"/>
  <c r="R70" i="1" s="1"/>
  <c r="F70" i="1"/>
  <c r="D70" i="1"/>
  <c r="B70" i="1"/>
  <c r="N120" i="1"/>
  <c r="M120" i="1"/>
  <c r="O120" i="1" s="1"/>
  <c r="R120" i="1" s="1"/>
  <c r="F120" i="1"/>
  <c r="D120" i="1"/>
  <c r="B120" i="1"/>
  <c r="N134" i="1"/>
  <c r="M134" i="1" s="1"/>
  <c r="F134" i="1"/>
  <c r="D134" i="1"/>
  <c r="B134" i="1"/>
  <c r="N358" i="1"/>
  <c r="M358" i="1" s="1"/>
  <c r="O358" i="1" s="1"/>
  <c r="V358" i="1" s="1"/>
  <c r="W358" i="1" s="1"/>
  <c r="X358" i="1" s="1"/>
  <c r="F358" i="1"/>
  <c r="D358" i="1"/>
  <c r="B358" i="1"/>
  <c r="N356" i="1"/>
  <c r="M356" i="1" s="1"/>
  <c r="F356" i="1"/>
  <c r="D356" i="1"/>
  <c r="B356" i="1"/>
  <c r="N473" i="1"/>
  <c r="M473" i="1" s="1"/>
  <c r="F473" i="1"/>
  <c r="D473" i="1"/>
  <c r="B473" i="1"/>
  <c r="N302" i="1"/>
  <c r="M302" i="1" s="1"/>
  <c r="F302" i="1"/>
  <c r="D302" i="1"/>
  <c r="B302" i="1"/>
  <c r="N357" i="1"/>
  <c r="M357" i="1" s="1"/>
  <c r="F357" i="1"/>
  <c r="D357" i="1"/>
  <c r="B357" i="1"/>
  <c r="N360" i="1"/>
  <c r="M360" i="1" s="1"/>
  <c r="F360" i="1"/>
  <c r="D360" i="1"/>
  <c r="B360" i="1"/>
  <c r="N352" i="1"/>
  <c r="M352" i="1"/>
  <c r="O352" i="1" s="1"/>
  <c r="F352" i="1"/>
  <c r="D352" i="1"/>
  <c r="B352" i="1"/>
  <c r="N353" i="1"/>
  <c r="M353" i="1" s="1"/>
  <c r="F353" i="1"/>
  <c r="D353" i="1"/>
  <c r="B353" i="1"/>
  <c r="N477" i="1"/>
  <c r="M477" i="1" s="1"/>
  <c r="O477" i="1" s="1"/>
  <c r="F477" i="1"/>
  <c r="D477" i="1"/>
  <c r="B477" i="1"/>
  <c r="V77" i="1"/>
  <c r="W77" i="1" s="1"/>
  <c r="R77" i="1"/>
  <c r="F77" i="1"/>
  <c r="D77" i="1"/>
  <c r="B77" i="1"/>
  <c r="N304" i="1"/>
  <c r="M304" i="1" s="1"/>
  <c r="F304" i="1"/>
  <c r="D304" i="1"/>
  <c r="B304" i="1"/>
  <c r="N351" i="1"/>
  <c r="M351" i="1" s="1"/>
  <c r="F351" i="1"/>
  <c r="D351" i="1"/>
  <c r="B351" i="1"/>
  <c r="N359" i="1"/>
  <c r="M359" i="1"/>
  <c r="F359" i="1"/>
  <c r="D359" i="1"/>
  <c r="B359" i="1"/>
  <c r="N234" i="1"/>
  <c r="M234" i="1" s="1"/>
  <c r="O234" i="1" s="1"/>
  <c r="V234" i="1" s="1"/>
  <c r="W234" i="1" s="1"/>
  <c r="F234" i="1"/>
  <c r="D234" i="1"/>
  <c r="B234" i="1"/>
  <c r="N355" i="1"/>
  <c r="M355" i="1" s="1"/>
  <c r="F355" i="1"/>
  <c r="D355" i="1"/>
  <c r="B355" i="1"/>
  <c r="N9" i="1"/>
  <c r="M9" i="1"/>
  <c r="K9" i="1" s="1"/>
  <c r="F9" i="1"/>
  <c r="D9" i="1"/>
  <c r="B9" i="1"/>
  <c r="N63" i="1"/>
  <c r="J63" i="1"/>
  <c r="F63" i="1"/>
  <c r="D63" i="1"/>
  <c r="B63" i="1"/>
  <c r="N480" i="1"/>
  <c r="M480" i="1" s="1"/>
  <c r="K480" i="1" s="1"/>
  <c r="F480" i="1"/>
  <c r="D480" i="1"/>
  <c r="B480" i="1"/>
  <c r="N474" i="1"/>
  <c r="M474" i="1"/>
  <c r="O474" i="1" s="1"/>
  <c r="R474" i="1" s="1"/>
  <c r="F474" i="1"/>
  <c r="D474" i="1"/>
  <c r="B474" i="1"/>
  <c r="N231" i="1"/>
  <c r="M231" i="1" s="1"/>
  <c r="F231" i="1"/>
  <c r="D231" i="1"/>
  <c r="B231" i="1"/>
  <c r="N478" i="1"/>
  <c r="M478" i="1" s="1"/>
  <c r="F478" i="1"/>
  <c r="D478" i="1"/>
  <c r="B478" i="1"/>
  <c r="N354" i="1"/>
  <c r="M354" i="1" s="1"/>
  <c r="O354" i="1" s="1"/>
  <c r="R354" i="1" s="1"/>
  <c r="F354" i="1"/>
  <c r="D354" i="1"/>
  <c r="B354" i="1"/>
  <c r="N154" i="1"/>
  <c r="M154" i="1" s="1"/>
  <c r="O154" i="1" s="1"/>
  <c r="R154" i="1" s="1"/>
  <c r="F154" i="1"/>
  <c r="D154" i="1"/>
  <c r="B154" i="1"/>
  <c r="N155" i="1"/>
  <c r="M155" i="1" s="1"/>
  <c r="F155" i="1"/>
  <c r="D155" i="1"/>
  <c r="B155" i="1"/>
  <c r="N260" i="1"/>
  <c r="M260" i="1"/>
  <c r="F260" i="1"/>
  <c r="D260" i="1"/>
  <c r="B260" i="1"/>
  <c r="N146" i="1"/>
  <c r="M146" i="1" s="1"/>
  <c r="F146" i="1"/>
  <c r="D146" i="1"/>
  <c r="B146" i="1"/>
  <c r="O6" i="1"/>
  <c r="V6" i="1" s="1"/>
  <c r="W6" i="1" s="1"/>
  <c r="N6" i="1"/>
  <c r="J6" i="1"/>
  <c r="K6" i="1" s="1"/>
  <c r="F6" i="1"/>
  <c r="D6" i="1"/>
  <c r="B6" i="1"/>
  <c r="N458" i="1"/>
  <c r="M458" i="1" s="1"/>
  <c r="F458" i="1"/>
  <c r="D458" i="1"/>
  <c r="B458" i="1"/>
  <c r="N84" i="1"/>
  <c r="M84" i="1" s="1"/>
  <c r="O84" i="1" s="1"/>
  <c r="F84" i="1"/>
  <c r="D84" i="1"/>
  <c r="B84" i="1"/>
  <c r="N17" i="1"/>
  <c r="M17" i="1" s="1"/>
  <c r="F17" i="1"/>
  <c r="D17" i="1"/>
  <c r="B17" i="1"/>
  <c r="N15" i="1"/>
  <c r="M15" i="1" s="1"/>
  <c r="F15" i="1"/>
  <c r="D15" i="1"/>
  <c r="B15" i="1"/>
  <c r="N86" i="1"/>
  <c r="M86" i="1" s="1"/>
  <c r="F86" i="1"/>
  <c r="D86" i="1"/>
  <c r="B86" i="1"/>
  <c r="N423" i="1"/>
  <c r="O423" i="1" s="1"/>
  <c r="R423" i="1" s="1"/>
  <c r="J423" i="1"/>
  <c r="K423" i="1" s="1"/>
  <c r="F423" i="1"/>
  <c r="D423" i="1"/>
  <c r="B423" i="1"/>
  <c r="N382" i="1"/>
  <c r="M382" i="1" s="1"/>
  <c r="F382" i="1"/>
  <c r="D382" i="1"/>
  <c r="B382" i="1"/>
  <c r="N377" i="1"/>
  <c r="M377" i="1" s="1"/>
  <c r="F377" i="1"/>
  <c r="D377" i="1"/>
  <c r="B377" i="1"/>
  <c r="N79" i="1"/>
  <c r="O79" i="1" s="1"/>
  <c r="V79" i="1" s="1"/>
  <c r="W79" i="1" s="1"/>
  <c r="J79" i="1"/>
  <c r="K79" i="1" s="1"/>
  <c r="F79" i="1"/>
  <c r="D79" i="1"/>
  <c r="B79" i="1"/>
  <c r="N261" i="1"/>
  <c r="M261" i="1"/>
  <c r="O261" i="1" s="1"/>
  <c r="F261" i="1"/>
  <c r="D261" i="1"/>
  <c r="B261" i="1"/>
  <c r="N90" i="1"/>
  <c r="M90" i="1" s="1"/>
  <c r="O90" i="1" s="1"/>
  <c r="F90" i="1"/>
  <c r="D90" i="1"/>
  <c r="B90" i="1"/>
  <c r="N83" i="1"/>
  <c r="M83" i="1" s="1"/>
  <c r="K83" i="1" s="1"/>
  <c r="F83" i="1"/>
  <c r="D83" i="1"/>
  <c r="B83" i="1"/>
  <c r="N92" i="1"/>
  <c r="O92" i="1" s="1"/>
  <c r="J92" i="1"/>
  <c r="K92" i="1" s="1"/>
  <c r="F92" i="1"/>
  <c r="D92" i="1"/>
  <c r="B92" i="1"/>
  <c r="N91" i="1"/>
  <c r="M91" i="1" s="1"/>
  <c r="K91" i="1" s="1"/>
  <c r="F91" i="1"/>
  <c r="D91" i="1"/>
  <c r="B91" i="1"/>
  <c r="N326" i="1"/>
  <c r="M326" i="1" s="1"/>
  <c r="K326" i="1" s="1"/>
  <c r="F326" i="1"/>
  <c r="D326" i="1"/>
  <c r="B326" i="1"/>
  <c r="N88" i="1"/>
  <c r="M88" i="1" s="1"/>
  <c r="F88" i="1"/>
  <c r="D88" i="1"/>
  <c r="B88" i="1"/>
  <c r="N471" i="1"/>
  <c r="M471" i="1" s="1"/>
  <c r="K471" i="1" s="1"/>
  <c r="F471" i="1"/>
  <c r="D471" i="1"/>
  <c r="B471" i="1"/>
  <c r="N215" i="1"/>
  <c r="M215" i="1" s="1"/>
  <c r="O215" i="1" s="1"/>
  <c r="F215" i="1"/>
  <c r="D215" i="1"/>
  <c r="B215" i="1"/>
  <c r="N66" i="1"/>
  <c r="M66" i="1" s="1"/>
  <c r="K66" i="1" s="1"/>
  <c r="F66" i="1"/>
  <c r="D66" i="1"/>
  <c r="B66" i="1"/>
  <c r="N384" i="1"/>
  <c r="M384" i="1" s="1"/>
  <c r="F384" i="1"/>
  <c r="D384" i="1"/>
  <c r="B384" i="1"/>
  <c r="N153" i="1"/>
  <c r="O153" i="1" s="1"/>
  <c r="J153" i="1"/>
  <c r="K153" i="1" s="1"/>
  <c r="F153" i="1"/>
  <c r="D153" i="1"/>
  <c r="B153" i="1"/>
  <c r="N469" i="1"/>
  <c r="M469" i="1" s="1"/>
  <c r="O469" i="1" s="1"/>
  <c r="R469" i="1" s="1"/>
  <c r="F469" i="1"/>
  <c r="D469" i="1"/>
  <c r="B469" i="1"/>
  <c r="N370" i="1"/>
  <c r="M370" i="1"/>
  <c r="F370" i="1"/>
  <c r="D370" i="1"/>
  <c r="B370" i="1"/>
  <c r="N383" i="1"/>
  <c r="M383" i="1" s="1"/>
  <c r="K383" i="1" s="1"/>
  <c r="F383" i="1"/>
  <c r="D383" i="1"/>
  <c r="B383" i="1"/>
  <c r="N8" i="1"/>
  <c r="M8" i="1"/>
  <c r="K8" i="1" s="1"/>
  <c r="F8" i="1"/>
  <c r="D8" i="1"/>
  <c r="B8" i="1"/>
  <c r="M82" i="1"/>
  <c r="O82" i="1" s="1"/>
  <c r="R82" i="1" s="1"/>
  <c r="F82" i="1"/>
  <c r="D82" i="1"/>
  <c r="B82" i="1"/>
  <c r="N85" i="1"/>
  <c r="M85" i="1" s="1"/>
  <c r="O85" i="1" s="1"/>
  <c r="F85" i="1"/>
  <c r="D85" i="1"/>
  <c r="B85" i="1"/>
  <c r="N436" i="1"/>
  <c r="M436" i="1" s="1"/>
  <c r="K436" i="1" s="1"/>
  <c r="F436" i="1"/>
  <c r="D436" i="1"/>
  <c r="B436" i="1"/>
  <c r="N435" i="1"/>
  <c r="M435" i="1" s="1"/>
  <c r="F435" i="1"/>
  <c r="D435" i="1"/>
  <c r="B435" i="1"/>
  <c r="N156" i="1"/>
  <c r="O156" i="1" s="1"/>
  <c r="J156" i="1"/>
  <c r="K156" i="1" s="1"/>
  <c r="F156" i="1"/>
  <c r="D156" i="1"/>
  <c r="B156" i="1"/>
  <c r="N381" i="1"/>
  <c r="M381" i="1" s="1"/>
  <c r="F381" i="1"/>
  <c r="D381" i="1"/>
  <c r="B381" i="1"/>
  <c r="N438" i="1"/>
  <c r="M438" i="1" s="1"/>
  <c r="O438" i="1" s="1"/>
  <c r="R438" i="1" s="1"/>
  <c r="F438" i="1"/>
  <c r="D438" i="1"/>
  <c r="B438" i="1"/>
  <c r="N375" i="1"/>
  <c r="M375" i="1"/>
  <c r="F375" i="1"/>
  <c r="D375" i="1"/>
  <c r="B375" i="1"/>
  <c r="O94" i="1"/>
  <c r="N94" i="1"/>
  <c r="J94" i="1"/>
  <c r="K94" i="1" s="1"/>
  <c r="F94" i="1"/>
  <c r="D94" i="1"/>
  <c r="B94" i="1"/>
  <c r="N437" i="1"/>
  <c r="M437" i="1" s="1"/>
  <c r="F437" i="1"/>
  <c r="D437" i="1"/>
  <c r="B437" i="1"/>
  <c r="N147" i="1"/>
  <c r="M147" i="1" s="1"/>
  <c r="K147" i="1" s="1"/>
  <c r="F147" i="1"/>
  <c r="D147" i="1"/>
  <c r="B147" i="1"/>
  <c r="N28" i="1"/>
  <c r="O28" i="1" s="1"/>
  <c r="J28" i="1"/>
  <c r="K28" i="1" s="1"/>
  <c r="F28" i="1"/>
  <c r="D28" i="1"/>
  <c r="B28" i="1"/>
  <c r="V65" i="1"/>
  <c r="W65" i="1" s="1"/>
  <c r="F65" i="1"/>
  <c r="D65" i="1"/>
  <c r="B65" i="1"/>
  <c r="M148" i="1"/>
  <c r="K148" i="1" s="1"/>
  <c r="F148" i="1"/>
  <c r="D148" i="1"/>
  <c r="B148" i="1"/>
  <c r="N5" i="1"/>
  <c r="O5" i="1" s="1"/>
  <c r="J5" i="1"/>
  <c r="K5" i="1" s="1"/>
  <c r="F5" i="1"/>
  <c r="D5" i="1"/>
  <c r="B5" i="1"/>
  <c r="M305" i="1"/>
  <c r="K305" i="1" s="1"/>
  <c r="F305" i="1"/>
  <c r="D305" i="1"/>
  <c r="B305" i="1"/>
  <c r="N475" i="1"/>
  <c r="M475" i="1" s="1"/>
  <c r="K475" i="1" s="1"/>
  <c r="F475" i="1"/>
  <c r="D475" i="1"/>
  <c r="B475" i="1"/>
  <c r="N385" i="1"/>
  <c r="M385" i="1" s="1"/>
  <c r="F385" i="1"/>
  <c r="D385" i="1"/>
  <c r="B385" i="1"/>
  <c r="N299" i="1"/>
  <c r="M299" i="1" s="1"/>
  <c r="K299" i="1" s="1"/>
  <c r="F299" i="1"/>
  <c r="D299" i="1"/>
  <c r="B299" i="1"/>
  <c r="N89" i="1"/>
  <c r="M89" i="1" s="1"/>
  <c r="F89" i="1"/>
  <c r="D89" i="1"/>
  <c r="B89" i="1"/>
  <c r="N118" i="1"/>
  <c r="M118" i="1"/>
  <c r="F118" i="1"/>
  <c r="D118" i="1"/>
  <c r="B118" i="1"/>
  <c r="N380" i="1"/>
  <c r="M380" i="1" s="1"/>
  <c r="F380" i="1"/>
  <c r="D380" i="1"/>
  <c r="B380" i="1"/>
  <c r="O78" i="1"/>
  <c r="V78" i="1" s="1"/>
  <c r="W78" i="1" s="1"/>
  <c r="N78" i="1"/>
  <c r="J78" i="1"/>
  <c r="K78" i="1" s="1"/>
  <c r="F78" i="1"/>
  <c r="D78" i="1"/>
  <c r="B78" i="1"/>
  <c r="N301" i="1"/>
  <c r="M301" i="1" s="1"/>
  <c r="F301" i="1"/>
  <c r="D301" i="1"/>
  <c r="B301" i="1"/>
  <c r="N303" i="1"/>
  <c r="M303" i="1" s="1"/>
  <c r="O303" i="1" s="1"/>
  <c r="R303" i="1" s="1"/>
  <c r="F303" i="1"/>
  <c r="D303" i="1"/>
  <c r="B303" i="1"/>
  <c r="N496" i="1"/>
  <c r="M496" i="1" s="1"/>
  <c r="K496" i="1" s="1"/>
  <c r="F496" i="1"/>
  <c r="D496" i="1"/>
  <c r="B496" i="1"/>
  <c r="N300" i="1"/>
  <c r="M300" i="1" s="1"/>
  <c r="F300" i="1"/>
  <c r="D300" i="1"/>
  <c r="B300" i="1"/>
  <c r="N470" i="1"/>
  <c r="M470" i="1" s="1"/>
  <c r="O470" i="1" s="1"/>
  <c r="R470" i="1" s="1"/>
  <c r="F470" i="1"/>
  <c r="D470" i="1"/>
  <c r="B470" i="1"/>
  <c r="N472" i="1"/>
  <c r="M472" i="1" s="1"/>
  <c r="K472" i="1" s="1"/>
  <c r="F472" i="1"/>
  <c r="D472" i="1"/>
  <c r="B472" i="1"/>
  <c r="N117" i="1"/>
  <c r="M117" i="1"/>
  <c r="K117" i="1" s="1"/>
  <c r="F117" i="1"/>
  <c r="D117" i="1"/>
  <c r="B117" i="1"/>
  <c r="N497" i="1"/>
  <c r="M497" i="1" s="1"/>
  <c r="O497" i="1" s="1"/>
  <c r="R497" i="1" s="1"/>
  <c r="F497" i="1"/>
  <c r="D497" i="1"/>
  <c r="B497" i="1"/>
  <c r="N95" i="1"/>
  <c r="O95" i="1" s="1"/>
  <c r="J95" i="1"/>
  <c r="K95" i="1" s="1"/>
  <c r="F95" i="1"/>
  <c r="D95" i="1"/>
  <c r="B95" i="1"/>
  <c r="N119" i="1"/>
  <c r="M119" i="1"/>
  <c r="K119" i="1" s="1"/>
  <c r="F119" i="1"/>
  <c r="D119" i="1"/>
  <c r="B119" i="1"/>
  <c r="N495" i="1"/>
  <c r="M495" i="1" s="1"/>
  <c r="F495" i="1"/>
  <c r="D495" i="1"/>
  <c r="B495" i="1"/>
  <c r="N487" i="1"/>
  <c r="M487" i="1" s="1"/>
  <c r="F487" i="1"/>
  <c r="D487" i="1"/>
  <c r="B487" i="1"/>
  <c r="N87" i="1"/>
  <c r="M87" i="1" s="1"/>
  <c r="K87" i="1" s="1"/>
  <c r="F87" i="1"/>
  <c r="D87" i="1"/>
  <c r="B87" i="1"/>
  <c r="N174" i="1"/>
  <c r="M174" i="1" s="1"/>
  <c r="O174" i="1" s="1"/>
  <c r="F174" i="1"/>
  <c r="D174" i="1"/>
  <c r="B174" i="1"/>
  <c r="N386" i="1"/>
  <c r="M386" i="1" s="1"/>
  <c r="O386" i="1" s="1"/>
  <c r="R386" i="1" s="1"/>
  <c r="F386" i="1"/>
  <c r="D386" i="1"/>
  <c r="B386" i="1"/>
  <c r="N481" i="1"/>
  <c r="J481" i="1"/>
  <c r="F481" i="1"/>
  <c r="D481" i="1"/>
  <c r="B481" i="1"/>
  <c r="N171" i="1"/>
  <c r="M171" i="1" s="1"/>
  <c r="K171" i="1" s="1"/>
  <c r="F171" i="1"/>
  <c r="D171" i="1"/>
  <c r="B171" i="1"/>
  <c r="N7" i="1"/>
  <c r="M7" i="1"/>
  <c r="K7" i="1" s="1"/>
  <c r="F7" i="1"/>
  <c r="D7" i="1"/>
  <c r="B7" i="1"/>
  <c r="N173" i="1"/>
  <c r="M173" i="1" s="1"/>
  <c r="F173" i="1"/>
  <c r="D173" i="1"/>
  <c r="B173" i="1"/>
  <c r="N175" i="1"/>
  <c r="M175" i="1" s="1"/>
  <c r="K175" i="1" s="1"/>
  <c r="F175" i="1"/>
  <c r="D175" i="1"/>
  <c r="B175" i="1"/>
  <c r="N80" i="1"/>
  <c r="O80" i="1" s="1"/>
  <c r="V80" i="1" s="1"/>
  <c r="W80" i="1" s="1"/>
  <c r="J80" i="1"/>
  <c r="K80" i="1" s="1"/>
  <c r="F80" i="1"/>
  <c r="D80" i="1"/>
  <c r="B80" i="1"/>
  <c r="N387" i="1"/>
  <c r="M387" i="1" s="1"/>
  <c r="K387" i="1" s="1"/>
  <c r="F387" i="1"/>
  <c r="D387" i="1"/>
  <c r="B387" i="1"/>
  <c r="N485" i="1"/>
  <c r="J485" i="1"/>
  <c r="F485" i="1"/>
  <c r="D485" i="1"/>
  <c r="B485" i="1"/>
  <c r="N421" i="1"/>
  <c r="O421" i="1" s="1"/>
  <c r="R421" i="1" s="1"/>
  <c r="J421" i="1"/>
  <c r="K421" i="1" s="1"/>
  <c r="F421" i="1"/>
  <c r="D421" i="1"/>
  <c r="B421" i="1"/>
  <c r="M184" i="1"/>
  <c r="F184" i="1"/>
  <c r="D184" i="1"/>
  <c r="B184" i="1"/>
  <c r="N185" i="1"/>
  <c r="M185" i="1" s="1"/>
  <c r="F185" i="1"/>
  <c r="D185" i="1"/>
  <c r="B185" i="1"/>
  <c r="M388" i="1"/>
  <c r="K388" i="1" s="1"/>
  <c r="F388" i="1"/>
  <c r="D388" i="1"/>
  <c r="B388" i="1"/>
  <c r="N484" i="1"/>
  <c r="J484" i="1"/>
  <c r="M484" i="1" s="1"/>
  <c r="F484" i="1"/>
  <c r="D484" i="1"/>
  <c r="B484" i="1"/>
  <c r="N452" i="1"/>
  <c r="M452" i="1" s="1"/>
  <c r="O452" i="1" s="1"/>
  <c r="F452" i="1"/>
  <c r="D452" i="1"/>
  <c r="B452" i="1"/>
  <c r="N376" i="1"/>
  <c r="M376" i="1" s="1"/>
  <c r="K376" i="1" s="1"/>
  <c r="F376" i="1"/>
  <c r="D376" i="1"/>
  <c r="B376" i="1"/>
  <c r="N378" i="1"/>
  <c r="M378" i="1" s="1"/>
  <c r="F378" i="1"/>
  <c r="D378" i="1"/>
  <c r="B378" i="1"/>
  <c r="N422" i="1"/>
  <c r="O422" i="1" s="1"/>
  <c r="J422" i="1"/>
  <c r="K422" i="1" s="1"/>
  <c r="F422" i="1"/>
  <c r="D422" i="1"/>
  <c r="B422" i="1"/>
  <c r="N486" i="1"/>
  <c r="J486" i="1"/>
  <c r="F486" i="1"/>
  <c r="D486" i="1"/>
  <c r="B486" i="1"/>
  <c r="N389" i="1"/>
  <c r="M389" i="1" s="1"/>
  <c r="F389" i="1"/>
  <c r="D389" i="1"/>
  <c r="B389" i="1"/>
  <c r="N172" i="1"/>
  <c r="M172" i="1" s="1"/>
  <c r="F172" i="1"/>
  <c r="D172" i="1"/>
  <c r="B172" i="1"/>
  <c r="N483" i="1"/>
  <c r="J483" i="1"/>
  <c r="M483" i="1" s="1"/>
  <c r="O483" i="1" s="1"/>
  <c r="F483" i="1"/>
  <c r="D483" i="1"/>
  <c r="B483" i="1"/>
  <c r="N379" i="1"/>
  <c r="M379" i="1" s="1"/>
  <c r="K379" i="1" s="1"/>
  <c r="F379" i="1"/>
  <c r="D379" i="1"/>
  <c r="B379" i="1"/>
  <c r="N476" i="1"/>
  <c r="M476" i="1" s="1"/>
  <c r="D476" i="1"/>
  <c r="B476" i="1"/>
  <c r="N64" i="1"/>
  <c r="M64" i="1" s="1"/>
  <c r="F64" i="1"/>
  <c r="D64" i="1"/>
  <c r="B64" i="1"/>
  <c r="N312" i="1"/>
  <c r="J312" i="1"/>
  <c r="F312" i="1"/>
  <c r="D312" i="1"/>
  <c r="B312" i="1"/>
  <c r="N170" i="1"/>
  <c r="M170" i="1" s="1"/>
  <c r="K170" i="1" s="1"/>
  <c r="F170" i="1"/>
  <c r="D170" i="1"/>
  <c r="B170" i="1"/>
  <c r="N479" i="1"/>
  <c r="M479" i="1" s="1"/>
  <c r="O479" i="1" s="1"/>
  <c r="F479" i="1"/>
  <c r="D479" i="1"/>
  <c r="B479" i="1"/>
  <c r="M341" i="1"/>
  <c r="K341" i="1" s="1"/>
  <c r="F341" i="1"/>
  <c r="D341" i="1"/>
  <c r="B341" i="1"/>
  <c r="M228" i="1"/>
  <c r="K228" i="1" s="1"/>
  <c r="F228" i="1"/>
  <c r="D228" i="1"/>
  <c r="B228" i="1"/>
  <c r="M339" i="1"/>
  <c r="K339" i="1" s="1"/>
  <c r="F339" i="1"/>
  <c r="D339" i="1"/>
  <c r="B339" i="1"/>
  <c r="N223" i="1"/>
  <c r="M223" i="1" s="1"/>
  <c r="K223" i="1" s="1"/>
  <c r="F223" i="1"/>
  <c r="D223" i="1"/>
  <c r="B223" i="1"/>
  <c r="N342" i="1"/>
  <c r="M342" i="1" s="1"/>
  <c r="F342" i="1"/>
  <c r="D342" i="1"/>
  <c r="B342" i="1"/>
  <c r="N221" i="1"/>
  <c r="M221" i="1" s="1"/>
  <c r="O221" i="1" s="1"/>
  <c r="F221" i="1"/>
  <c r="D221" i="1"/>
  <c r="B221" i="1"/>
  <c r="M337" i="1"/>
  <c r="K337" i="1" s="1"/>
  <c r="F337" i="1"/>
  <c r="D337" i="1"/>
  <c r="B337" i="1"/>
  <c r="N307" i="1"/>
  <c r="M307" i="1" s="1"/>
  <c r="K307" i="1" s="1"/>
  <c r="F307" i="1"/>
  <c r="D307" i="1"/>
  <c r="B307" i="1"/>
  <c r="N225" i="1"/>
  <c r="M225" i="1" s="1"/>
  <c r="F225" i="1"/>
  <c r="D225" i="1"/>
  <c r="B225" i="1"/>
  <c r="N343" i="1"/>
  <c r="M343" i="1" s="1"/>
  <c r="K343" i="1" s="1"/>
  <c r="F343" i="1"/>
  <c r="D343" i="1"/>
  <c r="B343" i="1"/>
  <c r="V338" i="1"/>
  <c r="W338" i="1" s="1"/>
  <c r="X338" i="1" s="1"/>
  <c r="Y338" i="1" s="1"/>
  <c r="F338" i="1"/>
  <c r="D338" i="1"/>
  <c r="B338" i="1"/>
  <c r="M340" i="1"/>
  <c r="K340" i="1" s="1"/>
  <c r="F340" i="1"/>
  <c r="D340" i="1"/>
  <c r="B340" i="1"/>
  <c r="N48" i="1"/>
  <c r="M48" i="1" s="1"/>
  <c r="K48" i="1" s="1"/>
  <c r="F48" i="1"/>
  <c r="D48" i="1"/>
  <c r="B48" i="1"/>
  <c r="N47" i="1"/>
  <c r="M47" i="1" s="1"/>
  <c r="O47" i="1" s="1"/>
  <c r="F47" i="1"/>
  <c r="D47" i="1"/>
  <c r="B47" i="1"/>
  <c r="N443" i="1"/>
  <c r="M443" i="1" s="1"/>
  <c r="K443" i="1" s="1"/>
  <c r="F443" i="1"/>
  <c r="D443" i="1"/>
  <c r="B443" i="1"/>
  <c r="N442" i="1"/>
  <c r="O442" i="1" s="1"/>
  <c r="J442" i="1"/>
  <c r="K442" i="1" s="1"/>
  <c r="F442" i="1"/>
  <c r="D442" i="1"/>
  <c r="B442" i="1"/>
  <c r="N445" i="1"/>
  <c r="O445" i="1" s="1"/>
  <c r="J445" i="1"/>
  <c r="K445" i="1" s="1"/>
  <c r="F445" i="1"/>
  <c r="D445" i="1"/>
  <c r="B445" i="1"/>
  <c r="N236" i="1"/>
  <c r="O236" i="1" s="1"/>
  <c r="J236" i="1"/>
  <c r="K236" i="1" s="1"/>
  <c r="F236" i="1"/>
  <c r="D236" i="1"/>
  <c r="B236" i="1"/>
  <c r="N467" i="1"/>
  <c r="M467" i="1" s="1"/>
  <c r="O467" i="1" s="1"/>
  <c r="V467" i="1" s="1"/>
  <c r="W467" i="1" s="1"/>
  <c r="F467" i="1"/>
  <c r="D467" i="1"/>
  <c r="B467" i="1"/>
  <c r="M327" i="1"/>
  <c r="K327" i="1" s="1"/>
  <c r="F327" i="1"/>
  <c r="D327" i="1"/>
  <c r="B327" i="1"/>
  <c r="N229" i="1"/>
  <c r="M229" i="1" s="1"/>
  <c r="O229" i="1" s="1"/>
  <c r="R229" i="1" s="1"/>
  <c r="F229" i="1"/>
  <c r="D229" i="1"/>
  <c r="B229" i="1"/>
  <c r="N162" i="1"/>
  <c r="M162" i="1" s="1"/>
  <c r="K162" i="1" s="1"/>
  <c r="F162" i="1"/>
  <c r="D162" i="1"/>
  <c r="B162" i="1"/>
  <c r="N226" i="1"/>
  <c r="M226" i="1" s="1"/>
  <c r="F226" i="1"/>
  <c r="D226" i="1"/>
  <c r="B226" i="1"/>
  <c r="N439" i="1"/>
  <c r="O439" i="1" s="1"/>
  <c r="J439" i="1"/>
  <c r="K439" i="1" s="1"/>
  <c r="F439" i="1"/>
  <c r="D439" i="1"/>
  <c r="B439" i="1"/>
  <c r="N176" i="1"/>
  <c r="M176" i="1" s="1"/>
  <c r="K176" i="1" s="1"/>
  <c r="F176" i="1"/>
  <c r="D176" i="1"/>
  <c r="B176" i="1"/>
  <c r="N165" i="1"/>
  <c r="M165" i="1" s="1"/>
  <c r="K165" i="1" s="1"/>
  <c r="F165" i="1"/>
  <c r="D165" i="1"/>
  <c r="B165" i="1"/>
  <c r="M54" i="1"/>
  <c r="O54" i="1" s="1"/>
  <c r="V54" i="1" s="1"/>
  <c r="W54" i="1" s="1"/>
  <c r="F54" i="1"/>
  <c r="D54" i="1"/>
  <c r="B54" i="1"/>
  <c r="N505" i="1"/>
  <c r="O505" i="1" s="1"/>
  <c r="J505" i="1"/>
  <c r="K505" i="1" s="1"/>
  <c r="F505" i="1"/>
  <c r="D505" i="1"/>
  <c r="B505" i="1"/>
  <c r="N238" i="1"/>
  <c r="O238" i="1" s="1"/>
  <c r="J238" i="1"/>
  <c r="K238" i="1" s="1"/>
  <c r="F238" i="1"/>
  <c r="D238" i="1"/>
  <c r="B238" i="1"/>
  <c r="N453" i="1"/>
  <c r="M453" i="1" s="1"/>
  <c r="K453" i="1" s="1"/>
  <c r="F453" i="1"/>
  <c r="D453" i="1"/>
  <c r="B453" i="1"/>
  <c r="N242" i="1"/>
  <c r="O242" i="1" s="1"/>
  <c r="J242" i="1"/>
  <c r="K242" i="1" s="1"/>
  <c r="F242" i="1"/>
  <c r="D242" i="1"/>
  <c r="B242" i="1"/>
  <c r="N395" i="1"/>
  <c r="M395" i="1" s="1"/>
  <c r="F395" i="1"/>
  <c r="D395" i="1"/>
  <c r="B395" i="1"/>
  <c r="N450" i="1"/>
  <c r="O450" i="1" s="1"/>
  <c r="J450" i="1"/>
  <c r="K450" i="1" s="1"/>
  <c r="F450" i="1"/>
  <c r="D450" i="1"/>
  <c r="B450" i="1"/>
  <c r="N240" i="1"/>
  <c r="O240" i="1" s="1"/>
  <c r="J240" i="1"/>
  <c r="K240" i="1" s="1"/>
  <c r="F240" i="1"/>
  <c r="D240" i="1"/>
  <c r="B240" i="1"/>
  <c r="M116" i="1"/>
  <c r="K116" i="1" s="1"/>
  <c r="F116" i="1"/>
  <c r="D116" i="1"/>
  <c r="B116" i="1"/>
  <c r="N454" i="1"/>
  <c r="M454" i="1" s="1"/>
  <c r="F454" i="1"/>
  <c r="D454" i="1"/>
  <c r="B454" i="1"/>
  <c r="M188" i="1"/>
  <c r="K188" i="1" s="1"/>
  <c r="F188" i="1"/>
  <c r="D188" i="1"/>
  <c r="B188" i="1"/>
  <c r="N227" i="1"/>
  <c r="M227" i="1" s="1"/>
  <c r="F227" i="1"/>
  <c r="D227" i="1"/>
  <c r="B227" i="1"/>
  <c r="N244" i="1"/>
  <c r="O244" i="1" s="1"/>
  <c r="J244" i="1"/>
  <c r="K244" i="1" s="1"/>
  <c r="F244" i="1"/>
  <c r="D244" i="1"/>
  <c r="B244" i="1"/>
  <c r="N219" i="1"/>
  <c r="M219" i="1"/>
  <c r="O219" i="1" s="1"/>
  <c r="R219" i="1" s="1"/>
  <c r="F219" i="1"/>
  <c r="D219" i="1"/>
  <c r="B219" i="1"/>
  <c r="N46" i="1"/>
  <c r="M46" i="1" s="1"/>
  <c r="F46" i="1"/>
  <c r="D46" i="1"/>
  <c r="B46" i="1"/>
  <c r="N159" i="1"/>
  <c r="M159" i="1" s="1"/>
  <c r="K159" i="1" s="1"/>
  <c r="F159" i="1"/>
  <c r="D159" i="1"/>
  <c r="B159" i="1"/>
  <c r="O235" i="1"/>
  <c r="V235" i="1" s="1"/>
  <c r="W235" i="1" s="1"/>
  <c r="N235" i="1"/>
  <c r="J235" i="1"/>
  <c r="K235" i="1" s="1"/>
  <c r="F235" i="1"/>
  <c r="D235" i="1"/>
  <c r="B235" i="1"/>
  <c r="N455" i="1"/>
  <c r="M455" i="1" s="1"/>
  <c r="F455" i="1"/>
  <c r="D455" i="1"/>
  <c r="B455" i="1"/>
  <c r="N158" i="1"/>
  <c r="M158" i="1" s="1"/>
  <c r="O158" i="1" s="1"/>
  <c r="R158" i="1" s="1"/>
  <c r="F158" i="1"/>
  <c r="D158" i="1"/>
  <c r="B158" i="1"/>
  <c r="N74" i="1"/>
  <c r="M74" i="1"/>
  <c r="F74" i="1"/>
  <c r="D74" i="1"/>
  <c r="B74" i="1"/>
  <c r="N246" i="1"/>
  <c r="O246" i="1" s="1"/>
  <c r="J246" i="1"/>
  <c r="K246" i="1" s="1"/>
  <c r="F246" i="1"/>
  <c r="D246" i="1"/>
  <c r="B246" i="1"/>
  <c r="N241" i="1"/>
  <c r="O241" i="1" s="1"/>
  <c r="J241" i="1"/>
  <c r="K241" i="1" s="1"/>
  <c r="F241" i="1"/>
  <c r="D241" i="1"/>
  <c r="B241" i="1"/>
  <c r="N390" i="1"/>
  <c r="M390" i="1" s="1"/>
  <c r="F390" i="1"/>
  <c r="D390" i="1"/>
  <c r="B390" i="1"/>
  <c r="N451" i="1"/>
  <c r="O451" i="1" s="1"/>
  <c r="J451" i="1"/>
  <c r="K451" i="1" s="1"/>
  <c r="F451" i="1"/>
  <c r="D451" i="1"/>
  <c r="B451" i="1"/>
  <c r="N250" i="1"/>
  <c r="O250" i="1" s="1"/>
  <c r="J250" i="1"/>
  <c r="K250" i="1" s="1"/>
  <c r="F250" i="1"/>
  <c r="D250" i="1"/>
  <c r="B250" i="1"/>
  <c r="N393" i="1"/>
  <c r="M393" i="1" s="1"/>
  <c r="O393" i="1" s="1"/>
  <c r="R393" i="1" s="1"/>
  <c r="F393" i="1"/>
  <c r="D393" i="1"/>
  <c r="B393" i="1"/>
  <c r="N237" i="1"/>
  <c r="O237" i="1" s="1"/>
  <c r="J237" i="1"/>
  <c r="K237" i="1" s="1"/>
  <c r="F237" i="1"/>
  <c r="D237" i="1"/>
  <c r="B237" i="1"/>
  <c r="N34" i="1"/>
  <c r="M34" i="1" s="1"/>
  <c r="K34" i="1" s="1"/>
  <c r="F34" i="1"/>
  <c r="D34" i="1"/>
  <c r="B34" i="1"/>
  <c r="N449" i="1"/>
  <c r="O449" i="1" s="1"/>
  <c r="J449" i="1"/>
  <c r="K449" i="1" s="1"/>
  <c r="F449" i="1"/>
  <c r="D449" i="1"/>
  <c r="B449" i="1"/>
  <c r="M114" i="1"/>
  <c r="K114" i="1" s="1"/>
  <c r="F114" i="1"/>
  <c r="D114" i="1"/>
  <c r="B114" i="1"/>
  <c r="N325" i="1"/>
  <c r="M325" i="1" s="1"/>
  <c r="F325" i="1"/>
  <c r="D325" i="1"/>
  <c r="B325" i="1"/>
  <c r="M115" i="1"/>
  <c r="K115" i="1" s="1"/>
  <c r="F115" i="1"/>
  <c r="D115" i="1"/>
  <c r="B115" i="1"/>
  <c r="N410" i="1"/>
  <c r="O410" i="1" s="1"/>
  <c r="J410" i="1"/>
  <c r="K410" i="1" s="1"/>
  <c r="F410" i="1"/>
  <c r="D410" i="1"/>
  <c r="B410" i="1"/>
  <c r="N316" i="1"/>
  <c r="M316" i="1"/>
  <c r="F316" i="1"/>
  <c r="D316" i="1"/>
  <c r="B316" i="1"/>
  <c r="N413" i="1"/>
  <c r="O413" i="1" s="1"/>
  <c r="J413" i="1"/>
  <c r="K413" i="1" s="1"/>
  <c r="F413" i="1"/>
  <c r="D413" i="1"/>
  <c r="B413" i="1"/>
  <c r="N183" i="1"/>
  <c r="M183" i="1" s="1"/>
  <c r="F183" i="1"/>
  <c r="D183" i="1"/>
  <c r="B183" i="1"/>
  <c r="M152" i="1"/>
  <c r="O152" i="1" s="1"/>
  <c r="F152" i="1"/>
  <c r="D152" i="1"/>
  <c r="B152" i="1"/>
  <c r="M151" i="1"/>
  <c r="F151" i="1"/>
  <c r="D151" i="1"/>
  <c r="B151" i="1"/>
  <c r="N39" i="1"/>
  <c r="M39" i="1" s="1"/>
  <c r="F39" i="1"/>
  <c r="D39" i="1"/>
  <c r="B39" i="1"/>
  <c r="N179" i="1"/>
  <c r="M179" i="1" s="1"/>
  <c r="F179" i="1"/>
  <c r="D179" i="1"/>
  <c r="B179" i="1"/>
  <c r="N178" i="1"/>
  <c r="M178" i="1" s="1"/>
  <c r="K178" i="1" s="1"/>
  <c r="F178" i="1"/>
  <c r="D178" i="1"/>
  <c r="B178" i="1"/>
  <c r="N216" i="1"/>
  <c r="M216" i="1"/>
  <c r="K216" i="1" s="1"/>
  <c r="F216" i="1"/>
  <c r="D216" i="1"/>
  <c r="B216" i="1"/>
  <c r="N182" i="1"/>
  <c r="M182" i="1" s="1"/>
  <c r="F182" i="1"/>
  <c r="D182" i="1"/>
  <c r="B182" i="1"/>
  <c r="N218" i="1"/>
  <c r="M218" i="1"/>
  <c r="F218" i="1"/>
  <c r="D218" i="1"/>
  <c r="B218" i="1"/>
  <c r="N181" i="1"/>
  <c r="M181" i="1" s="1"/>
  <c r="O181" i="1" s="1"/>
  <c r="R181" i="1" s="1"/>
  <c r="F181" i="1"/>
  <c r="D181" i="1"/>
  <c r="B181" i="1"/>
  <c r="N217" i="1"/>
  <c r="M217" i="1"/>
  <c r="F217" i="1"/>
  <c r="D217" i="1"/>
  <c r="B217" i="1"/>
  <c r="N180" i="1"/>
  <c r="M180" i="1" s="1"/>
  <c r="O180" i="1" s="1"/>
  <c r="F180" i="1"/>
  <c r="D180" i="1"/>
  <c r="B180" i="1"/>
  <c r="N408" i="1"/>
  <c r="O408" i="1" s="1"/>
  <c r="J408" i="1"/>
  <c r="K408" i="1" s="1"/>
  <c r="F408" i="1"/>
  <c r="D408" i="1"/>
  <c r="B408" i="1"/>
  <c r="N13" i="1"/>
  <c r="M13" i="1" s="1"/>
  <c r="F13" i="1"/>
  <c r="D13" i="1"/>
  <c r="B13" i="1"/>
  <c r="N122" i="1"/>
  <c r="M122" i="1"/>
  <c r="K122" i="1" s="1"/>
  <c r="F122" i="1"/>
  <c r="D122" i="1"/>
  <c r="B122" i="1"/>
  <c r="N324" i="1"/>
  <c r="M324" i="1" s="1"/>
  <c r="F324" i="1"/>
  <c r="D324" i="1"/>
  <c r="B324" i="1"/>
  <c r="N99" i="1"/>
  <c r="M99" i="1" s="1"/>
  <c r="F99" i="1"/>
  <c r="D99" i="1"/>
  <c r="B99" i="1"/>
  <c r="V97" i="1"/>
  <c r="W97" i="1" s="1"/>
  <c r="X97" i="1" s="1"/>
  <c r="Z97" i="1" s="1"/>
  <c r="F97" i="1"/>
  <c r="D97" i="1"/>
  <c r="B97" i="1"/>
  <c r="N314" i="1"/>
  <c r="M314" i="1" s="1"/>
  <c r="F314" i="1"/>
  <c r="D314" i="1"/>
  <c r="B314" i="1"/>
  <c r="N61" i="1"/>
  <c r="M61" i="1" s="1"/>
  <c r="O61" i="1" s="1"/>
  <c r="V61" i="1" s="1"/>
  <c r="W61" i="1" s="1"/>
  <c r="F61" i="1"/>
  <c r="D61" i="1"/>
  <c r="B61" i="1"/>
  <c r="M143" i="1"/>
  <c r="K143" i="1" s="1"/>
  <c r="F143" i="1"/>
  <c r="D143" i="1"/>
  <c r="B143" i="1"/>
  <c r="N192" i="1"/>
  <c r="M192" i="1" s="1"/>
  <c r="O192" i="1" s="1"/>
  <c r="V192" i="1" s="1"/>
  <c r="W192" i="1" s="1"/>
  <c r="F192" i="1"/>
  <c r="D192" i="1"/>
  <c r="B192" i="1"/>
  <c r="M144" i="1"/>
  <c r="K144" i="1" s="1"/>
  <c r="F144" i="1"/>
  <c r="D144" i="1"/>
  <c r="B144" i="1"/>
  <c r="N191" i="1"/>
  <c r="M191" i="1" s="1"/>
  <c r="K191" i="1" s="1"/>
  <c r="F191" i="1"/>
  <c r="D191" i="1"/>
  <c r="B191" i="1"/>
  <c r="N45" i="1"/>
  <c r="M45" i="1" s="1"/>
  <c r="F45" i="1"/>
  <c r="D45" i="1"/>
  <c r="B45" i="1"/>
  <c r="N193" i="1"/>
  <c r="M193" i="1" s="1"/>
  <c r="F193" i="1"/>
  <c r="D193" i="1"/>
  <c r="B193" i="1"/>
  <c r="N296" i="1"/>
  <c r="O296" i="1" s="1"/>
  <c r="R296" i="1" s="1"/>
  <c r="J296" i="1"/>
  <c r="K296" i="1" s="1"/>
  <c r="F296" i="1"/>
  <c r="D296" i="1"/>
  <c r="B296" i="1"/>
  <c r="N44" i="1"/>
  <c r="M44" i="1" s="1"/>
  <c r="F44" i="1"/>
  <c r="D44" i="1"/>
  <c r="B44" i="1"/>
  <c r="M141" i="1"/>
  <c r="K141" i="1" s="1"/>
  <c r="F141" i="1"/>
  <c r="D141" i="1"/>
  <c r="B141" i="1"/>
  <c r="N189" i="1"/>
  <c r="M189" i="1" s="1"/>
  <c r="F189" i="1"/>
  <c r="D189" i="1"/>
  <c r="B189" i="1"/>
  <c r="N12" i="1"/>
  <c r="M12" i="1" s="1"/>
  <c r="F12" i="1"/>
  <c r="D12" i="1"/>
  <c r="B12" i="1"/>
  <c r="M145" i="1"/>
  <c r="O145" i="1" s="1"/>
  <c r="V145" i="1" s="1"/>
  <c r="W145" i="1" s="1"/>
  <c r="F145" i="1"/>
  <c r="D145" i="1"/>
  <c r="B145" i="1"/>
  <c r="N323" i="1"/>
  <c r="M323" i="1"/>
  <c r="O323" i="1" s="1"/>
  <c r="F323" i="1"/>
  <c r="D323" i="1"/>
  <c r="B323" i="1"/>
  <c r="N411" i="1"/>
  <c r="O411" i="1" s="1"/>
  <c r="J411" i="1"/>
  <c r="K411" i="1" s="1"/>
  <c r="F411" i="1"/>
  <c r="D411" i="1"/>
  <c r="B411" i="1"/>
  <c r="N98" i="1"/>
  <c r="M98" i="1" s="1"/>
  <c r="F98" i="1"/>
  <c r="D98" i="1"/>
  <c r="B98" i="1"/>
  <c r="N190" i="1"/>
  <c r="M190" i="1" s="1"/>
  <c r="O190" i="1" s="1"/>
  <c r="F190" i="1"/>
  <c r="D190" i="1"/>
  <c r="B190" i="1"/>
  <c r="N109" i="1"/>
  <c r="M109" i="1"/>
  <c r="K109" i="1" s="1"/>
  <c r="F109" i="1"/>
  <c r="D109" i="1"/>
  <c r="B109" i="1"/>
  <c r="N110" i="1"/>
  <c r="M110" i="1" s="1"/>
  <c r="F110" i="1"/>
  <c r="D110" i="1"/>
  <c r="B110" i="1"/>
  <c r="N104" i="1"/>
  <c r="M104" i="1" s="1"/>
  <c r="F104" i="1"/>
  <c r="D104" i="1"/>
  <c r="B104" i="1"/>
  <c r="N103" i="1"/>
  <c r="M103" i="1" s="1"/>
  <c r="F103" i="1"/>
  <c r="D103" i="1"/>
  <c r="B103" i="1"/>
  <c r="N106" i="1"/>
  <c r="M106" i="1" s="1"/>
  <c r="F106" i="1"/>
  <c r="D106" i="1"/>
  <c r="B106" i="1"/>
  <c r="N107" i="1"/>
  <c r="M107" i="1" s="1"/>
  <c r="F107" i="1"/>
  <c r="D107" i="1"/>
  <c r="B107" i="1"/>
  <c r="N108" i="1"/>
  <c r="M108" i="1" s="1"/>
  <c r="F108" i="1"/>
  <c r="D108" i="1"/>
  <c r="B108" i="1"/>
  <c r="N101" i="1"/>
  <c r="M101" i="1" s="1"/>
  <c r="F101" i="1"/>
  <c r="D101" i="1"/>
  <c r="B101" i="1"/>
  <c r="N57" i="1"/>
  <c r="M57" i="1" s="1"/>
  <c r="F57" i="1"/>
  <c r="D57" i="1"/>
  <c r="B57" i="1"/>
  <c r="N59" i="1"/>
  <c r="M59" i="1" s="1"/>
  <c r="F59" i="1"/>
  <c r="D59" i="1"/>
  <c r="B59" i="1"/>
  <c r="N102" i="1"/>
  <c r="M102" i="1" s="1"/>
  <c r="F102" i="1"/>
  <c r="D102" i="1"/>
  <c r="B102" i="1"/>
  <c r="N105" i="1"/>
  <c r="M105" i="1" s="1"/>
  <c r="F105" i="1"/>
  <c r="D105" i="1"/>
  <c r="B105" i="1"/>
  <c r="M334" i="1"/>
  <c r="K334" i="1" s="1"/>
  <c r="F334" i="1"/>
  <c r="D334" i="1"/>
  <c r="B334" i="1"/>
  <c r="M336" i="1"/>
  <c r="K336" i="1" s="1"/>
  <c r="F336" i="1"/>
  <c r="D336" i="1"/>
  <c r="B336" i="1"/>
  <c r="M332" i="1"/>
  <c r="K332" i="1" s="1"/>
  <c r="F332" i="1"/>
  <c r="D332" i="1"/>
  <c r="B332" i="1"/>
  <c r="N161" i="1"/>
  <c r="M161" i="1" s="1"/>
  <c r="F161" i="1"/>
  <c r="D161" i="1"/>
  <c r="B161" i="1"/>
  <c r="N142" i="1"/>
  <c r="M142" i="1" s="1"/>
  <c r="K142" i="1" s="1"/>
  <c r="F142" i="1"/>
  <c r="D142" i="1"/>
  <c r="B142" i="1"/>
  <c r="M426" i="1"/>
  <c r="K426" i="1" s="1"/>
  <c r="F426" i="1"/>
  <c r="D426" i="1"/>
  <c r="B426" i="1"/>
  <c r="N37" i="1"/>
  <c r="M37" i="1" s="1"/>
  <c r="F37" i="1"/>
  <c r="D37" i="1"/>
  <c r="B37" i="1"/>
  <c r="N308" i="1"/>
  <c r="M308" i="1" s="1"/>
  <c r="F308" i="1"/>
  <c r="D308" i="1"/>
  <c r="B308" i="1"/>
  <c r="M400" i="1"/>
  <c r="O400" i="1" s="1"/>
  <c r="V400" i="1" s="1"/>
  <c r="W400" i="1" s="1"/>
  <c r="F400" i="1"/>
  <c r="D400" i="1"/>
  <c r="B400" i="1"/>
  <c r="N297" i="1"/>
  <c r="M297" i="1"/>
  <c r="F297" i="1"/>
  <c r="D297" i="1"/>
  <c r="B297" i="1"/>
  <c r="N100" i="1"/>
  <c r="M100" i="1" s="1"/>
  <c r="K100" i="1" s="1"/>
  <c r="F100" i="1"/>
  <c r="D100" i="1"/>
  <c r="B100" i="1"/>
  <c r="N311" i="1"/>
  <c r="M311" i="1" s="1"/>
  <c r="F311" i="1"/>
  <c r="D311" i="1"/>
  <c r="B311" i="1"/>
  <c r="M398" i="1"/>
  <c r="K398" i="1" s="1"/>
  <c r="F398" i="1"/>
  <c r="D398" i="1"/>
  <c r="B398" i="1"/>
  <c r="N431" i="1"/>
  <c r="O431" i="1" s="1"/>
  <c r="R431" i="1" s="1"/>
  <c r="J431" i="1"/>
  <c r="K431" i="1" s="1"/>
  <c r="F431" i="1"/>
  <c r="D431" i="1"/>
  <c r="B431" i="1"/>
  <c r="N401" i="1"/>
  <c r="M401" i="1" s="1"/>
  <c r="K401" i="1" s="1"/>
  <c r="F401" i="1"/>
  <c r="D401" i="1"/>
  <c r="B401" i="1"/>
  <c r="M403" i="1"/>
  <c r="K403" i="1" s="1"/>
  <c r="F403" i="1"/>
  <c r="D403" i="1"/>
  <c r="B403" i="1"/>
  <c r="N374" i="1"/>
  <c r="M374" i="1" s="1"/>
  <c r="K374" i="1" s="1"/>
  <c r="F374" i="1"/>
  <c r="D374" i="1"/>
  <c r="B374" i="1"/>
  <c r="N429" i="1"/>
  <c r="M429" i="1" s="1"/>
  <c r="F429" i="1"/>
  <c r="D429" i="1"/>
  <c r="B429" i="1"/>
  <c r="N373" i="1"/>
  <c r="M373" i="1" s="1"/>
  <c r="K373" i="1" s="1"/>
  <c r="F373" i="1"/>
  <c r="D373" i="1"/>
  <c r="B373" i="1"/>
  <c r="N420" i="1"/>
  <c r="M420" i="1" s="1"/>
  <c r="F420" i="1"/>
  <c r="D420" i="1"/>
  <c r="B420" i="1"/>
  <c r="M406" i="1"/>
  <c r="K406" i="1" s="1"/>
  <c r="F406" i="1"/>
  <c r="D406" i="1"/>
  <c r="B406" i="1"/>
  <c r="N415" i="1"/>
  <c r="O415" i="1" s="1"/>
  <c r="J415" i="1"/>
  <c r="K415" i="1" s="1"/>
  <c r="F415" i="1"/>
  <c r="D415" i="1"/>
  <c r="B415" i="1"/>
  <c r="N38" i="1"/>
  <c r="M38" i="1" s="1"/>
  <c r="F38" i="1"/>
  <c r="D38" i="1"/>
  <c r="B38" i="1"/>
  <c r="M402" i="1"/>
  <c r="K402" i="1" s="1"/>
  <c r="F402" i="1"/>
  <c r="D402" i="1"/>
  <c r="B402" i="1"/>
  <c r="M407" i="1"/>
  <c r="K407" i="1" s="1"/>
  <c r="F407" i="1"/>
  <c r="D407" i="1"/>
  <c r="B407" i="1"/>
  <c r="M404" i="1"/>
  <c r="K404" i="1" s="1"/>
  <c r="F404" i="1"/>
  <c r="D404" i="1"/>
  <c r="B404" i="1"/>
  <c r="N427" i="1"/>
  <c r="M427" i="1" s="1"/>
  <c r="F427" i="1"/>
  <c r="D427" i="1"/>
  <c r="B427" i="1"/>
  <c r="N424" i="1"/>
  <c r="O424" i="1" s="1"/>
  <c r="V424" i="1" s="1"/>
  <c r="W424" i="1" s="1"/>
  <c r="J424" i="1"/>
  <c r="K424" i="1" s="1"/>
  <c r="F424" i="1"/>
  <c r="D424" i="1"/>
  <c r="B424" i="1"/>
  <c r="N448" i="1"/>
  <c r="O448" i="1" s="1"/>
  <c r="R448" i="1" s="1"/>
  <c r="J448" i="1"/>
  <c r="K448" i="1" s="1"/>
  <c r="F448" i="1"/>
  <c r="D448" i="1"/>
  <c r="B448" i="1"/>
  <c r="M425" i="1"/>
  <c r="K425" i="1" s="1"/>
  <c r="F425" i="1"/>
  <c r="D425" i="1"/>
  <c r="B425" i="1"/>
  <c r="M405" i="1"/>
  <c r="K405" i="1" s="1"/>
  <c r="F405" i="1"/>
  <c r="D405" i="1"/>
  <c r="B405" i="1"/>
  <c r="N414" i="1"/>
  <c r="O414" i="1" s="1"/>
  <c r="R414" i="1" s="1"/>
  <c r="J414" i="1"/>
  <c r="K414" i="1" s="1"/>
  <c r="F414" i="1"/>
  <c r="D414" i="1"/>
  <c r="B414" i="1"/>
  <c r="N298" i="1"/>
  <c r="O298" i="1" s="1"/>
  <c r="R298" i="1" s="1"/>
  <c r="J298" i="1"/>
  <c r="K298" i="1" s="1"/>
  <c r="F298" i="1"/>
  <c r="D298" i="1"/>
  <c r="B298" i="1"/>
  <c r="N230" i="1"/>
  <c r="M230" i="1" s="1"/>
  <c r="K230" i="1" s="1"/>
  <c r="F230" i="1"/>
  <c r="D230" i="1"/>
  <c r="B230" i="1"/>
  <c r="M430" i="1"/>
  <c r="K430" i="1" s="1"/>
  <c r="F430" i="1"/>
  <c r="D430" i="1"/>
  <c r="B430" i="1"/>
  <c r="M4" i="1"/>
  <c r="K4" i="1" s="1"/>
  <c r="F4" i="1"/>
  <c r="D4" i="1"/>
  <c r="B4" i="1"/>
  <c r="N446" i="1"/>
  <c r="O446" i="1" s="1"/>
  <c r="J446" i="1"/>
  <c r="K446" i="1" s="1"/>
  <c r="F446" i="1"/>
  <c r="D446" i="1"/>
  <c r="B446" i="1"/>
  <c r="N447" i="1"/>
  <c r="O447" i="1" s="1"/>
  <c r="J447" i="1"/>
  <c r="K447" i="1" s="1"/>
  <c r="F447" i="1"/>
  <c r="D447" i="1"/>
  <c r="B447" i="1"/>
  <c r="N399" i="1"/>
  <c r="M399" i="1" s="1"/>
  <c r="F399" i="1"/>
  <c r="D399" i="1"/>
  <c r="B399" i="1"/>
  <c r="N488" i="1"/>
  <c r="O488" i="1" s="1"/>
  <c r="J488" i="1"/>
  <c r="K488" i="1" s="1"/>
  <c r="F488" i="1"/>
  <c r="D488" i="1"/>
  <c r="B488" i="1"/>
  <c r="N428" i="1"/>
  <c r="M428" i="1" s="1"/>
  <c r="F428" i="1"/>
  <c r="D428" i="1"/>
  <c r="B428" i="1"/>
  <c r="N50" i="1"/>
  <c r="M50" i="1"/>
  <c r="F50" i="1"/>
  <c r="D50" i="1"/>
  <c r="B50" i="1"/>
  <c r="O316" i="1" l="1"/>
  <c r="R316" i="1" s="1"/>
  <c r="M63" i="1"/>
  <c r="O63" i="1" s="1"/>
  <c r="V63" i="1" s="1"/>
  <c r="W63" i="1" s="1"/>
  <c r="O203" i="1"/>
  <c r="O290" i="1"/>
  <c r="O330" i="1"/>
  <c r="V330" i="1" s="1"/>
  <c r="W330" i="1" s="1"/>
  <c r="X330" i="1" s="1"/>
  <c r="Z330" i="1" s="1"/>
  <c r="O433" i="1"/>
  <c r="V433" i="1" s="1"/>
  <c r="W433" i="1" s="1"/>
  <c r="O407" i="1"/>
  <c r="V407" i="1" s="1"/>
  <c r="W407" i="1" s="1"/>
  <c r="X407" i="1" s="1"/>
  <c r="O144" i="1"/>
  <c r="V144" i="1" s="1"/>
  <c r="W144" i="1" s="1"/>
  <c r="X144" i="1" s="1"/>
  <c r="O472" i="1"/>
  <c r="R472" i="1" s="1"/>
  <c r="O436" i="1"/>
  <c r="V436" i="1" s="1"/>
  <c r="W436" i="1" s="1"/>
  <c r="K483" i="1"/>
  <c r="R139" i="1"/>
  <c r="K180" i="1"/>
  <c r="K152" i="1"/>
  <c r="O4" i="1"/>
  <c r="R4" i="1" s="1"/>
  <c r="O34" i="1"/>
  <c r="V34" i="1" s="1"/>
  <c r="W34" i="1" s="1"/>
  <c r="O453" i="1"/>
  <c r="V453" i="1" s="1"/>
  <c r="W453" i="1" s="1"/>
  <c r="X453" i="1" s="1"/>
  <c r="O228" i="1"/>
  <c r="V228" i="1" s="1"/>
  <c r="W228" i="1" s="1"/>
  <c r="X228" i="1" s="1"/>
  <c r="O388" i="1"/>
  <c r="V388" i="1" s="1"/>
  <c r="W388" i="1" s="1"/>
  <c r="X388" i="1" s="1"/>
  <c r="O148" i="1"/>
  <c r="V148" i="1" s="1"/>
  <c r="W148" i="1" s="1"/>
  <c r="X148" i="1" s="1"/>
  <c r="Z148" i="1" s="1"/>
  <c r="O416" i="1"/>
  <c r="R416" i="1" s="1"/>
  <c r="O165" i="1"/>
  <c r="V165" i="1" s="1"/>
  <c r="W165" i="1" s="1"/>
  <c r="X165" i="1" s="1"/>
  <c r="O337" i="1"/>
  <c r="V337" i="1" s="1"/>
  <c r="W337" i="1" s="1"/>
  <c r="X337" i="1" s="1"/>
  <c r="K221" i="1"/>
  <c r="O147" i="1"/>
  <c r="V147" i="1" s="1"/>
  <c r="W147" i="1" s="1"/>
  <c r="O8" i="1"/>
  <c r="R8" i="1" s="1"/>
  <c r="O149" i="1"/>
  <c r="V149" i="1" s="1"/>
  <c r="W149" i="1" s="1"/>
  <c r="K71" i="1"/>
  <c r="V254" i="1"/>
  <c r="W254" i="1" s="1"/>
  <c r="X254" i="1" s="1"/>
  <c r="K41" i="1"/>
  <c r="O419" i="1"/>
  <c r="V419" i="1" s="1"/>
  <c r="W419" i="1" s="1"/>
  <c r="X419" i="1" s="1"/>
  <c r="O140" i="1"/>
  <c r="V140" i="1" s="1"/>
  <c r="W140" i="1" s="1"/>
  <c r="X140" i="1" s="1"/>
  <c r="O216" i="1"/>
  <c r="R216" i="1" s="1"/>
  <c r="O327" i="1"/>
  <c r="V327" i="1" s="1"/>
  <c r="W327" i="1" s="1"/>
  <c r="X327" i="1" s="1"/>
  <c r="O343" i="1"/>
  <c r="V343" i="1" s="1"/>
  <c r="W343" i="1" s="1"/>
  <c r="X343" i="1" s="1"/>
  <c r="Y343" i="1" s="1"/>
  <c r="O475" i="1"/>
  <c r="V475" i="1" s="1"/>
  <c r="W475" i="1" s="1"/>
  <c r="X475" i="1" s="1"/>
  <c r="Z475" i="1" s="1"/>
  <c r="O66" i="1"/>
  <c r="V66" i="1" s="1"/>
  <c r="W66" i="1" s="1"/>
  <c r="V71" i="1"/>
  <c r="W71" i="1" s="1"/>
  <c r="X71" i="1" s="1"/>
  <c r="O226" i="1"/>
  <c r="K226" i="1"/>
  <c r="V415" i="1"/>
  <c r="W415" i="1" s="1"/>
  <c r="X415" i="1" s="1"/>
  <c r="R415" i="1"/>
  <c r="V345" i="1"/>
  <c r="W345" i="1" s="1"/>
  <c r="X345" i="1" s="1"/>
  <c r="R345" i="1"/>
  <c r="V347" i="1"/>
  <c r="W347" i="1" s="1"/>
  <c r="X347" i="1" s="1"/>
  <c r="R347" i="1"/>
  <c r="V268" i="1"/>
  <c r="W268" i="1" s="1"/>
  <c r="X268" i="1" s="1"/>
  <c r="R268" i="1"/>
  <c r="V271" i="1"/>
  <c r="W271" i="1" s="1"/>
  <c r="X271" i="1" s="1"/>
  <c r="R271" i="1"/>
  <c r="R96" i="1"/>
  <c r="V96" i="1"/>
  <c r="W96" i="1" s="1"/>
  <c r="X96" i="1" s="1"/>
  <c r="V316" i="1"/>
  <c r="W316" i="1" s="1"/>
  <c r="X316" i="1" s="1"/>
  <c r="V422" i="1"/>
  <c r="W422" i="1" s="1"/>
  <c r="X422" i="1" s="1"/>
  <c r="R422" i="1"/>
  <c r="V237" i="1"/>
  <c r="W237" i="1" s="1"/>
  <c r="X237" i="1" s="1"/>
  <c r="R237" i="1"/>
  <c r="V238" i="1"/>
  <c r="W238" i="1" s="1"/>
  <c r="X238" i="1" s="1"/>
  <c r="R238" i="1"/>
  <c r="V55" i="1"/>
  <c r="W55" i="1" s="1"/>
  <c r="X55" i="1" s="1"/>
  <c r="R55" i="1"/>
  <c r="V245" i="1"/>
  <c r="W245" i="1" s="1"/>
  <c r="X245" i="1" s="1"/>
  <c r="R245" i="1"/>
  <c r="O160" i="1"/>
  <c r="K160" i="1"/>
  <c r="O207" i="1"/>
  <c r="K207" i="1"/>
  <c r="D3" i="1"/>
  <c r="O141" i="1"/>
  <c r="V141" i="1" s="1"/>
  <c r="W141" i="1" s="1"/>
  <c r="X141" i="1" s="1"/>
  <c r="Z141" i="1" s="1"/>
  <c r="V296" i="1"/>
  <c r="W296" i="1" s="1"/>
  <c r="X296" i="1" s="1"/>
  <c r="K181" i="1"/>
  <c r="K316" i="1"/>
  <c r="O443" i="1"/>
  <c r="V443" i="1" s="1"/>
  <c r="W443" i="1" s="1"/>
  <c r="K47" i="1"/>
  <c r="O307" i="1"/>
  <c r="R307" i="1" s="1"/>
  <c r="O341" i="1"/>
  <c r="V341" i="1" s="1"/>
  <c r="W341" i="1" s="1"/>
  <c r="X341" i="1" s="1"/>
  <c r="O171" i="1"/>
  <c r="V171" i="1" s="1"/>
  <c r="W171" i="1" s="1"/>
  <c r="M481" i="1"/>
  <c r="O119" i="1"/>
  <c r="R119" i="1" s="1"/>
  <c r="O299" i="1"/>
  <c r="R299" i="1" s="1"/>
  <c r="O83" i="1"/>
  <c r="V83" i="1" s="1"/>
  <c r="W83" i="1" s="1"/>
  <c r="K261" i="1"/>
  <c r="O30" i="1"/>
  <c r="R30" i="1" s="1"/>
  <c r="K31" i="1"/>
  <c r="K55" i="1"/>
  <c r="R132" i="1"/>
  <c r="K131" i="1"/>
  <c r="R41" i="1"/>
  <c r="K52" i="1"/>
  <c r="O201" i="1"/>
  <c r="R201" i="1" s="1"/>
  <c r="O169" i="1"/>
  <c r="V169" i="1" s="1"/>
  <c r="W169" i="1" s="1"/>
  <c r="R289" i="1"/>
  <c r="K456" i="1"/>
  <c r="R288" i="1"/>
  <c r="K371" i="1"/>
  <c r="V315" i="1"/>
  <c r="W315" i="1" s="1"/>
  <c r="X315" i="1" s="1"/>
  <c r="O40" i="1"/>
  <c r="R40" i="1" s="1"/>
  <c r="K418" i="1"/>
  <c r="O463" i="1"/>
  <c r="V463" i="1" s="1"/>
  <c r="W463" i="1" s="1"/>
  <c r="K321" i="1"/>
  <c r="K186" i="1"/>
  <c r="O480" i="1"/>
  <c r="V480" i="1" s="1"/>
  <c r="W480" i="1" s="1"/>
  <c r="O309" i="1"/>
  <c r="R309" i="1" s="1"/>
  <c r="V52" i="1"/>
  <c r="W52" i="1" s="1"/>
  <c r="X52" i="1" s="1"/>
  <c r="R456" i="1"/>
  <c r="R371" i="1"/>
  <c r="O417" i="1"/>
  <c r="R417" i="1" s="1"/>
  <c r="O403" i="1"/>
  <c r="V403" i="1" s="1"/>
  <c r="W403" i="1" s="1"/>
  <c r="X403" i="1" s="1"/>
  <c r="O336" i="1"/>
  <c r="V336" i="1" s="1"/>
  <c r="W336" i="1" s="1"/>
  <c r="X336" i="1" s="1"/>
  <c r="R61" i="1"/>
  <c r="V181" i="1"/>
  <c r="W181" i="1" s="1"/>
  <c r="X181" i="1" s="1"/>
  <c r="O159" i="1"/>
  <c r="R159" i="1" s="1"/>
  <c r="M486" i="1"/>
  <c r="O486" i="1" s="1"/>
  <c r="R486" i="1" s="1"/>
  <c r="O175" i="1"/>
  <c r="V175" i="1" s="1"/>
  <c r="W175" i="1" s="1"/>
  <c r="O496" i="1"/>
  <c r="R496" i="1" s="1"/>
  <c r="O305" i="1"/>
  <c r="V305" i="1" s="1"/>
  <c r="W305" i="1" s="1"/>
  <c r="V82" i="1"/>
  <c r="W82" i="1" s="1"/>
  <c r="X82" i="1" s="1"/>
  <c r="Y82" i="1" s="1"/>
  <c r="O326" i="1"/>
  <c r="V326" i="1" s="1"/>
  <c r="W326" i="1" s="1"/>
  <c r="R6" i="1"/>
  <c r="V348" i="1"/>
  <c r="W348" i="1" s="1"/>
  <c r="X348" i="1" s="1"/>
  <c r="R232" i="1"/>
  <c r="O102" i="1"/>
  <c r="K102" i="1"/>
  <c r="O57" i="1"/>
  <c r="K57" i="1"/>
  <c r="R408" i="1"/>
  <c r="V408" i="1"/>
  <c r="W408" i="1" s="1"/>
  <c r="X408" i="1" s="1"/>
  <c r="O150" i="1"/>
  <c r="V150" i="1" s="1"/>
  <c r="W150" i="1" s="1"/>
  <c r="X150" i="1" s="1"/>
  <c r="K150" i="1"/>
  <c r="O212" i="1"/>
  <c r="V212" i="1" s="1"/>
  <c r="W212" i="1" s="1"/>
  <c r="X212" i="1" s="1"/>
  <c r="K212" i="1"/>
  <c r="O397" i="1"/>
  <c r="V397" i="1" s="1"/>
  <c r="W397" i="1" s="1"/>
  <c r="X397" i="1" s="1"/>
  <c r="K397" i="1"/>
  <c r="K37" i="1"/>
  <c r="O37" i="1"/>
  <c r="O44" i="1"/>
  <c r="K44" i="1"/>
  <c r="R449" i="1"/>
  <c r="V449" i="1"/>
  <c r="W449" i="1" s="1"/>
  <c r="X449" i="1" s="1"/>
  <c r="X54" i="1"/>
  <c r="Z54" i="1" s="1"/>
  <c r="V479" i="1"/>
  <c r="W479" i="1" s="1"/>
  <c r="X479" i="1" s="1"/>
  <c r="R479" i="1"/>
  <c r="R28" i="1"/>
  <c r="V28" i="1"/>
  <c r="W28" i="1" s="1"/>
  <c r="X28" i="1" s="1"/>
  <c r="V90" i="1"/>
  <c r="W90" i="1" s="1"/>
  <c r="X90" i="1" s="1"/>
  <c r="R90" i="1"/>
  <c r="K382" i="1"/>
  <c r="O382" i="1"/>
  <c r="V477" i="1"/>
  <c r="W477" i="1" s="1"/>
  <c r="X477" i="1" s="1"/>
  <c r="R477" i="1"/>
  <c r="O129" i="1"/>
  <c r="R129" i="1" s="1"/>
  <c r="K129" i="1"/>
  <c r="V248" i="1"/>
  <c r="W248" i="1" s="1"/>
  <c r="X248" i="1" s="1"/>
  <c r="R248" i="1"/>
  <c r="O220" i="1"/>
  <c r="K220" i="1"/>
  <c r="V285" i="1"/>
  <c r="W285" i="1" s="1"/>
  <c r="X285" i="1" s="1"/>
  <c r="R285" i="1"/>
  <c r="O206" i="1"/>
  <c r="V206" i="1" s="1"/>
  <c r="W206" i="1" s="1"/>
  <c r="X206" i="1" s="1"/>
  <c r="K206" i="1"/>
  <c r="K434" i="1"/>
  <c r="O434" i="1"/>
  <c r="O106" i="1"/>
  <c r="K106" i="1"/>
  <c r="V85" i="1"/>
  <c r="W85" i="1" s="1"/>
  <c r="R85" i="1"/>
  <c r="V352" i="1"/>
  <c r="W352" i="1" s="1"/>
  <c r="R352" i="1"/>
  <c r="O313" i="1"/>
  <c r="R313" i="1" s="1"/>
  <c r="K313" i="1"/>
  <c r="K193" i="1"/>
  <c r="O193" i="1"/>
  <c r="R250" i="1"/>
  <c r="V250" i="1"/>
  <c r="W250" i="1" s="1"/>
  <c r="X250" i="1" s="1"/>
  <c r="R442" i="1"/>
  <c r="V442" i="1"/>
  <c r="W442" i="1" s="1"/>
  <c r="X442" i="1" s="1"/>
  <c r="O185" i="1"/>
  <c r="K185" i="1"/>
  <c r="X65" i="1"/>
  <c r="Z65" i="1" s="1"/>
  <c r="X63" i="1"/>
  <c r="O14" i="1"/>
  <c r="K14" i="1"/>
  <c r="R247" i="1"/>
  <c r="V247" i="1"/>
  <c r="W247" i="1" s="1"/>
  <c r="X247" i="1" s="1"/>
  <c r="K267" i="1"/>
  <c r="O267" i="1"/>
  <c r="R267" i="1" s="1"/>
  <c r="K222" i="1"/>
  <c r="O222" i="1"/>
  <c r="V272" i="1"/>
  <c r="W272" i="1" s="1"/>
  <c r="X272" i="1" s="1"/>
  <c r="R272" i="1"/>
  <c r="V277" i="1"/>
  <c r="W277" i="1" s="1"/>
  <c r="R277" i="1"/>
  <c r="O498" i="1"/>
  <c r="V498" i="1" s="1"/>
  <c r="W498" i="1" s="1"/>
  <c r="X498" i="1" s="1"/>
  <c r="K498" i="1"/>
  <c r="K108" i="1"/>
  <c r="O108" i="1"/>
  <c r="R451" i="1"/>
  <c r="V451" i="1"/>
  <c r="W451" i="1" s="1"/>
  <c r="X451" i="1" s="1"/>
  <c r="V246" i="1"/>
  <c r="W246" i="1" s="1"/>
  <c r="X246" i="1" s="1"/>
  <c r="R246" i="1"/>
  <c r="O227" i="1"/>
  <c r="K227" i="1"/>
  <c r="V47" i="1"/>
  <c r="W47" i="1" s="1"/>
  <c r="X47" i="1" s="1"/>
  <c r="Z47" i="1" s="1"/>
  <c r="R47" i="1"/>
  <c r="V452" i="1"/>
  <c r="W452" i="1" s="1"/>
  <c r="X452" i="1" s="1"/>
  <c r="R452" i="1"/>
  <c r="V215" i="1"/>
  <c r="W215" i="1" s="1"/>
  <c r="X215" i="1" s="1"/>
  <c r="R215" i="1"/>
  <c r="X234" i="1"/>
  <c r="X67" i="1"/>
  <c r="Z67" i="1" s="1"/>
  <c r="V257" i="1"/>
  <c r="W257" i="1" s="1"/>
  <c r="X257" i="1" s="1"/>
  <c r="R257" i="1"/>
  <c r="R249" i="1"/>
  <c r="V249" i="1"/>
  <c r="W249" i="1" s="1"/>
  <c r="X249" i="1" s="1"/>
  <c r="V283" i="1"/>
  <c r="W283" i="1" s="1"/>
  <c r="X283" i="1" s="1"/>
  <c r="R283" i="1"/>
  <c r="X145" i="1"/>
  <c r="Y145" i="1" s="1"/>
  <c r="K189" i="1"/>
  <c r="O189" i="1"/>
  <c r="V180" i="1"/>
  <c r="W180" i="1" s="1"/>
  <c r="X180" i="1" s="1"/>
  <c r="R180" i="1"/>
  <c r="V221" i="1"/>
  <c r="W221" i="1" s="1"/>
  <c r="R221" i="1"/>
  <c r="V174" i="1"/>
  <c r="W174" i="1" s="1"/>
  <c r="X174" i="1" s="1"/>
  <c r="R174" i="1"/>
  <c r="O495" i="1"/>
  <c r="K495" i="1"/>
  <c r="K15" i="1"/>
  <c r="O15" i="1"/>
  <c r="V84" i="1"/>
  <c r="W84" i="1" s="1"/>
  <c r="X84" i="1" s="1"/>
  <c r="R84" i="1"/>
  <c r="O360" i="1"/>
  <c r="K360" i="1"/>
  <c r="O357" i="1"/>
  <c r="K357" i="1"/>
  <c r="V468" i="1"/>
  <c r="W468" i="1" s="1"/>
  <c r="X468" i="1" s="1"/>
  <c r="R468" i="1"/>
  <c r="V276" i="1"/>
  <c r="W276" i="1" s="1"/>
  <c r="X276" i="1" s="1"/>
  <c r="R276" i="1"/>
  <c r="K127" i="1"/>
  <c r="O127" i="1"/>
  <c r="V127" i="1" s="1"/>
  <c r="W127" i="1" s="1"/>
  <c r="O504" i="1"/>
  <c r="V504" i="1" s="1"/>
  <c r="W504" i="1" s="1"/>
  <c r="X504" i="1" s="1"/>
  <c r="K504" i="1"/>
  <c r="O425" i="1"/>
  <c r="V425" i="1" s="1"/>
  <c r="W425" i="1" s="1"/>
  <c r="X425" i="1" s="1"/>
  <c r="R424" i="1"/>
  <c r="O426" i="1"/>
  <c r="V426" i="1" s="1"/>
  <c r="W426" i="1" s="1"/>
  <c r="X426" i="1" s="1"/>
  <c r="R192" i="1"/>
  <c r="Y97" i="1"/>
  <c r="O178" i="1"/>
  <c r="O115" i="1"/>
  <c r="V115" i="1" s="1"/>
  <c r="W115" i="1" s="1"/>
  <c r="X115" i="1" s="1"/>
  <c r="R235" i="1"/>
  <c r="O116" i="1"/>
  <c r="V116" i="1" s="1"/>
  <c r="W116" i="1" s="1"/>
  <c r="X116" i="1" s="1"/>
  <c r="O162" i="1"/>
  <c r="R162" i="1" s="1"/>
  <c r="O48" i="1"/>
  <c r="V48" i="1" s="1"/>
  <c r="W48" i="1" s="1"/>
  <c r="Z338" i="1"/>
  <c r="O223" i="1"/>
  <c r="R223" i="1" s="1"/>
  <c r="V421" i="1"/>
  <c r="W421" i="1" s="1"/>
  <c r="X421" i="1" s="1"/>
  <c r="O387" i="1"/>
  <c r="O87" i="1"/>
  <c r="V87" i="1" s="1"/>
  <c r="W87" i="1" s="1"/>
  <c r="O117" i="1"/>
  <c r="V117" i="1" s="1"/>
  <c r="W117" i="1" s="1"/>
  <c r="K82" i="1"/>
  <c r="O383" i="1"/>
  <c r="R383" i="1" s="1"/>
  <c r="O370" i="1"/>
  <c r="O91" i="1"/>
  <c r="R91" i="1" s="1"/>
  <c r="R358" i="1"/>
  <c r="X69" i="1"/>
  <c r="Z69" i="1" s="1"/>
  <c r="V256" i="1"/>
  <c r="W256" i="1" s="1"/>
  <c r="X256" i="1" s="1"/>
  <c r="O26" i="1"/>
  <c r="V26" i="1" s="1"/>
  <c r="W26" i="1" s="1"/>
  <c r="O11" i="1"/>
  <c r="V11" i="1" s="1"/>
  <c r="W11" i="1" s="1"/>
  <c r="R239" i="1"/>
  <c r="R258" i="1"/>
  <c r="R490" i="1"/>
  <c r="V294" i="1"/>
  <c r="W294" i="1" s="1"/>
  <c r="X294" i="1" s="1"/>
  <c r="V494" i="1"/>
  <c r="W494" i="1" s="1"/>
  <c r="X494" i="1" s="1"/>
  <c r="O199" i="1"/>
  <c r="V199" i="1" s="1"/>
  <c r="W199" i="1" s="1"/>
  <c r="X199" i="1" s="1"/>
  <c r="O10" i="1"/>
  <c r="V10" i="1" s="1"/>
  <c r="W10" i="1" s="1"/>
  <c r="X10" i="1" s="1"/>
  <c r="K400" i="1"/>
  <c r="K192" i="1"/>
  <c r="K219" i="1"/>
  <c r="V219" i="1"/>
  <c r="W219" i="1" s="1"/>
  <c r="X219" i="1" s="1"/>
  <c r="K54" i="1"/>
  <c r="K469" i="1"/>
  <c r="V469" i="1"/>
  <c r="W469" i="1" s="1"/>
  <c r="X469" i="1" s="1"/>
  <c r="K84" i="1"/>
  <c r="K154" i="1"/>
  <c r="V154" i="1"/>
  <c r="W154" i="1" s="1"/>
  <c r="X154" i="1" s="1"/>
  <c r="K354" i="1"/>
  <c r="K474" i="1"/>
  <c r="V474" i="1"/>
  <c r="W474" i="1" s="1"/>
  <c r="X474" i="1" s="1"/>
  <c r="K234" i="1"/>
  <c r="K477" i="1"/>
  <c r="K352" i="1"/>
  <c r="K358" i="1"/>
  <c r="K120" i="1"/>
  <c r="V120" i="1"/>
  <c r="W120" i="1" s="1"/>
  <c r="X120" i="1" s="1"/>
  <c r="K70" i="1"/>
  <c r="V70" i="1"/>
  <c r="W70" i="1" s="1"/>
  <c r="X70" i="1" s="1"/>
  <c r="K368" i="1"/>
  <c r="K163" i="1"/>
  <c r="K35" i="1"/>
  <c r="K468" i="1"/>
  <c r="J201" i="1"/>
  <c r="K201" i="1" s="1"/>
  <c r="O194" i="1"/>
  <c r="V194" i="1" s="1"/>
  <c r="W194" i="1" s="1"/>
  <c r="O202" i="1"/>
  <c r="V202" i="1" s="1"/>
  <c r="W202" i="1" s="1"/>
  <c r="J204" i="1"/>
  <c r="K204" i="1" s="1"/>
  <c r="K213" i="1"/>
  <c r="K126" i="1"/>
  <c r="K319" i="1"/>
  <c r="K124" i="1"/>
  <c r="K125" i="1"/>
  <c r="K394" i="1"/>
  <c r="K112" i="1"/>
  <c r="O50" i="1"/>
  <c r="R50" i="1" s="1"/>
  <c r="O297" i="1"/>
  <c r="R297" i="1" s="1"/>
  <c r="K145" i="1"/>
  <c r="O191" i="1"/>
  <c r="V191" i="1" s="1"/>
  <c r="W191" i="1" s="1"/>
  <c r="X191" i="1" s="1"/>
  <c r="O143" i="1"/>
  <c r="V143" i="1" s="1"/>
  <c r="W143" i="1" s="1"/>
  <c r="X143" i="1" s="1"/>
  <c r="O122" i="1"/>
  <c r="R122" i="1" s="1"/>
  <c r="O114" i="1"/>
  <c r="V114" i="1" s="1"/>
  <c r="W114" i="1" s="1"/>
  <c r="X114" i="1" s="1"/>
  <c r="O188" i="1"/>
  <c r="V188" i="1" s="1"/>
  <c r="W188" i="1" s="1"/>
  <c r="X188" i="1" s="1"/>
  <c r="O176" i="1"/>
  <c r="R176" i="1" s="1"/>
  <c r="R467" i="1"/>
  <c r="O340" i="1"/>
  <c r="V340" i="1" s="1"/>
  <c r="W340" i="1" s="1"/>
  <c r="X340" i="1" s="1"/>
  <c r="O339" i="1"/>
  <c r="V339" i="1" s="1"/>
  <c r="W339" i="1" s="1"/>
  <c r="X339" i="1" s="1"/>
  <c r="O170" i="1"/>
  <c r="V170" i="1" s="1"/>
  <c r="W170" i="1" s="1"/>
  <c r="M312" i="1"/>
  <c r="O379" i="1"/>
  <c r="V379" i="1" s="1"/>
  <c r="W379" i="1" s="1"/>
  <c r="X379" i="1" s="1"/>
  <c r="O376" i="1"/>
  <c r="V376" i="1" s="1"/>
  <c r="W376" i="1" s="1"/>
  <c r="O7" i="1"/>
  <c r="V7" i="1" s="1"/>
  <c r="W7" i="1" s="1"/>
  <c r="O471" i="1"/>
  <c r="R471" i="1" s="1"/>
  <c r="V423" i="1"/>
  <c r="W423" i="1" s="1"/>
  <c r="X423" i="1" s="1"/>
  <c r="V354" i="1"/>
  <c r="W354" i="1" s="1"/>
  <c r="X354" i="1" s="1"/>
  <c r="R31" i="1"/>
  <c r="V60" i="1"/>
  <c r="W60" i="1" s="1"/>
  <c r="O335" i="1"/>
  <c r="V335" i="1" s="1"/>
  <c r="W335" i="1" s="1"/>
  <c r="X335" i="1" s="1"/>
  <c r="K132" i="1"/>
  <c r="R163" i="1"/>
  <c r="R35" i="1"/>
  <c r="K136" i="1"/>
  <c r="O195" i="1"/>
  <c r="V195" i="1" s="1"/>
  <c r="W195" i="1" s="1"/>
  <c r="O259" i="1"/>
  <c r="V259" i="1" s="1"/>
  <c r="W259" i="1" s="1"/>
  <c r="X259" i="1" s="1"/>
  <c r="O196" i="1"/>
  <c r="V196" i="1" s="1"/>
  <c r="W196" i="1" s="1"/>
  <c r="R213" i="1"/>
  <c r="O24" i="1"/>
  <c r="V24" i="1" s="1"/>
  <c r="W24" i="1" s="1"/>
  <c r="R125" i="1"/>
  <c r="K139" i="1"/>
  <c r="R510" i="1"/>
  <c r="K138" i="1"/>
  <c r="R112" i="1"/>
  <c r="R49" i="1"/>
  <c r="O428" i="1"/>
  <c r="K428" i="1"/>
  <c r="V488" i="1"/>
  <c r="W488" i="1" s="1"/>
  <c r="R488" i="1"/>
  <c r="O399" i="1"/>
  <c r="K399" i="1"/>
  <c r="O38" i="1"/>
  <c r="K38" i="1"/>
  <c r="X400" i="1"/>
  <c r="O308" i="1"/>
  <c r="K308" i="1"/>
  <c r="V446" i="1"/>
  <c r="W446" i="1" s="1"/>
  <c r="R446" i="1"/>
  <c r="X424" i="1"/>
  <c r="O427" i="1"/>
  <c r="K427" i="1"/>
  <c r="K429" i="1"/>
  <c r="O429" i="1"/>
  <c r="K161" i="1"/>
  <c r="O161" i="1"/>
  <c r="V190" i="1"/>
  <c r="W190" i="1" s="1"/>
  <c r="R190" i="1"/>
  <c r="O12" i="1"/>
  <c r="K12" i="1"/>
  <c r="K98" i="1"/>
  <c r="O98" i="1"/>
  <c r="R447" i="1"/>
  <c r="V447" i="1"/>
  <c r="W447" i="1" s="1"/>
  <c r="K420" i="1"/>
  <c r="O420" i="1"/>
  <c r="O311" i="1"/>
  <c r="K311" i="1"/>
  <c r="O105" i="1"/>
  <c r="K105" i="1"/>
  <c r="O59" i="1"/>
  <c r="K59" i="1"/>
  <c r="O101" i="1"/>
  <c r="K101" i="1"/>
  <c r="O107" i="1"/>
  <c r="K107" i="1"/>
  <c r="O103" i="1"/>
  <c r="K103" i="1"/>
  <c r="O104" i="1"/>
  <c r="K104" i="1"/>
  <c r="O110" i="1"/>
  <c r="K110" i="1"/>
  <c r="R411" i="1"/>
  <c r="V411" i="1"/>
  <c r="W411" i="1" s="1"/>
  <c r="V323" i="1"/>
  <c r="W323" i="1" s="1"/>
  <c r="R323" i="1"/>
  <c r="O45" i="1"/>
  <c r="K45" i="1"/>
  <c r="V410" i="1"/>
  <c r="W410" i="1" s="1"/>
  <c r="R410" i="1"/>
  <c r="V242" i="1"/>
  <c r="W242" i="1" s="1"/>
  <c r="R242" i="1"/>
  <c r="R439" i="1"/>
  <c r="V439" i="1"/>
  <c r="W439" i="1" s="1"/>
  <c r="X467" i="1"/>
  <c r="O375" i="1"/>
  <c r="K375" i="1"/>
  <c r="R156" i="1"/>
  <c r="V156" i="1"/>
  <c r="W156" i="1" s="1"/>
  <c r="R92" i="1"/>
  <c r="V92" i="1"/>
  <c r="W92" i="1" s="1"/>
  <c r="K473" i="1"/>
  <c r="O473" i="1"/>
  <c r="Z358" i="1"/>
  <c r="Y358" i="1"/>
  <c r="R252" i="1"/>
  <c r="V252" i="1"/>
  <c r="W252" i="1" s="1"/>
  <c r="O265" i="1"/>
  <c r="K265" i="1"/>
  <c r="K99" i="1"/>
  <c r="O99" i="1"/>
  <c r="K13" i="1"/>
  <c r="O13" i="1"/>
  <c r="O217" i="1"/>
  <c r="K217" i="1"/>
  <c r="K39" i="1"/>
  <c r="O39" i="1"/>
  <c r="R152" i="1"/>
  <c r="V152" i="1"/>
  <c r="W152" i="1" s="1"/>
  <c r="K390" i="1"/>
  <c r="O390" i="1"/>
  <c r="R241" i="1"/>
  <c r="V241" i="1"/>
  <c r="W241" i="1" s="1"/>
  <c r="K46" i="1"/>
  <c r="O46" i="1"/>
  <c r="K64" i="1"/>
  <c r="O64" i="1"/>
  <c r="K172" i="1"/>
  <c r="O172" i="1"/>
  <c r="K378" i="1"/>
  <c r="O378" i="1"/>
  <c r="X80" i="1"/>
  <c r="K487" i="1"/>
  <c r="O487" i="1"/>
  <c r="O118" i="1"/>
  <c r="K118" i="1"/>
  <c r="O385" i="1"/>
  <c r="K385" i="1"/>
  <c r="R153" i="1"/>
  <c r="V153" i="1"/>
  <c r="W153" i="1" s="1"/>
  <c r="O384" i="1"/>
  <c r="K384" i="1"/>
  <c r="O478" i="1"/>
  <c r="K478" i="1"/>
  <c r="K73" i="1"/>
  <c r="O73" i="1"/>
  <c r="Z132" i="1"/>
  <c r="Y132" i="1"/>
  <c r="K135" i="1"/>
  <c r="O135" i="1"/>
  <c r="K50" i="1"/>
  <c r="O230" i="1"/>
  <c r="V298" i="1"/>
  <c r="W298" i="1" s="1"/>
  <c r="V414" i="1"/>
  <c r="W414" i="1" s="1"/>
  <c r="V448" i="1"/>
  <c r="W448" i="1" s="1"/>
  <c r="O373" i="1"/>
  <c r="O374" i="1"/>
  <c r="O401" i="1"/>
  <c r="V431" i="1"/>
  <c r="W431" i="1" s="1"/>
  <c r="O100" i="1"/>
  <c r="O142" i="1"/>
  <c r="O109" i="1"/>
  <c r="K190" i="1"/>
  <c r="K323" i="1"/>
  <c r="K61" i="1"/>
  <c r="K324" i="1"/>
  <c r="O324" i="1"/>
  <c r="O179" i="1"/>
  <c r="K179" i="1"/>
  <c r="R240" i="1"/>
  <c r="V240" i="1"/>
  <c r="W240" i="1" s="1"/>
  <c r="R445" i="1"/>
  <c r="V445" i="1"/>
  <c r="W445" i="1" s="1"/>
  <c r="O484" i="1"/>
  <c r="K484" i="1"/>
  <c r="R94" i="1"/>
  <c r="V94" i="1"/>
  <c r="W94" i="1" s="1"/>
  <c r="K381" i="1"/>
  <c r="O381" i="1"/>
  <c r="O435" i="1"/>
  <c r="K435" i="1"/>
  <c r="O86" i="1"/>
  <c r="K86" i="1"/>
  <c r="K260" i="1"/>
  <c r="O260" i="1"/>
  <c r="O75" i="1"/>
  <c r="K75" i="1"/>
  <c r="X192" i="1"/>
  <c r="O314" i="1"/>
  <c r="K314" i="1"/>
  <c r="O325" i="1"/>
  <c r="K325" i="1"/>
  <c r="R244" i="1"/>
  <c r="V244" i="1"/>
  <c r="W244" i="1" s="1"/>
  <c r="K395" i="1"/>
  <c r="O395" i="1"/>
  <c r="K301" i="1"/>
  <c r="O301" i="1"/>
  <c r="X78" i="1"/>
  <c r="O380" i="1"/>
  <c r="K380" i="1"/>
  <c r="O88" i="1"/>
  <c r="K88" i="1"/>
  <c r="X77" i="1"/>
  <c r="O72" i="1"/>
  <c r="K72" i="1"/>
  <c r="X239" i="1"/>
  <c r="K167" i="1"/>
  <c r="O167" i="1"/>
  <c r="O430" i="1"/>
  <c r="V430" i="1" s="1"/>
  <c r="W430" i="1" s="1"/>
  <c r="O405" i="1"/>
  <c r="V405" i="1" s="1"/>
  <c r="W405" i="1" s="1"/>
  <c r="O404" i="1"/>
  <c r="V404" i="1" s="1"/>
  <c r="W404" i="1" s="1"/>
  <c r="O402" i="1"/>
  <c r="V402" i="1" s="1"/>
  <c r="W402" i="1" s="1"/>
  <c r="O406" i="1"/>
  <c r="V406" i="1" s="1"/>
  <c r="W406" i="1" s="1"/>
  <c r="O398" i="1"/>
  <c r="V398" i="1" s="1"/>
  <c r="W398" i="1" s="1"/>
  <c r="J297" i="1"/>
  <c r="K297" i="1" s="1"/>
  <c r="O332" i="1"/>
  <c r="V332" i="1" s="1"/>
  <c r="W332" i="1" s="1"/>
  <c r="O334" i="1"/>
  <c r="V334" i="1" s="1"/>
  <c r="W334" i="1" s="1"/>
  <c r="O454" i="1"/>
  <c r="K454" i="1"/>
  <c r="O89" i="1"/>
  <c r="K89" i="1"/>
  <c r="O356" i="1"/>
  <c r="K356" i="1"/>
  <c r="O134" i="1"/>
  <c r="K134" i="1"/>
  <c r="X61" i="1"/>
  <c r="O182" i="1"/>
  <c r="K182" i="1"/>
  <c r="O151" i="1"/>
  <c r="K151" i="1"/>
  <c r="K183" i="1"/>
  <c r="O183" i="1"/>
  <c r="R413" i="1"/>
  <c r="V413" i="1"/>
  <c r="W413" i="1" s="1"/>
  <c r="O74" i="1"/>
  <c r="K74" i="1"/>
  <c r="K455" i="1"/>
  <c r="O455" i="1"/>
  <c r="R505" i="1"/>
  <c r="V505" i="1"/>
  <c r="W505" i="1" s="1"/>
  <c r="O225" i="1"/>
  <c r="K225" i="1"/>
  <c r="O342" i="1"/>
  <c r="K342" i="1"/>
  <c r="O476" i="1"/>
  <c r="K476" i="1"/>
  <c r="V483" i="1"/>
  <c r="W483" i="1" s="1"/>
  <c r="R483" i="1"/>
  <c r="O389" i="1"/>
  <c r="K389" i="1"/>
  <c r="O184" i="1"/>
  <c r="K184" i="1"/>
  <c r="O173" i="1"/>
  <c r="K173" i="1"/>
  <c r="K300" i="1"/>
  <c r="O300" i="1"/>
  <c r="R5" i="1"/>
  <c r="V5" i="1"/>
  <c r="W5" i="1" s="1"/>
  <c r="O437" i="1"/>
  <c r="K437" i="1"/>
  <c r="X79" i="1"/>
  <c r="O377" i="1"/>
  <c r="K377" i="1"/>
  <c r="K146" i="1"/>
  <c r="O146" i="1"/>
  <c r="O32" i="1"/>
  <c r="K32" i="1"/>
  <c r="K329" i="1"/>
  <c r="O329" i="1"/>
  <c r="V329" i="1" s="1"/>
  <c r="W329" i="1" s="1"/>
  <c r="R236" i="1"/>
  <c r="V236" i="1"/>
  <c r="W236" i="1" s="1"/>
  <c r="M485" i="1"/>
  <c r="O485" i="1" s="1"/>
  <c r="V485" i="1" s="1"/>
  <c r="W485" i="1" s="1"/>
  <c r="R261" i="1"/>
  <c r="V261" i="1"/>
  <c r="W261" i="1" s="1"/>
  <c r="O17" i="1"/>
  <c r="K17" i="1"/>
  <c r="X6" i="1"/>
  <c r="O155" i="1"/>
  <c r="K155" i="1"/>
  <c r="O353" i="1"/>
  <c r="K353" i="1"/>
  <c r="Y68" i="1"/>
  <c r="Z68" i="1"/>
  <c r="O187" i="1"/>
  <c r="K187" i="1"/>
  <c r="V251" i="1"/>
  <c r="W251" i="1" s="1"/>
  <c r="R251" i="1"/>
  <c r="O56" i="1"/>
  <c r="K56" i="1"/>
  <c r="K461" i="1"/>
  <c r="O461" i="1"/>
  <c r="O218" i="1"/>
  <c r="K393" i="1"/>
  <c r="V393" i="1"/>
  <c r="W393" i="1" s="1"/>
  <c r="K158" i="1"/>
  <c r="V158" i="1"/>
  <c r="W158" i="1" s="1"/>
  <c r="K229" i="1"/>
  <c r="V229" i="1"/>
  <c r="W229" i="1" s="1"/>
  <c r="K386" i="1"/>
  <c r="V386" i="1"/>
  <c r="W386" i="1" s="1"/>
  <c r="K497" i="1"/>
  <c r="V497" i="1"/>
  <c r="W497" i="1" s="1"/>
  <c r="K470" i="1"/>
  <c r="V470" i="1"/>
  <c r="W470" i="1" s="1"/>
  <c r="K303" i="1"/>
  <c r="V303" i="1"/>
  <c r="W303" i="1" s="1"/>
  <c r="K438" i="1"/>
  <c r="V438" i="1"/>
  <c r="W438" i="1" s="1"/>
  <c r="O33" i="1"/>
  <c r="R131" i="1"/>
  <c r="X235" i="1"/>
  <c r="K458" i="1"/>
  <c r="O458" i="1"/>
  <c r="O304" i="1"/>
  <c r="K304" i="1"/>
  <c r="O58" i="1"/>
  <c r="K58" i="1"/>
  <c r="O310" i="1"/>
  <c r="K310" i="1"/>
  <c r="O464" i="1"/>
  <c r="V464" i="1" s="1"/>
  <c r="W464" i="1" s="1"/>
  <c r="K464" i="1"/>
  <c r="R255" i="1"/>
  <c r="V255" i="1"/>
  <c r="W255" i="1" s="1"/>
  <c r="O133" i="1"/>
  <c r="K133" i="1"/>
  <c r="K53" i="1"/>
  <c r="O53" i="1"/>
  <c r="K81" i="1"/>
  <c r="O81" i="1"/>
  <c r="K218" i="1"/>
  <c r="K467" i="1"/>
  <c r="K479" i="1"/>
  <c r="K452" i="1"/>
  <c r="K174" i="1"/>
  <c r="K85" i="1"/>
  <c r="K370" i="1"/>
  <c r="K215" i="1"/>
  <c r="K90" i="1"/>
  <c r="K60" i="1"/>
  <c r="R450" i="1"/>
  <c r="V450" i="1"/>
  <c r="W450" i="1" s="1"/>
  <c r="R95" i="1"/>
  <c r="V95" i="1"/>
  <c r="W95" i="1" s="1"/>
  <c r="K231" i="1"/>
  <c r="O231" i="1"/>
  <c r="O359" i="1"/>
  <c r="K359" i="1"/>
  <c r="O306" i="1"/>
  <c r="K306" i="1"/>
  <c r="Z31" i="1"/>
  <c r="Y31" i="1"/>
  <c r="Y368" i="1"/>
  <c r="Z368" i="1"/>
  <c r="Z131" i="1"/>
  <c r="Y131" i="1"/>
  <c r="V129" i="1"/>
  <c r="W129" i="1" s="1"/>
  <c r="X258" i="1"/>
  <c r="X163" i="1"/>
  <c r="K503" i="1"/>
  <c r="O503" i="1"/>
  <c r="X35" i="1"/>
  <c r="K130" i="1"/>
  <c r="O130" i="1"/>
  <c r="O43" i="1"/>
  <c r="K43" i="1"/>
  <c r="O264" i="1"/>
  <c r="K264" i="1"/>
  <c r="O266" i="1"/>
  <c r="K266" i="1"/>
  <c r="R63" i="1"/>
  <c r="R234" i="1"/>
  <c r="O465" i="1"/>
  <c r="V465" i="1" s="1"/>
  <c r="W465" i="1" s="1"/>
  <c r="O23" i="1"/>
  <c r="V23" i="1" s="1"/>
  <c r="W23" i="1" s="1"/>
  <c r="O355" i="1"/>
  <c r="K355" i="1"/>
  <c r="O351" i="1"/>
  <c r="K351" i="1"/>
  <c r="O302" i="1"/>
  <c r="K302" i="1"/>
  <c r="O36" i="1"/>
  <c r="K36" i="1"/>
  <c r="X41" i="1"/>
  <c r="K164" i="1"/>
  <c r="O164" i="1"/>
  <c r="K263" i="1"/>
  <c r="O263" i="1"/>
  <c r="R253" i="1"/>
  <c r="V253" i="1"/>
  <c r="W253" i="1" s="1"/>
  <c r="K177" i="1"/>
  <c r="O177" i="1"/>
  <c r="X333" i="1"/>
  <c r="Z333" i="1" s="1"/>
  <c r="O9" i="1"/>
  <c r="R508" i="1"/>
  <c r="V508" i="1"/>
  <c r="W508" i="1" s="1"/>
  <c r="O42" i="1"/>
  <c r="K42" i="1"/>
  <c r="O137" i="1"/>
  <c r="V137" i="1" s="1"/>
  <c r="W137" i="1" s="1"/>
  <c r="K137" i="1"/>
  <c r="R502" i="1"/>
  <c r="V502" i="1"/>
  <c r="W502" i="1" s="1"/>
  <c r="R279" i="1"/>
  <c r="V279" i="1"/>
  <c r="W279" i="1" s="1"/>
  <c r="X27" i="1"/>
  <c r="R506" i="1"/>
  <c r="O113" i="1"/>
  <c r="O166" i="1"/>
  <c r="K166" i="1"/>
  <c r="X506" i="1"/>
  <c r="O262" i="1"/>
  <c r="K262" i="1"/>
  <c r="R501" i="1"/>
  <c r="V501" i="1"/>
  <c r="W501" i="1" s="1"/>
  <c r="Y136" i="1"/>
  <c r="Z136" i="1"/>
  <c r="R441" i="1"/>
  <c r="V441" i="1"/>
  <c r="W441" i="1" s="1"/>
  <c r="R197" i="1"/>
  <c r="V197" i="1"/>
  <c r="W197" i="1" s="1"/>
  <c r="R198" i="1"/>
  <c r="V198" i="1"/>
  <c r="W198" i="1" s="1"/>
  <c r="R280" i="1"/>
  <c r="V280" i="1"/>
  <c r="W280" i="1" s="1"/>
  <c r="R291" i="1"/>
  <c r="V291" i="1"/>
  <c r="W291" i="1" s="1"/>
  <c r="X157" i="1"/>
  <c r="X493" i="1"/>
  <c r="X284" i="1"/>
  <c r="O372" i="1"/>
  <c r="K372" i="1"/>
  <c r="R440" i="1"/>
  <c r="V440" i="1"/>
  <c r="W440" i="1" s="1"/>
  <c r="R509" i="1"/>
  <c r="V509" i="1"/>
  <c r="W509" i="1" s="1"/>
  <c r="R346" i="1"/>
  <c r="V346" i="1"/>
  <c r="W346" i="1" s="1"/>
  <c r="R344" i="1"/>
  <c r="V344" i="1"/>
  <c r="W344" i="1" s="1"/>
  <c r="R349" i="1"/>
  <c r="V349" i="1"/>
  <c r="W349" i="1" s="1"/>
  <c r="O224" i="1"/>
  <c r="K224" i="1"/>
  <c r="R20" i="1"/>
  <c r="V20" i="1"/>
  <c r="W20" i="1" s="1"/>
  <c r="X490" i="1"/>
  <c r="R275" i="1"/>
  <c r="V275" i="1"/>
  <c r="W275" i="1" s="1"/>
  <c r="R203" i="1"/>
  <c r="V203" i="1"/>
  <c r="W203" i="1" s="1"/>
  <c r="R290" i="1"/>
  <c r="V290" i="1"/>
  <c r="W290" i="1" s="1"/>
  <c r="R286" i="1"/>
  <c r="V286" i="1"/>
  <c r="W286" i="1" s="1"/>
  <c r="R269" i="1"/>
  <c r="V269" i="1"/>
  <c r="W269" i="1" s="1"/>
  <c r="X273" i="1"/>
  <c r="O499" i="1"/>
  <c r="V499" i="1" s="1"/>
  <c r="W499" i="1" s="1"/>
  <c r="V21" i="1"/>
  <c r="W21" i="1" s="1"/>
  <c r="O18" i="1"/>
  <c r="K18" i="1"/>
  <c r="O369" i="1"/>
  <c r="V369" i="1" s="1"/>
  <c r="W369" i="1" s="1"/>
  <c r="K369" i="1"/>
  <c r="R22" i="1"/>
  <c r="V22" i="1"/>
  <c r="W22" i="1" s="1"/>
  <c r="R293" i="1"/>
  <c r="V293" i="1"/>
  <c r="W293" i="1" s="1"/>
  <c r="R274" i="1"/>
  <c r="V274" i="1"/>
  <c r="W274" i="1" s="1"/>
  <c r="K333" i="1"/>
  <c r="V444" i="1"/>
  <c r="W444" i="1" s="1"/>
  <c r="V500" i="1"/>
  <c r="W500" i="1" s="1"/>
  <c r="X270" i="1"/>
  <c r="O210" i="1"/>
  <c r="K210" i="1"/>
  <c r="O16" i="1"/>
  <c r="K16" i="1"/>
  <c r="O208" i="1"/>
  <c r="K208" i="1"/>
  <c r="O128" i="1"/>
  <c r="K128" i="1"/>
  <c r="X29" i="1"/>
  <c r="O318" i="1"/>
  <c r="K318" i="1"/>
  <c r="O111" i="1"/>
  <c r="K111" i="1"/>
  <c r="R412" i="1"/>
  <c r="V412" i="1"/>
  <c r="W412" i="1" s="1"/>
  <c r="O459" i="1"/>
  <c r="K459" i="1"/>
  <c r="V367" i="1"/>
  <c r="W367" i="1" s="1"/>
  <c r="R367" i="1"/>
  <c r="J202" i="1"/>
  <c r="K202" i="1" s="1"/>
  <c r="R157" i="1"/>
  <c r="R273" i="1"/>
  <c r="R493" i="1"/>
  <c r="R27" i="1"/>
  <c r="R284" i="1"/>
  <c r="R204" i="1"/>
  <c r="V19" i="1"/>
  <c r="W19" i="1" s="1"/>
  <c r="V205" i="1"/>
  <c r="W205" i="1" s="1"/>
  <c r="R361" i="1"/>
  <c r="R209" i="1"/>
  <c r="K462" i="1"/>
  <c r="K391" i="1"/>
  <c r="O200" i="1"/>
  <c r="J200" i="1"/>
  <c r="K200" i="1" s="1"/>
  <c r="R287" i="1"/>
  <c r="V287" i="1"/>
  <c r="W287" i="1" s="1"/>
  <c r="O62" i="1"/>
  <c r="K62" i="1"/>
  <c r="O214" i="1"/>
  <c r="K214" i="1"/>
  <c r="X361" i="1"/>
  <c r="X209" i="1"/>
  <c r="R93" i="1"/>
  <c r="V93" i="1"/>
  <c r="W93" i="1" s="1"/>
  <c r="O123" i="1"/>
  <c r="K123" i="1"/>
  <c r="R126" i="1"/>
  <c r="V126" i="1"/>
  <c r="W126" i="1" s="1"/>
  <c r="O322" i="1"/>
  <c r="K322" i="1"/>
  <c r="X125" i="1"/>
  <c r="X138" i="1"/>
  <c r="R394" i="1"/>
  <c r="V394" i="1"/>
  <c r="W394" i="1" s="1"/>
  <c r="X186" i="1"/>
  <c r="O460" i="1"/>
  <c r="K460" i="1"/>
  <c r="X49" i="1"/>
  <c r="V362" i="1"/>
  <c r="W362" i="1" s="1"/>
  <c r="R362" i="1"/>
  <c r="V363" i="1"/>
  <c r="W363" i="1" s="1"/>
  <c r="R363" i="1"/>
  <c r="V365" i="1"/>
  <c r="W365" i="1" s="1"/>
  <c r="R365" i="1"/>
  <c r="O51" i="1"/>
  <c r="O328" i="1"/>
  <c r="V328" i="1" s="1"/>
  <c r="W328" i="1" s="1"/>
  <c r="V492" i="1"/>
  <c r="W492" i="1" s="1"/>
  <c r="R321" i="1"/>
  <c r="R243" i="1"/>
  <c r="X289" i="1"/>
  <c r="X456" i="1"/>
  <c r="X288" i="1"/>
  <c r="X371" i="1"/>
  <c r="R295" i="1"/>
  <c r="V295" i="1"/>
  <c r="W295" i="1" s="1"/>
  <c r="O350" i="1"/>
  <c r="K350" i="1"/>
  <c r="O211" i="1"/>
  <c r="K211" i="1"/>
  <c r="X232" i="1"/>
  <c r="O482" i="1"/>
  <c r="K482" i="1"/>
  <c r="O457" i="1"/>
  <c r="K457" i="1"/>
  <c r="R418" i="1"/>
  <c r="V418" i="1"/>
  <c r="W418" i="1" s="1"/>
  <c r="R319" i="1"/>
  <c r="V319" i="1"/>
  <c r="W319" i="1" s="1"/>
  <c r="O320" i="1"/>
  <c r="K320" i="1"/>
  <c r="O432" i="1"/>
  <c r="K432" i="1"/>
  <c r="X139" i="1"/>
  <c r="X510" i="1"/>
  <c r="X112" i="1"/>
  <c r="X243" i="1"/>
  <c r="V292" i="1"/>
  <c r="W292" i="1" s="1"/>
  <c r="J198" i="1"/>
  <c r="K198" i="1" s="1"/>
  <c r="J194" i="1"/>
  <c r="K194" i="1" s="1"/>
  <c r="X278" i="1"/>
  <c r="K168" i="1"/>
  <c r="V168" i="1"/>
  <c r="W168" i="1" s="1"/>
  <c r="K361" i="1"/>
  <c r="K209" i="1"/>
  <c r="V507" i="1"/>
  <c r="W507" i="1" s="1"/>
  <c r="R462" i="1"/>
  <c r="R391" i="1"/>
  <c r="K49" i="1"/>
  <c r="X282" i="1"/>
  <c r="R491" i="1"/>
  <c r="V491" i="1"/>
  <c r="W491" i="1" s="1"/>
  <c r="X466" i="1"/>
  <c r="R489" i="1"/>
  <c r="V489" i="1"/>
  <c r="W489" i="1" s="1"/>
  <c r="X76" i="1"/>
  <c r="X213" i="1"/>
  <c r="O233" i="1"/>
  <c r="K233" i="1"/>
  <c r="O25" i="1"/>
  <c r="K25" i="1"/>
  <c r="O317" i="1"/>
  <c r="K317" i="1"/>
  <c r="R124" i="1"/>
  <c r="V124" i="1"/>
  <c r="W124" i="1" s="1"/>
  <c r="X321" i="1"/>
  <c r="O392" i="1"/>
  <c r="K392" i="1"/>
  <c r="R409" i="1"/>
  <c r="V409" i="1"/>
  <c r="W409" i="1" s="1"/>
  <c r="X462" i="1"/>
  <c r="X391" i="1"/>
  <c r="O396" i="1"/>
  <c r="K396" i="1"/>
  <c r="V366" i="1"/>
  <c r="W366" i="1" s="1"/>
  <c r="R366" i="1"/>
  <c r="V364" i="1"/>
  <c r="W364" i="1" s="1"/>
  <c r="R364" i="1"/>
  <c r="J197" i="1"/>
  <c r="K197" i="1" s="1"/>
  <c r="J195" i="1"/>
  <c r="K195" i="1" s="1"/>
  <c r="J203" i="1"/>
  <c r="K203" i="1" s="1"/>
  <c r="J290" i="1"/>
  <c r="K290" i="1" s="1"/>
  <c r="J291" i="1"/>
  <c r="K291" i="1" s="1"/>
  <c r="X204" i="1"/>
  <c r="V281" i="1"/>
  <c r="W281" i="1" s="1"/>
  <c r="R278" i="1"/>
  <c r="R270" i="1"/>
  <c r="K232" i="1"/>
  <c r="R29" i="1"/>
  <c r="R186" i="1"/>
  <c r="K63" i="1" l="1"/>
  <c r="R433" i="1"/>
  <c r="V472" i="1"/>
  <c r="W472" i="1" s="1"/>
  <c r="X472" i="1" s="1"/>
  <c r="R26" i="1"/>
  <c r="V162" i="1"/>
  <c r="W162" i="1" s="1"/>
  <c r="X162" i="1" s="1"/>
  <c r="V159" i="1"/>
  <c r="W159" i="1" s="1"/>
  <c r="X159" i="1" s="1"/>
  <c r="R305" i="1"/>
  <c r="R147" i="1"/>
  <c r="V299" i="1"/>
  <c r="W299" i="1" s="1"/>
  <c r="X299" i="1" s="1"/>
  <c r="V216" i="1"/>
  <c r="W216" i="1" s="1"/>
  <c r="X216" i="1" s="1"/>
  <c r="Y475" i="1"/>
  <c r="R419" i="1"/>
  <c r="Y65" i="1"/>
  <c r="R34" i="1"/>
  <c r="R463" i="1"/>
  <c r="R24" i="1"/>
  <c r="Y69" i="1"/>
  <c r="Y148" i="1"/>
  <c r="R436" i="1"/>
  <c r="R83" i="1"/>
  <c r="R191" i="1"/>
  <c r="V40" i="1"/>
  <c r="W40" i="1" s="1"/>
  <c r="X40" i="1" s="1"/>
  <c r="Y141" i="1"/>
  <c r="R443" i="1"/>
  <c r="R195" i="1"/>
  <c r="V223" i="1"/>
  <c r="W223" i="1" s="1"/>
  <c r="X223" i="1" s="1"/>
  <c r="R388" i="1"/>
  <c r="V496" i="1"/>
  <c r="W496" i="1" s="1"/>
  <c r="X496" i="1" s="1"/>
  <c r="V309" i="1"/>
  <c r="W309" i="1" s="1"/>
  <c r="X309" i="1" s="1"/>
  <c r="R117" i="1"/>
  <c r="R175" i="1"/>
  <c r="V119" i="1"/>
  <c r="W119" i="1" s="1"/>
  <c r="X119" i="1" s="1"/>
  <c r="V297" i="1"/>
  <c r="W297" i="1" s="1"/>
  <c r="X297" i="1" s="1"/>
  <c r="R475" i="1"/>
  <c r="R259" i="1"/>
  <c r="R11" i="1"/>
  <c r="V122" i="1"/>
  <c r="W122" i="1" s="1"/>
  <c r="X122" i="1" s="1"/>
  <c r="V4" i="1"/>
  <c r="W4" i="1" s="1"/>
  <c r="X4" i="1" s="1"/>
  <c r="Y4" i="1" s="1"/>
  <c r="R148" i="1"/>
  <c r="V471" i="1"/>
  <c r="W471" i="1" s="1"/>
  <c r="X471" i="1" s="1"/>
  <c r="R171" i="1"/>
  <c r="R150" i="1"/>
  <c r="R397" i="1"/>
  <c r="R202" i="1"/>
  <c r="R194" i="1"/>
  <c r="Y54" i="1"/>
  <c r="K486" i="1"/>
  <c r="R66" i="1"/>
  <c r="V8" i="1"/>
  <c r="W8" i="1" s="1"/>
  <c r="X8" i="1" s="1"/>
  <c r="V416" i="1"/>
  <c r="W416" i="1" s="1"/>
  <c r="X416" i="1" s="1"/>
  <c r="Y416" i="1" s="1"/>
  <c r="R199" i="1"/>
  <c r="R10" i="1"/>
  <c r="V91" i="1"/>
  <c r="W91" i="1" s="1"/>
  <c r="X91" i="1" s="1"/>
  <c r="V486" i="1"/>
  <c r="W486" i="1" s="1"/>
  <c r="X486" i="1" s="1"/>
  <c r="Z145" i="1"/>
  <c r="R453" i="1"/>
  <c r="V201" i="1"/>
  <c r="W201" i="1" s="1"/>
  <c r="X201" i="1" s="1"/>
  <c r="R127" i="1"/>
  <c r="V313" i="1"/>
  <c r="W313" i="1" s="1"/>
  <c r="X313" i="1" s="1"/>
  <c r="R480" i="1"/>
  <c r="V383" i="1"/>
  <c r="W383" i="1" s="1"/>
  <c r="X383" i="1" s="1"/>
  <c r="R376" i="1"/>
  <c r="R170" i="1"/>
  <c r="R149" i="1"/>
  <c r="R48" i="1"/>
  <c r="R343" i="1"/>
  <c r="R165" i="1"/>
  <c r="R498" i="1"/>
  <c r="R7" i="1"/>
  <c r="V307" i="1"/>
  <c r="W307" i="1" s="1"/>
  <c r="X307" i="1" s="1"/>
  <c r="Z82" i="1"/>
  <c r="Z245" i="1"/>
  <c r="Y245" i="1"/>
  <c r="R226" i="1"/>
  <c r="V226" i="1"/>
  <c r="W226" i="1" s="1"/>
  <c r="X226" i="1" s="1"/>
  <c r="Z226" i="1" s="1"/>
  <c r="V207" i="1"/>
  <c r="W207" i="1" s="1"/>
  <c r="X207" i="1" s="1"/>
  <c r="Y207" i="1" s="1"/>
  <c r="R207" i="1"/>
  <c r="V160" i="1"/>
  <c r="W160" i="1" s="1"/>
  <c r="X160" i="1" s="1"/>
  <c r="Y160" i="1" s="1"/>
  <c r="R160" i="1"/>
  <c r="R326" i="1"/>
  <c r="R504" i="1"/>
  <c r="R169" i="1"/>
  <c r="V417" i="1"/>
  <c r="W417" i="1" s="1"/>
  <c r="X417" i="1" s="1"/>
  <c r="V267" i="1"/>
  <c r="W267" i="1" s="1"/>
  <c r="X267" i="1" s="1"/>
  <c r="Y47" i="1"/>
  <c r="V30" i="1"/>
  <c r="W30" i="1" s="1"/>
  <c r="X30" i="1" s="1"/>
  <c r="O481" i="1"/>
  <c r="V481" i="1" s="1"/>
  <c r="W481" i="1" s="1"/>
  <c r="X481" i="1" s="1"/>
  <c r="Z481" i="1" s="1"/>
  <c r="K481" i="1"/>
  <c r="V176" i="1"/>
  <c r="W176" i="1" s="1"/>
  <c r="X176" i="1" s="1"/>
  <c r="R206" i="1"/>
  <c r="V185" i="1"/>
  <c r="W185" i="1" s="1"/>
  <c r="R185" i="1"/>
  <c r="V102" i="1"/>
  <c r="W102" i="1" s="1"/>
  <c r="R102" i="1"/>
  <c r="X26" i="1"/>
  <c r="V15" i="1"/>
  <c r="W15" i="1" s="1"/>
  <c r="R15" i="1"/>
  <c r="V108" i="1"/>
  <c r="W108" i="1" s="1"/>
  <c r="R108" i="1"/>
  <c r="V222" i="1"/>
  <c r="W222" i="1" s="1"/>
  <c r="R222" i="1"/>
  <c r="Z63" i="1"/>
  <c r="Y63" i="1"/>
  <c r="V434" i="1"/>
  <c r="W434" i="1" s="1"/>
  <c r="R434" i="1"/>
  <c r="V37" i="1"/>
  <c r="W37" i="1" s="1"/>
  <c r="R37" i="1"/>
  <c r="Y67" i="1"/>
  <c r="Z343" i="1"/>
  <c r="R87" i="1"/>
  <c r="X60" i="1"/>
  <c r="Y60" i="1" s="1"/>
  <c r="X85" i="1"/>
  <c r="Y85" i="1" s="1"/>
  <c r="V50" i="1"/>
  <c r="W50" i="1" s="1"/>
  <c r="X50" i="1" s="1"/>
  <c r="V370" i="1"/>
  <c r="W370" i="1" s="1"/>
  <c r="R370" i="1"/>
  <c r="V178" i="1"/>
  <c r="W178" i="1" s="1"/>
  <c r="R178" i="1"/>
  <c r="V357" i="1"/>
  <c r="W357" i="1" s="1"/>
  <c r="R357" i="1"/>
  <c r="R495" i="1"/>
  <c r="V495" i="1"/>
  <c r="W495" i="1" s="1"/>
  <c r="X221" i="1"/>
  <c r="R227" i="1"/>
  <c r="V227" i="1"/>
  <c r="W227" i="1" s="1"/>
  <c r="R14" i="1"/>
  <c r="V14" i="1"/>
  <c r="W14" i="1" s="1"/>
  <c r="X352" i="1"/>
  <c r="V106" i="1"/>
  <c r="W106" i="1" s="1"/>
  <c r="R106" i="1"/>
  <c r="V220" i="1"/>
  <c r="W220" i="1" s="1"/>
  <c r="R220" i="1"/>
  <c r="V44" i="1"/>
  <c r="W44" i="1" s="1"/>
  <c r="R44" i="1"/>
  <c r="V57" i="1"/>
  <c r="W57" i="1" s="1"/>
  <c r="R57" i="1"/>
  <c r="R196" i="1"/>
  <c r="V360" i="1"/>
  <c r="W360" i="1" s="1"/>
  <c r="R360" i="1"/>
  <c r="O312" i="1"/>
  <c r="K312" i="1"/>
  <c r="V387" i="1"/>
  <c r="W387" i="1" s="1"/>
  <c r="R387" i="1"/>
  <c r="Z316" i="1"/>
  <c r="Y316" i="1"/>
  <c r="V189" i="1"/>
  <c r="W189" i="1" s="1"/>
  <c r="R189" i="1"/>
  <c r="Z234" i="1"/>
  <c r="Y234" i="1"/>
  <c r="V193" i="1"/>
  <c r="W193" i="1" s="1"/>
  <c r="R193" i="1"/>
  <c r="V382" i="1"/>
  <c r="W382" i="1" s="1"/>
  <c r="R382" i="1"/>
  <c r="R212" i="1"/>
  <c r="X277" i="1"/>
  <c r="Z277" i="1" s="1"/>
  <c r="X366" i="1"/>
  <c r="Z466" i="1"/>
  <c r="Y466" i="1"/>
  <c r="R432" i="1"/>
  <c r="V432" i="1"/>
  <c r="W432" i="1" s="1"/>
  <c r="R457" i="1"/>
  <c r="V457" i="1"/>
  <c r="W457" i="1" s="1"/>
  <c r="R350" i="1"/>
  <c r="V350" i="1"/>
  <c r="W350" i="1" s="1"/>
  <c r="Z49" i="1"/>
  <c r="Y49" i="1"/>
  <c r="R200" i="1"/>
  <c r="V200" i="1"/>
  <c r="W200" i="1" s="1"/>
  <c r="Z29" i="1"/>
  <c r="Y29" i="1"/>
  <c r="Z212" i="1"/>
  <c r="Y212" i="1"/>
  <c r="X274" i="1"/>
  <c r="Z271" i="1"/>
  <c r="Y271" i="1"/>
  <c r="Z345" i="1"/>
  <c r="Y345" i="1"/>
  <c r="X269" i="1"/>
  <c r="X20" i="1"/>
  <c r="X509" i="1"/>
  <c r="X280" i="1"/>
  <c r="Y348" i="1"/>
  <c r="Z348" i="1"/>
  <c r="R9" i="1"/>
  <c r="V9" i="1"/>
  <c r="W9" i="1" s="1"/>
  <c r="R351" i="1"/>
  <c r="V351" i="1"/>
  <c r="W351" i="1" s="1"/>
  <c r="R43" i="1"/>
  <c r="V43" i="1"/>
  <c r="W43" i="1" s="1"/>
  <c r="R231" i="1"/>
  <c r="V231" i="1"/>
  <c r="W231" i="1" s="1"/>
  <c r="R458" i="1"/>
  <c r="V458" i="1"/>
  <c r="W458" i="1" s="1"/>
  <c r="R33" i="1"/>
  <c r="V33" i="1"/>
  <c r="W33" i="1" s="1"/>
  <c r="V218" i="1"/>
  <c r="W218" i="1" s="1"/>
  <c r="R218" i="1"/>
  <c r="R56" i="1"/>
  <c r="V56" i="1"/>
  <c r="W56" i="1" s="1"/>
  <c r="R17" i="1"/>
  <c r="V17" i="1"/>
  <c r="W17" i="1" s="1"/>
  <c r="R146" i="1"/>
  <c r="V146" i="1"/>
  <c r="W146" i="1" s="1"/>
  <c r="R356" i="1"/>
  <c r="V356" i="1"/>
  <c r="W356" i="1" s="1"/>
  <c r="X405" i="1"/>
  <c r="X171" i="1"/>
  <c r="R381" i="1"/>
  <c r="V381" i="1"/>
  <c r="W381" i="1" s="1"/>
  <c r="X240" i="1"/>
  <c r="R373" i="1"/>
  <c r="V373" i="1"/>
  <c r="W373" i="1" s="1"/>
  <c r="X252" i="1"/>
  <c r="Z204" i="1"/>
  <c r="Y204" i="1"/>
  <c r="R25" i="1"/>
  <c r="V25" i="1"/>
  <c r="W25" i="1" s="1"/>
  <c r="Z76" i="1"/>
  <c r="Y76" i="1"/>
  <c r="X433" i="1"/>
  <c r="X319" i="1"/>
  <c r="Z371" i="1"/>
  <c r="Y371" i="1"/>
  <c r="Z462" i="1"/>
  <c r="Y462" i="1"/>
  <c r="R392" i="1"/>
  <c r="V392" i="1"/>
  <c r="W392" i="1" s="1"/>
  <c r="R317" i="1"/>
  <c r="V317" i="1"/>
  <c r="W317" i="1" s="1"/>
  <c r="Z213" i="1"/>
  <c r="Y213" i="1"/>
  <c r="Z112" i="1"/>
  <c r="Y112" i="1"/>
  <c r="Z510" i="1"/>
  <c r="Y510" i="1"/>
  <c r="X418" i="1"/>
  <c r="X127" i="1"/>
  <c r="Y315" i="1"/>
  <c r="Z315" i="1"/>
  <c r="X295" i="1"/>
  <c r="Z288" i="1"/>
  <c r="Y288" i="1"/>
  <c r="X492" i="1"/>
  <c r="V51" i="1"/>
  <c r="W51" i="1" s="1"/>
  <c r="R51" i="1"/>
  <c r="X363" i="1"/>
  <c r="Y138" i="1"/>
  <c r="Z138" i="1"/>
  <c r="Z150" i="1"/>
  <c r="Y150" i="1"/>
  <c r="X169" i="1"/>
  <c r="X205" i="1"/>
  <c r="R459" i="1"/>
  <c r="V459" i="1"/>
  <c r="W459" i="1" s="1"/>
  <c r="R128" i="1"/>
  <c r="V128" i="1"/>
  <c r="W128" i="1" s="1"/>
  <c r="Z206" i="1"/>
  <c r="Y206" i="1"/>
  <c r="X444" i="1"/>
  <c r="Z268" i="1"/>
  <c r="Y268" i="1"/>
  <c r="R18" i="1"/>
  <c r="V18" i="1"/>
  <c r="W18" i="1" s="1"/>
  <c r="Z273" i="1"/>
  <c r="Y273" i="1"/>
  <c r="Y140" i="1"/>
  <c r="Z140" i="1"/>
  <c r="Z284" i="1"/>
  <c r="Y284" i="1"/>
  <c r="Y494" i="1"/>
  <c r="Z494" i="1"/>
  <c r="Z493" i="1"/>
  <c r="Y493" i="1"/>
  <c r="Z506" i="1"/>
  <c r="Y506" i="1"/>
  <c r="X196" i="1"/>
  <c r="Z283" i="1"/>
  <c r="Y283" i="1"/>
  <c r="Z285" i="1"/>
  <c r="Y285" i="1"/>
  <c r="X502" i="1"/>
  <c r="X508" i="1"/>
  <c r="Y52" i="1"/>
  <c r="Z52" i="1"/>
  <c r="R263" i="1"/>
  <c r="V263" i="1"/>
  <c r="W263" i="1" s="1"/>
  <c r="Z41" i="1"/>
  <c r="Y41" i="1"/>
  <c r="R36" i="1"/>
  <c r="V36" i="1"/>
  <c r="W36" i="1" s="1"/>
  <c r="X465" i="1"/>
  <c r="R130" i="1"/>
  <c r="V130" i="1"/>
  <c r="W130" i="1" s="1"/>
  <c r="Z35" i="1"/>
  <c r="Y35" i="1"/>
  <c r="Z163" i="1"/>
  <c r="Y163" i="1"/>
  <c r="R306" i="1"/>
  <c r="V306" i="1"/>
  <c r="W306" i="1" s="1"/>
  <c r="Y154" i="1"/>
  <c r="Z154" i="1"/>
  <c r="X7" i="1"/>
  <c r="Z116" i="1"/>
  <c r="Y116" i="1"/>
  <c r="Z249" i="1"/>
  <c r="Y249" i="1"/>
  <c r="X464" i="1"/>
  <c r="R58" i="1"/>
  <c r="V58" i="1"/>
  <c r="W58" i="1" s="1"/>
  <c r="R304" i="1"/>
  <c r="V304" i="1"/>
  <c r="W304" i="1" s="1"/>
  <c r="Z235" i="1"/>
  <c r="Y235" i="1"/>
  <c r="X438" i="1"/>
  <c r="X470" i="1"/>
  <c r="X386" i="1"/>
  <c r="R461" i="1"/>
  <c r="V461" i="1"/>
  <c r="W461" i="1" s="1"/>
  <c r="Z84" i="1"/>
  <c r="Y84" i="1"/>
  <c r="X261" i="1"/>
  <c r="X326" i="1"/>
  <c r="X305" i="1"/>
  <c r="X485" i="1"/>
  <c r="Y422" i="1"/>
  <c r="Z422" i="1"/>
  <c r="Y340" i="1"/>
  <c r="Z340" i="1"/>
  <c r="Y451" i="1"/>
  <c r="Z451" i="1"/>
  <c r="V437" i="1"/>
  <c r="W437" i="1" s="1"/>
  <c r="R437" i="1"/>
  <c r="R184" i="1"/>
  <c r="V184" i="1"/>
  <c r="W184" i="1" s="1"/>
  <c r="Y379" i="1"/>
  <c r="Z379" i="1"/>
  <c r="R476" i="1"/>
  <c r="V476" i="1"/>
  <c r="W476" i="1" s="1"/>
  <c r="R342" i="1"/>
  <c r="V342" i="1"/>
  <c r="W342" i="1" s="1"/>
  <c r="R225" i="1"/>
  <c r="V225" i="1"/>
  <c r="W225" i="1" s="1"/>
  <c r="V74" i="1"/>
  <c r="W74" i="1" s="1"/>
  <c r="R74" i="1"/>
  <c r="Z114" i="1"/>
  <c r="Y114" i="1"/>
  <c r="R183" i="1"/>
  <c r="V183" i="1"/>
  <c r="W183" i="1" s="1"/>
  <c r="R89" i="1"/>
  <c r="V89" i="1"/>
  <c r="W89" i="1" s="1"/>
  <c r="V454" i="1"/>
  <c r="W454" i="1" s="1"/>
  <c r="R454" i="1"/>
  <c r="X334" i="1"/>
  <c r="X406" i="1"/>
  <c r="X430" i="1"/>
  <c r="Z335" i="1"/>
  <c r="Y335" i="1"/>
  <c r="Y78" i="1"/>
  <c r="Z78" i="1"/>
  <c r="Z192" i="1"/>
  <c r="Y192" i="1"/>
  <c r="R484" i="1"/>
  <c r="V484" i="1"/>
  <c r="W484" i="1" s="1"/>
  <c r="Z191" i="1"/>
  <c r="Y191" i="1"/>
  <c r="X431" i="1"/>
  <c r="X448" i="1"/>
  <c r="Z215" i="1"/>
  <c r="Y215" i="1"/>
  <c r="X153" i="1"/>
  <c r="Z174" i="1"/>
  <c r="Y174" i="1"/>
  <c r="X241" i="1"/>
  <c r="X152" i="1"/>
  <c r="Z180" i="1"/>
  <c r="Y180" i="1"/>
  <c r="R99" i="1"/>
  <c r="V99" i="1"/>
  <c r="W99" i="1" s="1"/>
  <c r="Z479" i="1"/>
  <c r="Y479" i="1"/>
  <c r="X439" i="1"/>
  <c r="Y449" i="1"/>
  <c r="Z449" i="1"/>
  <c r="R311" i="1"/>
  <c r="V311" i="1"/>
  <c r="W311" i="1" s="1"/>
  <c r="R420" i="1"/>
  <c r="V420" i="1"/>
  <c r="W420" i="1" s="1"/>
  <c r="X447" i="1"/>
  <c r="R161" i="1"/>
  <c r="V161" i="1"/>
  <c r="W161" i="1" s="1"/>
  <c r="R429" i="1"/>
  <c r="V429" i="1"/>
  <c r="W429" i="1" s="1"/>
  <c r="Y424" i="1"/>
  <c r="Z424" i="1"/>
  <c r="Y296" i="1"/>
  <c r="Z296" i="1"/>
  <c r="Z400" i="1"/>
  <c r="Y400" i="1"/>
  <c r="Y407" i="1"/>
  <c r="Z407" i="1"/>
  <c r="V399" i="1"/>
  <c r="W399" i="1" s="1"/>
  <c r="R399" i="1"/>
  <c r="V428" i="1"/>
  <c r="W428" i="1" s="1"/>
  <c r="R428" i="1"/>
  <c r="X168" i="1"/>
  <c r="Z139" i="1"/>
  <c r="Y139" i="1"/>
  <c r="X328" i="1"/>
  <c r="Z186" i="1"/>
  <c r="Y186" i="1"/>
  <c r="R62" i="1"/>
  <c r="V62" i="1"/>
  <c r="W62" i="1" s="1"/>
  <c r="Z498" i="1"/>
  <c r="Y498" i="1"/>
  <c r="R210" i="1"/>
  <c r="V210" i="1"/>
  <c r="W210" i="1" s="1"/>
  <c r="X500" i="1"/>
  <c r="X290" i="1"/>
  <c r="V372" i="1"/>
  <c r="W372" i="1" s="1"/>
  <c r="R372" i="1"/>
  <c r="X441" i="1"/>
  <c r="R262" i="1"/>
  <c r="V262" i="1"/>
  <c r="W262" i="1" s="1"/>
  <c r="Z247" i="1"/>
  <c r="Y247" i="1"/>
  <c r="Y257" i="1"/>
  <c r="Z257" i="1"/>
  <c r="X11" i="1"/>
  <c r="Y70" i="1"/>
  <c r="Z70" i="1"/>
  <c r="Z388" i="1"/>
  <c r="Y388" i="1"/>
  <c r="X158" i="1"/>
  <c r="R187" i="1"/>
  <c r="V187" i="1"/>
  <c r="W187" i="1" s="1"/>
  <c r="Y327" i="1"/>
  <c r="Z327" i="1"/>
  <c r="X175" i="1"/>
  <c r="X483" i="1"/>
  <c r="Y219" i="1"/>
  <c r="Z219" i="1"/>
  <c r="X398" i="1"/>
  <c r="Y469" i="1"/>
  <c r="Z469" i="1"/>
  <c r="R100" i="1"/>
  <c r="V100" i="1"/>
  <c r="W100" i="1" s="1"/>
  <c r="R478" i="1"/>
  <c r="V478" i="1"/>
  <c r="W478" i="1" s="1"/>
  <c r="Y80" i="1"/>
  <c r="Z80" i="1"/>
  <c r="Z339" i="1"/>
  <c r="Y339" i="1"/>
  <c r="V217" i="1"/>
  <c r="W217" i="1" s="1"/>
  <c r="R217" i="1"/>
  <c r="Y254" i="1"/>
  <c r="Z254" i="1"/>
  <c r="Y421" i="1"/>
  <c r="Z421" i="1"/>
  <c r="X242" i="1"/>
  <c r="X410" i="1"/>
  <c r="R45" i="1"/>
  <c r="V45" i="1"/>
  <c r="W45" i="1" s="1"/>
  <c r="V104" i="1"/>
  <c r="W104" i="1" s="1"/>
  <c r="R104" i="1"/>
  <c r="V107" i="1"/>
  <c r="W107" i="1" s="1"/>
  <c r="R107" i="1"/>
  <c r="V59" i="1"/>
  <c r="W59" i="1" s="1"/>
  <c r="R59" i="1"/>
  <c r="X190" i="1"/>
  <c r="R427" i="1"/>
  <c r="V427" i="1"/>
  <c r="W427" i="1" s="1"/>
  <c r="R38" i="1"/>
  <c r="V38" i="1"/>
  <c r="W38" i="1" s="1"/>
  <c r="Z243" i="1"/>
  <c r="Y243" i="1"/>
  <c r="Z232" i="1"/>
  <c r="Y232" i="1"/>
  <c r="Z289" i="1"/>
  <c r="Y289" i="1"/>
  <c r="X362" i="1"/>
  <c r="R460" i="1"/>
  <c r="V460" i="1"/>
  <c r="W460" i="1" s="1"/>
  <c r="X394" i="1"/>
  <c r="Z125" i="1"/>
  <c r="Y125" i="1"/>
  <c r="X126" i="1"/>
  <c r="X93" i="1"/>
  <c r="Z209" i="1"/>
  <c r="Y209" i="1"/>
  <c r="X287" i="1"/>
  <c r="X19" i="1"/>
  <c r="X367" i="1"/>
  <c r="Z397" i="1"/>
  <c r="Y397" i="1"/>
  <c r="R111" i="1"/>
  <c r="V111" i="1"/>
  <c r="W111" i="1" s="1"/>
  <c r="R318" i="1"/>
  <c r="V318" i="1"/>
  <c r="W318" i="1" s="1"/>
  <c r="R208" i="1"/>
  <c r="V208" i="1"/>
  <c r="W208" i="1" s="1"/>
  <c r="Y248" i="1"/>
  <c r="Z248" i="1"/>
  <c r="X202" i="1"/>
  <c r="X194" i="1"/>
  <c r="X369" i="1"/>
  <c r="X499" i="1"/>
  <c r="R224" i="1"/>
  <c r="V224" i="1"/>
  <c r="W224" i="1" s="1"/>
  <c r="Z347" i="1"/>
  <c r="Y347" i="1"/>
  <c r="Y294" i="1"/>
  <c r="Z294" i="1"/>
  <c r="Z157" i="1"/>
  <c r="Y157" i="1"/>
  <c r="R113" i="1"/>
  <c r="V113" i="1"/>
  <c r="W113" i="1" s="1"/>
  <c r="Z27" i="1"/>
  <c r="Y27" i="1"/>
  <c r="X195" i="1"/>
  <c r="Z468" i="1"/>
  <c r="Y468" i="1"/>
  <c r="R177" i="1"/>
  <c r="V177" i="1"/>
  <c r="W177" i="1" s="1"/>
  <c r="X253" i="1"/>
  <c r="R164" i="1"/>
  <c r="V164" i="1"/>
  <c r="W164" i="1" s="1"/>
  <c r="X23" i="1"/>
  <c r="R503" i="1"/>
  <c r="V503" i="1"/>
  <c r="W503" i="1" s="1"/>
  <c r="R359" i="1"/>
  <c r="V359" i="1"/>
  <c r="W359" i="1" s="1"/>
  <c r="X95" i="1"/>
  <c r="X450" i="1"/>
  <c r="Z237" i="1"/>
  <c r="Y237" i="1"/>
  <c r="Z453" i="1"/>
  <c r="Y453" i="1"/>
  <c r="R133" i="1"/>
  <c r="V133" i="1"/>
  <c r="W133" i="1" s="1"/>
  <c r="R310" i="1"/>
  <c r="V310" i="1"/>
  <c r="W310" i="1" s="1"/>
  <c r="Z442" i="1"/>
  <c r="Y442" i="1"/>
  <c r="X303" i="1"/>
  <c r="X497" i="1"/>
  <c r="Y71" i="1"/>
  <c r="Z71" i="1"/>
  <c r="X480" i="1"/>
  <c r="Y6" i="1"/>
  <c r="Z6" i="1"/>
  <c r="X83" i="1"/>
  <c r="X66" i="1"/>
  <c r="X436" i="1"/>
  <c r="X117" i="1"/>
  <c r="X376" i="1"/>
  <c r="Y341" i="1"/>
  <c r="Z341" i="1"/>
  <c r="Y250" i="1"/>
  <c r="Z250" i="1"/>
  <c r="R32" i="1"/>
  <c r="V32" i="1"/>
  <c r="W32" i="1" s="1"/>
  <c r="R377" i="1"/>
  <c r="V377" i="1"/>
  <c r="W377" i="1" s="1"/>
  <c r="V173" i="1"/>
  <c r="W173" i="1" s="1"/>
  <c r="R173" i="1"/>
  <c r="Y228" i="1"/>
  <c r="Z228" i="1"/>
  <c r="X413" i="1"/>
  <c r="Z181" i="1"/>
  <c r="Y181" i="1"/>
  <c r="X149" i="1"/>
  <c r="X404" i="1"/>
  <c r="Y239" i="1"/>
  <c r="Z239" i="1"/>
  <c r="R72" i="1"/>
  <c r="V72" i="1"/>
  <c r="W72" i="1" s="1"/>
  <c r="Z77" i="1"/>
  <c r="Y77" i="1"/>
  <c r="R380" i="1"/>
  <c r="V380" i="1"/>
  <c r="W380" i="1" s="1"/>
  <c r="R301" i="1"/>
  <c r="V301" i="1"/>
  <c r="W301" i="1" s="1"/>
  <c r="X87" i="1"/>
  <c r="R325" i="1"/>
  <c r="V325" i="1"/>
  <c r="W325" i="1" s="1"/>
  <c r="V314" i="1"/>
  <c r="W314" i="1" s="1"/>
  <c r="R314" i="1"/>
  <c r="V75" i="1"/>
  <c r="W75" i="1" s="1"/>
  <c r="R75" i="1"/>
  <c r="R86" i="1"/>
  <c r="V86" i="1"/>
  <c r="W86" i="1" s="1"/>
  <c r="V435" i="1"/>
  <c r="W435" i="1" s="1"/>
  <c r="R435" i="1"/>
  <c r="R324" i="1"/>
  <c r="V324" i="1"/>
  <c r="W324" i="1" s="1"/>
  <c r="R142" i="1"/>
  <c r="V142" i="1"/>
  <c r="W142" i="1" s="1"/>
  <c r="R374" i="1"/>
  <c r="V374" i="1"/>
  <c r="W374" i="1" s="1"/>
  <c r="X298" i="1"/>
  <c r="R487" i="1"/>
  <c r="V487" i="1"/>
  <c r="W487" i="1" s="1"/>
  <c r="Z337" i="1"/>
  <c r="Y337" i="1"/>
  <c r="R46" i="1"/>
  <c r="V46" i="1"/>
  <c r="W46" i="1" s="1"/>
  <c r="R390" i="1"/>
  <c r="V390" i="1"/>
  <c r="W390" i="1" s="1"/>
  <c r="V39" i="1"/>
  <c r="W39" i="1" s="1"/>
  <c r="R39" i="1"/>
  <c r="R13" i="1"/>
  <c r="V13" i="1"/>
  <c r="W13" i="1" s="1"/>
  <c r="R265" i="1"/>
  <c r="V265" i="1"/>
  <c r="W265" i="1" s="1"/>
  <c r="X156" i="1"/>
  <c r="Z467" i="1"/>
  <c r="Y467" i="1"/>
  <c r="X411" i="1"/>
  <c r="Y336" i="1"/>
  <c r="Z336" i="1"/>
  <c r="Z426" i="1"/>
  <c r="Y426" i="1"/>
  <c r="Y415" i="1"/>
  <c r="Z415" i="1"/>
  <c r="R98" i="1"/>
  <c r="V98" i="1"/>
  <c r="W98" i="1" s="1"/>
  <c r="Y425" i="1"/>
  <c r="Z425" i="1"/>
  <c r="V308" i="1"/>
  <c r="W308" i="1" s="1"/>
  <c r="R308" i="1"/>
  <c r="X488" i="1"/>
  <c r="X409" i="1"/>
  <c r="X24" i="1"/>
  <c r="Y282" i="1"/>
  <c r="Z282" i="1"/>
  <c r="R482" i="1"/>
  <c r="V482" i="1"/>
  <c r="W482" i="1" s="1"/>
  <c r="Z456" i="1"/>
  <c r="Y456" i="1"/>
  <c r="Z199" i="1"/>
  <c r="Y199" i="1"/>
  <c r="X463" i="1"/>
  <c r="Z419" i="1"/>
  <c r="Y419" i="1"/>
  <c r="X22" i="1"/>
  <c r="X275" i="1"/>
  <c r="X344" i="1"/>
  <c r="X198" i="1"/>
  <c r="X279" i="1"/>
  <c r="R42" i="1"/>
  <c r="V42" i="1"/>
  <c r="W42" i="1" s="1"/>
  <c r="V266" i="1"/>
  <c r="W266" i="1" s="1"/>
  <c r="R266" i="1"/>
  <c r="Z55" i="1"/>
  <c r="Y55" i="1"/>
  <c r="R53" i="1"/>
  <c r="V53" i="1"/>
  <c r="W53" i="1" s="1"/>
  <c r="Y256" i="1"/>
  <c r="Z256" i="1"/>
  <c r="X329" i="1"/>
  <c r="Z329" i="1" s="1"/>
  <c r="Z79" i="1"/>
  <c r="Y79" i="1"/>
  <c r="X170" i="1"/>
  <c r="R151" i="1"/>
  <c r="V151" i="1"/>
  <c r="W151" i="1" s="1"/>
  <c r="V88" i="1"/>
  <c r="W88" i="1" s="1"/>
  <c r="R88" i="1"/>
  <c r="V395" i="1"/>
  <c r="W395" i="1" s="1"/>
  <c r="R395" i="1"/>
  <c r="Z115" i="1"/>
  <c r="Y115" i="1"/>
  <c r="R260" i="1"/>
  <c r="V260" i="1"/>
  <c r="W260" i="1" s="1"/>
  <c r="R230" i="1"/>
  <c r="V230" i="1"/>
  <c r="W230" i="1" s="1"/>
  <c r="V384" i="1"/>
  <c r="W384" i="1" s="1"/>
  <c r="R384" i="1"/>
  <c r="V172" i="1"/>
  <c r="W172" i="1" s="1"/>
  <c r="R172" i="1"/>
  <c r="V473" i="1"/>
  <c r="W473" i="1" s="1"/>
  <c r="R473" i="1"/>
  <c r="Z391" i="1"/>
  <c r="Y391" i="1"/>
  <c r="X365" i="1"/>
  <c r="X281" i="1"/>
  <c r="X364" i="1"/>
  <c r="R396" i="1"/>
  <c r="V396" i="1"/>
  <c r="W396" i="1" s="1"/>
  <c r="Z504" i="1"/>
  <c r="Y504" i="1"/>
  <c r="Z321" i="1"/>
  <c r="Y321" i="1"/>
  <c r="X124" i="1"/>
  <c r="Y96" i="1"/>
  <c r="Z96" i="1"/>
  <c r="R233" i="1"/>
  <c r="V233" i="1"/>
  <c r="W233" i="1" s="1"/>
  <c r="X489" i="1"/>
  <c r="X491" i="1"/>
  <c r="X507" i="1"/>
  <c r="Z278" i="1"/>
  <c r="Y278" i="1"/>
  <c r="X292" i="1"/>
  <c r="R320" i="1"/>
  <c r="V320" i="1"/>
  <c r="W320" i="1" s="1"/>
  <c r="R211" i="1"/>
  <c r="V211" i="1"/>
  <c r="W211" i="1" s="1"/>
  <c r="R322" i="1"/>
  <c r="V322" i="1"/>
  <c r="W322" i="1" s="1"/>
  <c r="R123" i="1"/>
  <c r="V123" i="1"/>
  <c r="W123" i="1" s="1"/>
  <c r="Z361" i="1"/>
  <c r="Y361" i="1"/>
  <c r="R214" i="1"/>
  <c r="V214" i="1"/>
  <c r="W214" i="1" s="1"/>
  <c r="X412" i="1"/>
  <c r="Z10" i="1"/>
  <c r="Y10" i="1"/>
  <c r="R16" i="1"/>
  <c r="V16" i="1"/>
  <c r="W16" i="1" s="1"/>
  <c r="Z270" i="1"/>
  <c r="Y270" i="1"/>
  <c r="X293" i="1"/>
  <c r="X21" i="1"/>
  <c r="X286" i="1"/>
  <c r="X203" i="1"/>
  <c r="Z490" i="1"/>
  <c r="Y490" i="1"/>
  <c r="X349" i="1"/>
  <c r="X346" i="1"/>
  <c r="X440" i="1"/>
  <c r="X291" i="1"/>
  <c r="Z272" i="1"/>
  <c r="Y272" i="1"/>
  <c r="X197" i="1"/>
  <c r="X501" i="1"/>
  <c r="R166" i="1"/>
  <c r="V166" i="1"/>
  <c r="W166" i="1" s="1"/>
  <c r="Z259" i="1"/>
  <c r="Y259" i="1"/>
  <c r="Z276" i="1"/>
  <c r="Y276" i="1"/>
  <c r="X137" i="1"/>
  <c r="Y120" i="1"/>
  <c r="Z120" i="1"/>
  <c r="R302" i="1"/>
  <c r="V302" i="1"/>
  <c r="W302" i="1" s="1"/>
  <c r="R355" i="1"/>
  <c r="V355" i="1"/>
  <c r="W355" i="1" s="1"/>
  <c r="R264" i="1"/>
  <c r="V264" i="1"/>
  <c r="W264" i="1" s="1"/>
  <c r="Z258" i="1"/>
  <c r="Y258" i="1"/>
  <c r="X129" i="1"/>
  <c r="Z354" i="1"/>
  <c r="Y354" i="1"/>
  <c r="X34" i="1"/>
  <c r="Z165" i="1"/>
  <c r="Y165" i="1"/>
  <c r="R81" i="1"/>
  <c r="V81" i="1"/>
  <c r="W81" i="1" s="1"/>
  <c r="X255" i="1"/>
  <c r="Z477" i="1"/>
  <c r="Y477" i="1"/>
  <c r="Y474" i="1"/>
  <c r="Z474" i="1"/>
  <c r="Z28" i="1"/>
  <c r="Y28" i="1"/>
  <c r="X229" i="1"/>
  <c r="X393" i="1"/>
  <c r="X251" i="1"/>
  <c r="R353" i="1"/>
  <c r="V353" i="1"/>
  <c r="W353" i="1" s="1"/>
  <c r="R155" i="1"/>
  <c r="V155" i="1"/>
  <c r="W155" i="1" s="1"/>
  <c r="X236" i="1"/>
  <c r="Z90" i="1"/>
  <c r="Y90" i="1"/>
  <c r="X147" i="1"/>
  <c r="X5" i="1"/>
  <c r="R300" i="1"/>
  <c r="V300" i="1"/>
  <c r="W300" i="1" s="1"/>
  <c r="R389" i="1"/>
  <c r="V389" i="1"/>
  <c r="W389" i="1" s="1"/>
  <c r="X505" i="1"/>
  <c r="R455" i="1"/>
  <c r="V455" i="1"/>
  <c r="W455" i="1" s="1"/>
  <c r="Y246" i="1"/>
  <c r="Z246" i="1"/>
  <c r="R182" i="1"/>
  <c r="V182" i="1"/>
  <c r="W182" i="1" s="1"/>
  <c r="Z61" i="1"/>
  <c r="Y61" i="1"/>
  <c r="R134" i="1"/>
  <c r="V134" i="1"/>
  <c r="W134" i="1" s="1"/>
  <c r="Y423" i="1"/>
  <c r="Z423" i="1"/>
  <c r="X48" i="1"/>
  <c r="Z144" i="1"/>
  <c r="Y144" i="1"/>
  <c r="X332" i="1"/>
  <c r="X402" i="1"/>
  <c r="R167" i="1"/>
  <c r="V167" i="1"/>
  <c r="W167" i="1" s="1"/>
  <c r="Z452" i="1"/>
  <c r="Y452" i="1"/>
  <c r="Y238" i="1"/>
  <c r="Z238" i="1"/>
  <c r="X244" i="1"/>
  <c r="Y408" i="1"/>
  <c r="Z408" i="1"/>
  <c r="X94" i="1"/>
  <c r="X445" i="1"/>
  <c r="Y188" i="1"/>
  <c r="Z188" i="1"/>
  <c r="V179" i="1"/>
  <c r="W179" i="1" s="1"/>
  <c r="R179" i="1"/>
  <c r="Z143" i="1"/>
  <c r="Y143" i="1"/>
  <c r="R109" i="1"/>
  <c r="V109" i="1"/>
  <c r="W109" i="1" s="1"/>
  <c r="R401" i="1"/>
  <c r="V401" i="1"/>
  <c r="W401" i="1" s="1"/>
  <c r="X414" i="1"/>
  <c r="R135" i="1"/>
  <c r="V135" i="1"/>
  <c r="W135" i="1" s="1"/>
  <c r="R73" i="1"/>
  <c r="V73" i="1"/>
  <c r="W73" i="1" s="1"/>
  <c r="R385" i="1"/>
  <c r="V385" i="1"/>
  <c r="W385" i="1" s="1"/>
  <c r="R118" i="1"/>
  <c r="V118" i="1"/>
  <c r="W118" i="1" s="1"/>
  <c r="R378" i="1"/>
  <c r="V378" i="1"/>
  <c r="W378" i="1" s="1"/>
  <c r="V64" i="1"/>
  <c r="W64" i="1" s="1"/>
  <c r="R64" i="1"/>
  <c r="X443" i="1"/>
  <c r="X92" i="1"/>
  <c r="V375" i="1"/>
  <c r="W375" i="1" s="1"/>
  <c r="R375" i="1"/>
  <c r="X323" i="1"/>
  <c r="V110" i="1"/>
  <c r="W110" i="1" s="1"/>
  <c r="R110" i="1"/>
  <c r="V103" i="1"/>
  <c r="W103" i="1" s="1"/>
  <c r="R103" i="1"/>
  <c r="V101" i="1"/>
  <c r="W101" i="1" s="1"/>
  <c r="R101" i="1"/>
  <c r="V105" i="1"/>
  <c r="W105" i="1" s="1"/>
  <c r="R105" i="1"/>
  <c r="Y403" i="1"/>
  <c r="Z403" i="1"/>
  <c r="R12" i="1"/>
  <c r="V12" i="1"/>
  <c r="W12" i="1" s="1"/>
  <c r="X446" i="1"/>
  <c r="K485" i="1"/>
  <c r="Z416" i="1" l="1"/>
  <c r="Y226" i="1"/>
  <c r="Y277" i="1"/>
  <c r="Z4" i="1"/>
  <c r="Z60" i="1"/>
  <c r="Y481" i="1"/>
  <c r="Z207" i="1"/>
  <c r="Z160" i="1"/>
  <c r="R312" i="1"/>
  <c r="V312" i="1"/>
  <c r="W312" i="1" s="1"/>
  <c r="X14" i="1"/>
  <c r="Y221" i="1"/>
  <c r="Z221" i="1"/>
  <c r="X220" i="1"/>
  <c r="X178" i="1"/>
  <c r="Z26" i="1"/>
  <c r="Y26" i="1"/>
  <c r="X193" i="1"/>
  <c r="X189" i="1"/>
  <c r="X387" i="1"/>
  <c r="X360" i="1"/>
  <c r="Z352" i="1"/>
  <c r="Y352" i="1"/>
  <c r="X227" i="1"/>
  <c r="X495" i="1"/>
  <c r="X434" i="1"/>
  <c r="X222" i="1"/>
  <c r="X15" i="1"/>
  <c r="X102" i="1"/>
  <c r="Z85" i="1"/>
  <c r="X382" i="1"/>
  <c r="X37" i="1"/>
  <c r="X108" i="1"/>
  <c r="X185" i="1"/>
  <c r="X57" i="1"/>
  <c r="X44" i="1"/>
  <c r="X106" i="1"/>
  <c r="X357" i="1"/>
  <c r="X370" i="1"/>
  <c r="Y414" i="1"/>
  <c r="Z414" i="1"/>
  <c r="Y147" i="1"/>
  <c r="Z147" i="1"/>
  <c r="Y279" i="1"/>
  <c r="Z279" i="1"/>
  <c r="Z488" i="1"/>
  <c r="Y488" i="1"/>
  <c r="X324" i="1"/>
  <c r="Z307" i="1"/>
  <c r="Y307" i="1"/>
  <c r="Y497" i="1"/>
  <c r="Z497" i="1"/>
  <c r="X503" i="1"/>
  <c r="Y334" i="1"/>
  <c r="Z334" i="1"/>
  <c r="X225" i="1"/>
  <c r="Y383" i="1"/>
  <c r="Z383" i="1"/>
  <c r="X128" i="1"/>
  <c r="Z8" i="1"/>
  <c r="Y8" i="1"/>
  <c r="X351" i="1"/>
  <c r="X101" i="1"/>
  <c r="X110" i="1"/>
  <c r="Y92" i="1"/>
  <c r="Z92" i="1"/>
  <c r="X64" i="1"/>
  <c r="X179" i="1"/>
  <c r="Y445" i="1"/>
  <c r="Z445" i="1"/>
  <c r="Y332" i="1"/>
  <c r="Z332" i="1"/>
  <c r="X353" i="1"/>
  <c r="Z309" i="1"/>
  <c r="Y309" i="1"/>
  <c r="Y34" i="1"/>
  <c r="Z34" i="1"/>
  <c r="X264" i="1"/>
  <c r="X302" i="1"/>
  <c r="Y137" i="1"/>
  <c r="Z137" i="1"/>
  <c r="Y501" i="1"/>
  <c r="Z501" i="1"/>
  <c r="Y286" i="1"/>
  <c r="Z286" i="1"/>
  <c r="X396" i="1"/>
  <c r="X230" i="1"/>
  <c r="Y170" i="1"/>
  <c r="Z170" i="1"/>
  <c r="Z313" i="1"/>
  <c r="Y313" i="1"/>
  <c r="X42" i="1"/>
  <c r="X482" i="1"/>
  <c r="X98" i="1"/>
  <c r="Y156" i="1"/>
  <c r="Z156" i="1"/>
  <c r="X13" i="1"/>
  <c r="X390" i="1"/>
  <c r="Y298" i="1"/>
  <c r="Z298" i="1"/>
  <c r="X314" i="1"/>
  <c r="X301" i="1"/>
  <c r="X72" i="1"/>
  <c r="Y404" i="1"/>
  <c r="Z404" i="1"/>
  <c r="Z413" i="1"/>
  <c r="Y413" i="1"/>
  <c r="X377" i="1"/>
  <c r="Y436" i="1"/>
  <c r="Z436" i="1"/>
  <c r="Y83" i="1"/>
  <c r="Z83" i="1"/>
  <c r="Y486" i="1"/>
  <c r="Z486" i="1"/>
  <c r="Z499" i="1"/>
  <c r="Y499" i="1"/>
  <c r="Y194" i="1"/>
  <c r="Z194" i="1"/>
  <c r="X318" i="1"/>
  <c r="Y287" i="1"/>
  <c r="Z287" i="1"/>
  <c r="X38" i="1"/>
  <c r="Z297" i="1"/>
  <c r="Y297" i="1"/>
  <c r="X59" i="1"/>
  <c r="X104" i="1"/>
  <c r="Z299" i="1"/>
  <c r="Y299" i="1"/>
  <c r="X100" i="1"/>
  <c r="X262" i="1"/>
  <c r="X210" i="1"/>
  <c r="X62" i="1"/>
  <c r="Y328" i="1"/>
  <c r="Z328" i="1"/>
  <c r="X428" i="1"/>
  <c r="Z447" i="1"/>
  <c r="Y447" i="1"/>
  <c r="Y241" i="1"/>
  <c r="Z241" i="1"/>
  <c r="Y431" i="1"/>
  <c r="Z431" i="1"/>
  <c r="X484" i="1"/>
  <c r="Z223" i="1"/>
  <c r="Y223" i="1"/>
  <c r="Y305" i="1"/>
  <c r="Z305" i="1"/>
  <c r="Y261" i="1"/>
  <c r="Z261" i="1"/>
  <c r="Y438" i="1"/>
  <c r="Z438" i="1"/>
  <c r="X304" i="1"/>
  <c r="Y7" i="1"/>
  <c r="Z7" i="1"/>
  <c r="X130" i="1"/>
  <c r="Y502" i="1"/>
  <c r="Z502" i="1"/>
  <c r="X18" i="1"/>
  <c r="Y492" i="1"/>
  <c r="Z492" i="1"/>
  <c r="Y295" i="1"/>
  <c r="Z295" i="1"/>
  <c r="Y127" i="1"/>
  <c r="Z127" i="1"/>
  <c r="Y252" i="1"/>
  <c r="Z252" i="1"/>
  <c r="Y171" i="1"/>
  <c r="Z171" i="1"/>
  <c r="X218" i="1"/>
  <c r="Y509" i="1"/>
  <c r="Z509" i="1"/>
  <c r="Y274" i="1"/>
  <c r="Z274" i="1"/>
  <c r="X457" i="1"/>
  <c r="X73" i="1"/>
  <c r="X81" i="1"/>
  <c r="X322" i="1"/>
  <c r="Y292" i="1"/>
  <c r="Z292" i="1"/>
  <c r="Z267" i="1"/>
  <c r="Y267" i="1"/>
  <c r="Y417" i="1"/>
  <c r="Z417" i="1"/>
  <c r="X39" i="1"/>
  <c r="X86" i="1"/>
  <c r="X133" i="1"/>
  <c r="Y95" i="1"/>
  <c r="Z95" i="1"/>
  <c r="Z23" i="1"/>
  <c r="Y23" i="1"/>
  <c r="Y93" i="1"/>
  <c r="Z93" i="1"/>
  <c r="Z410" i="1"/>
  <c r="Y410" i="1"/>
  <c r="X217" i="1"/>
  <c r="Y158" i="1"/>
  <c r="Z158" i="1"/>
  <c r="Y11" i="1"/>
  <c r="Z11" i="1"/>
  <c r="Y441" i="1"/>
  <c r="Z441" i="1"/>
  <c r="Y290" i="1"/>
  <c r="Z290" i="1"/>
  <c r="X311" i="1"/>
  <c r="Y471" i="1"/>
  <c r="Z471" i="1"/>
  <c r="Y406" i="1"/>
  <c r="Z406" i="1"/>
  <c r="X184" i="1"/>
  <c r="Y418" i="1"/>
  <c r="Z418" i="1"/>
  <c r="X381" i="1"/>
  <c r="X17" i="1"/>
  <c r="X105" i="1"/>
  <c r="X103" i="1"/>
  <c r="Y244" i="1"/>
  <c r="Z244" i="1"/>
  <c r="Y48" i="1"/>
  <c r="Z48" i="1"/>
  <c r="X134" i="1"/>
  <c r="X182" i="1"/>
  <c r="X455" i="1"/>
  <c r="X389" i="1"/>
  <c r="X300" i="1"/>
  <c r="Y5" i="1"/>
  <c r="Z5" i="1"/>
  <c r="X155" i="1"/>
  <c r="Z251" i="1"/>
  <c r="Y251" i="1"/>
  <c r="Y393" i="1"/>
  <c r="Z393" i="1"/>
  <c r="X355" i="1"/>
  <c r="X166" i="1"/>
  <c r="Y440" i="1"/>
  <c r="Z440" i="1"/>
  <c r="Y203" i="1"/>
  <c r="Z203" i="1"/>
  <c r="Y21" i="1"/>
  <c r="Z21" i="1"/>
  <c r="Y293" i="1"/>
  <c r="Z293" i="1"/>
  <c r="Y412" i="1"/>
  <c r="Z412" i="1"/>
  <c r="X233" i="1"/>
  <c r="Y124" i="1"/>
  <c r="Z124" i="1"/>
  <c r="Z364" i="1"/>
  <c r="Y364" i="1"/>
  <c r="Y281" i="1"/>
  <c r="Z281" i="1"/>
  <c r="X260" i="1"/>
  <c r="X151" i="1"/>
  <c r="X53" i="1"/>
  <c r="Y463" i="1"/>
  <c r="Z463" i="1"/>
  <c r="Y201" i="1"/>
  <c r="Z201" i="1"/>
  <c r="Y24" i="1"/>
  <c r="Z24" i="1"/>
  <c r="X265" i="1"/>
  <c r="X46" i="1"/>
  <c r="X487" i="1"/>
  <c r="X435" i="1"/>
  <c r="X75" i="1"/>
  <c r="Y87" i="1"/>
  <c r="Z87" i="1"/>
  <c r="X380" i="1"/>
  <c r="Y149" i="1"/>
  <c r="Z149" i="1"/>
  <c r="X32" i="1"/>
  <c r="Y176" i="1"/>
  <c r="Z176" i="1"/>
  <c r="Y66" i="1"/>
  <c r="Z66" i="1"/>
  <c r="Y450" i="1"/>
  <c r="Z450" i="1"/>
  <c r="Y195" i="1"/>
  <c r="Z195" i="1"/>
  <c r="Y369" i="1"/>
  <c r="Z369" i="1"/>
  <c r="Y202" i="1"/>
  <c r="Z202" i="1"/>
  <c r="X208" i="1"/>
  <c r="X111" i="1"/>
  <c r="Z367" i="1"/>
  <c r="Y367" i="1"/>
  <c r="Y19" i="1"/>
  <c r="Z19" i="1"/>
  <c r="Z50" i="1"/>
  <c r="Y50" i="1"/>
  <c r="X107" i="1"/>
  <c r="Z242" i="1"/>
  <c r="Y242" i="1"/>
  <c r="X478" i="1"/>
  <c r="Z483" i="1"/>
  <c r="Y483" i="1"/>
  <c r="X399" i="1"/>
  <c r="Y439" i="1"/>
  <c r="Z439" i="1"/>
  <c r="Z152" i="1"/>
  <c r="Y152" i="1"/>
  <c r="Y153" i="1"/>
  <c r="Z153" i="1"/>
  <c r="Y448" i="1"/>
  <c r="Z448" i="1"/>
  <c r="Y119" i="1"/>
  <c r="Z119" i="1"/>
  <c r="X454" i="1"/>
  <c r="X74" i="1"/>
  <c r="X437" i="1"/>
  <c r="Y470" i="1"/>
  <c r="Z470" i="1"/>
  <c r="X58" i="1"/>
  <c r="Y464" i="1"/>
  <c r="Z464" i="1"/>
  <c r="X306" i="1"/>
  <c r="Z465" i="1"/>
  <c r="Y465" i="1"/>
  <c r="Y508" i="1"/>
  <c r="Z508" i="1"/>
  <c r="Y444" i="1"/>
  <c r="Z444" i="1"/>
  <c r="Y169" i="1"/>
  <c r="Z169" i="1"/>
  <c r="Z363" i="1"/>
  <c r="Y363" i="1"/>
  <c r="X51" i="1"/>
  <c r="Y433" i="1"/>
  <c r="Z433" i="1"/>
  <c r="X25" i="1"/>
  <c r="X373" i="1"/>
  <c r="Y159" i="1"/>
  <c r="Z159" i="1"/>
  <c r="Y405" i="1"/>
  <c r="Z405" i="1"/>
  <c r="Y269" i="1"/>
  <c r="Z269" i="1"/>
  <c r="X200" i="1"/>
  <c r="X350" i="1"/>
  <c r="X432" i="1"/>
  <c r="Z366" i="1"/>
  <c r="Y366" i="1"/>
  <c r="X12" i="1"/>
  <c r="X118" i="1"/>
  <c r="X109" i="1"/>
  <c r="X167" i="1"/>
  <c r="Y236" i="1"/>
  <c r="Z236" i="1"/>
  <c r="Z129" i="1"/>
  <c r="Y129" i="1"/>
  <c r="X211" i="1"/>
  <c r="Z365" i="1"/>
  <c r="Y365" i="1"/>
  <c r="X172" i="1"/>
  <c r="X395" i="1"/>
  <c r="X266" i="1"/>
  <c r="X374" i="1"/>
  <c r="X173" i="1"/>
  <c r="Y376" i="1"/>
  <c r="Z376" i="1"/>
  <c r="Y91" i="1"/>
  <c r="Z91" i="1"/>
  <c r="Y253" i="1"/>
  <c r="Z253" i="1"/>
  <c r="X460" i="1"/>
  <c r="X429" i="1"/>
  <c r="X89" i="1"/>
  <c r="X476" i="1"/>
  <c r="Y386" i="1"/>
  <c r="Z386" i="1"/>
  <c r="Y472" i="1"/>
  <c r="Z472" i="1"/>
  <c r="Y196" i="1"/>
  <c r="Z196" i="1"/>
  <c r="Y205" i="1"/>
  <c r="Z205" i="1"/>
  <c r="X317" i="1"/>
  <c r="Y319" i="1"/>
  <c r="Z319" i="1"/>
  <c r="X458" i="1"/>
  <c r="X231" i="1"/>
  <c r="Y20" i="1"/>
  <c r="Z20" i="1"/>
  <c r="Z446" i="1"/>
  <c r="Y446" i="1"/>
  <c r="Y323" i="1"/>
  <c r="Z323" i="1"/>
  <c r="X375" i="1"/>
  <c r="Z216" i="1"/>
  <c r="Y216" i="1"/>
  <c r="Y443" i="1"/>
  <c r="Z443" i="1"/>
  <c r="X378" i="1"/>
  <c r="X385" i="1"/>
  <c r="X135" i="1"/>
  <c r="X401" i="1"/>
  <c r="Y94" i="1"/>
  <c r="Z94" i="1"/>
  <c r="Y402" i="1"/>
  <c r="Z402" i="1"/>
  <c r="Y505" i="1"/>
  <c r="Z505" i="1"/>
  <c r="Y229" i="1"/>
  <c r="Z229" i="1"/>
  <c r="Y255" i="1"/>
  <c r="Z255" i="1"/>
  <c r="Y197" i="1"/>
  <c r="Z197" i="1"/>
  <c r="Y291" i="1"/>
  <c r="Z291" i="1"/>
  <c r="Y346" i="1"/>
  <c r="Z346" i="1"/>
  <c r="Y349" i="1"/>
  <c r="Z349" i="1"/>
  <c r="X16" i="1"/>
  <c r="X214" i="1"/>
  <c r="X123" i="1"/>
  <c r="X320" i="1"/>
  <c r="Y507" i="1"/>
  <c r="Z507" i="1"/>
  <c r="Y491" i="1"/>
  <c r="Z491" i="1"/>
  <c r="Y489" i="1"/>
  <c r="Z489" i="1"/>
  <c r="X473" i="1"/>
  <c r="X384" i="1"/>
  <c r="X88" i="1"/>
  <c r="Y198" i="1"/>
  <c r="Z198" i="1"/>
  <c r="Y344" i="1"/>
  <c r="Z344" i="1"/>
  <c r="Y275" i="1"/>
  <c r="Z275" i="1"/>
  <c r="Y22" i="1"/>
  <c r="Z22" i="1"/>
  <c r="Y409" i="1"/>
  <c r="Z409" i="1"/>
  <c r="X308" i="1"/>
  <c r="Y411" i="1"/>
  <c r="Z411" i="1"/>
  <c r="X142" i="1"/>
  <c r="X325" i="1"/>
  <c r="Y117" i="1"/>
  <c r="Z117" i="1"/>
  <c r="Y480" i="1"/>
  <c r="Z480" i="1"/>
  <c r="Y303" i="1"/>
  <c r="Z303" i="1"/>
  <c r="X310" i="1"/>
  <c r="Y162" i="1"/>
  <c r="Z162" i="1"/>
  <c r="Y496" i="1"/>
  <c r="Z496" i="1"/>
  <c r="X359" i="1"/>
  <c r="X164" i="1"/>
  <c r="X177" i="1"/>
  <c r="X113" i="1"/>
  <c r="X224" i="1"/>
  <c r="Y126" i="1"/>
  <c r="Z126" i="1"/>
  <c r="Y394" i="1"/>
  <c r="Z394" i="1"/>
  <c r="Z362" i="1"/>
  <c r="Y362" i="1"/>
  <c r="X427" i="1"/>
  <c r="Y190" i="1"/>
  <c r="Z190" i="1"/>
  <c r="X45" i="1"/>
  <c r="Z122" i="1"/>
  <c r="Y122" i="1"/>
  <c r="Y398" i="1"/>
  <c r="Z398" i="1"/>
  <c r="Y175" i="1"/>
  <c r="Z175" i="1"/>
  <c r="X187" i="1"/>
  <c r="X372" i="1"/>
  <c r="Y500" i="1"/>
  <c r="Z500" i="1"/>
  <c r="Y168" i="1"/>
  <c r="Z168" i="1"/>
  <c r="X161" i="1"/>
  <c r="X420" i="1"/>
  <c r="X99" i="1"/>
  <c r="Z30" i="1"/>
  <c r="Y30" i="1"/>
  <c r="Y430" i="1"/>
  <c r="Z430" i="1"/>
  <c r="X183" i="1"/>
  <c r="X342" i="1"/>
  <c r="Z485" i="1"/>
  <c r="Y485" i="1"/>
  <c r="Y326" i="1"/>
  <c r="Z326" i="1"/>
  <c r="X461" i="1"/>
  <c r="X36" i="1"/>
  <c r="X263" i="1"/>
  <c r="X459" i="1"/>
  <c r="Y40" i="1"/>
  <c r="Z40" i="1"/>
  <c r="X392" i="1"/>
  <c r="Y240" i="1"/>
  <c r="Z240" i="1"/>
  <c r="X356" i="1"/>
  <c r="X146" i="1"/>
  <c r="X56" i="1"/>
  <c r="X33" i="1"/>
  <c r="X43" i="1"/>
  <c r="X9" i="1"/>
  <c r="Y280" i="1"/>
  <c r="Z280" i="1"/>
  <c r="Y185" i="1" l="1"/>
  <c r="Z185" i="1"/>
  <c r="Z222" i="1"/>
  <c r="Y222" i="1"/>
  <c r="Z495" i="1"/>
  <c r="Y495" i="1"/>
  <c r="Y360" i="1"/>
  <c r="Z360" i="1"/>
  <c r="Y189" i="1"/>
  <c r="Z189" i="1"/>
  <c r="Z220" i="1"/>
  <c r="Y220" i="1"/>
  <c r="Z14" i="1"/>
  <c r="Y14" i="1"/>
  <c r="Z178" i="1"/>
  <c r="Y178" i="1"/>
  <c r="Y357" i="1"/>
  <c r="Z357" i="1"/>
  <c r="Z44" i="1"/>
  <c r="Y44" i="1"/>
  <c r="Y227" i="1"/>
  <c r="Z227" i="1"/>
  <c r="X312" i="1"/>
  <c r="Z370" i="1"/>
  <c r="Y370" i="1"/>
  <c r="Z106" i="1"/>
  <c r="Y106" i="1"/>
  <c r="Y57" i="1"/>
  <c r="Z57" i="1"/>
  <c r="Y108" i="1"/>
  <c r="Z108" i="1"/>
  <c r="Z382" i="1"/>
  <c r="Y382" i="1"/>
  <c r="Z434" i="1"/>
  <c r="Y434" i="1"/>
  <c r="Y387" i="1"/>
  <c r="Z387" i="1"/>
  <c r="Z193" i="1"/>
  <c r="Y193" i="1"/>
  <c r="Z37" i="1"/>
  <c r="Y37" i="1"/>
  <c r="Y102" i="1"/>
  <c r="Z102" i="1"/>
  <c r="Z15" i="1"/>
  <c r="Y15" i="1"/>
  <c r="Y356" i="1"/>
  <c r="Z356" i="1"/>
  <c r="Y161" i="1"/>
  <c r="Z161" i="1"/>
  <c r="Y177" i="1"/>
  <c r="Z177" i="1"/>
  <c r="Y142" i="1"/>
  <c r="Z142" i="1"/>
  <c r="Y378" i="1"/>
  <c r="Z378" i="1"/>
  <c r="Z173" i="1"/>
  <c r="Y173" i="1"/>
  <c r="Z395" i="1"/>
  <c r="Y395" i="1"/>
  <c r="Z109" i="1"/>
  <c r="Y109" i="1"/>
  <c r="Y432" i="1"/>
  <c r="Z432" i="1"/>
  <c r="Z200" i="1"/>
  <c r="Y200" i="1"/>
  <c r="Z437" i="1"/>
  <c r="Y437" i="1"/>
  <c r="Z435" i="1"/>
  <c r="Y435" i="1"/>
  <c r="Y260" i="1"/>
  <c r="Z260" i="1"/>
  <c r="Y217" i="1"/>
  <c r="Z217" i="1"/>
  <c r="Y18" i="1"/>
  <c r="Z18" i="1"/>
  <c r="Y130" i="1"/>
  <c r="Z130" i="1"/>
  <c r="Y484" i="1"/>
  <c r="Z484" i="1"/>
  <c r="Z428" i="1"/>
  <c r="Y428" i="1"/>
  <c r="Y62" i="1"/>
  <c r="Z62" i="1"/>
  <c r="Y100" i="1"/>
  <c r="Z100" i="1"/>
  <c r="Z104" i="1"/>
  <c r="Y104" i="1"/>
  <c r="Z59" i="1"/>
  <c r="Y59" i="1"/>
  <c r="Y377" i="1"/>
  <c r="Z377" i="1"/>
  <c r="Y301" i="1"/>
  <c r="Z301" i="1"/>
  <c r="Y390" i="1"/>
  <c r="Z390" i="1"/>
  <c r="Y98" i="1"/>
  <c r="Z98" i="1"/>
  <c r="Y42" i="1"/>
  <c r="Z42" i="1"/>
  <c r="Y353" i="1"/>
  <c r="Z353" i="1"/>
  <c r="Z110" i="1"/>
  <c r="Y110" i="1"/>
  <c r="Z101" i="1"/>
  <c r="Y101" i="1"/>
  <c r="Y43" i="1"/>
  <c r="Z43" i="1"/>
  <c r="Y342" i="1"/>
  <c r="Z342" i="1"/>
  <c r="Y45" i="1"/>
  <c r="Z45" i="1"/>
  <c r="Y164" i="1"/>
  <c r="Z164" i="1"/>
  <c r="Z384" i="1"/>
  <c r="Y384" i="1"/>
  <c r="Y211" i="1"/>
  <c r="Z211" i="1"/>
  <c r="Y373" i="1"/>
  <c r="Z373" i="1"/>
  <c r="Y306" i="1"/>
  <c r="Z306" i="1"/>
  <c r="Y487" i="1"/>
  <c r="Z487" i="1"/>
  <c r="Y265" i="1"/>
  <c r="Z265" i="1"/>
  <c r="Y53" i="1"/>
  <c r="Z53" i="1"/>
  <c r="Y17" i="1"/>
  <c r="Z17" i="1"/>
  <c r="Y322" i="1"/>
  <c r="Z322" i="1"/>
  <c r="Y210" i="1"/>
  <c r="Z210" i="1"/>
  <c r="Z64" i="1"/>
  <c r="Y64" i="1"/>
  <c r="Y225" i="1"/>
  <c r="Z225" i="1"/>
  <c r="Y503" i="1"/>
  <c r="Z503" i="1"/>
  <c r="Z324" i="1"/>
  <c r="Y324" i="1"/>
  <c r="Y56" i="1"/>
  <c r="Z56" i="1"/>
  <c r="Y36" i="1"/>
  <c r="Z36" i="1"/>
  <c r="Z372" i="1"/>
  <c r="Y372" i="1"/>
  <c r="Y187" i="1"/>
  <c r="Z187" i="1"/>
  <c r="Y427" i="1"/>
  <c r="Z427" i="1"/>
  <c r="Y325" i="1"/>
  <c r="Z325" i="1"/>
  <c r="Z308" i="1"/>
  <c r="Y308" i="1"/>
  <c r="Y320" i="1"/>
  <c r="Z320" i="1"/>
  <c r="Y401" i="1"/>
  <c r="Z401" i="1"/>
  <c r="Y231" i="1"/>
  <c r="Z231" i="1"/>
  <c r="Y429" i="1"/>
  <c r="Z429" i="1"/>
  <c r="Y374" i="1"/>
  <c r="Z374" i="1"/>
  <c r="Z172" i="1"/>
  <c r="Y172" i="1"/>
  <c r="Y12" i="1"/>
  <c r="Z12" i="1"/>
  <c r="Z51" i="1"/>
  <c r="Y51" i="1"/>
  <c r="Z74" i="1"/>
  <c r="Y74" i="1"/>
  <c r="Z399" i="1"/>
  <c r="Y399" i="1"/>
  <c r="Z478" i="1"/>
  <c r="Y478" i="1"/>
  <c r="Y111" i="1"/>
  <c r="Z111" i="1"/>
  <c r="Y380" i="1"/>
  <c r="Z380" i="1"/>
  <c r="Z75" i="1"/>
  <c r="Y75" i="1"/>
  <c r="Z134" i="1"/>
  <c r="Y134" i="1"/>
  <c r="Z103" i="1"/>
  <c r="Y103" i="1"/>
  <c r="Z39" i="1"/>
  <c r="Y39" i="1"/>
  <c r="Y457" i="1"/>
  <c r="Z457" i="1"/>
  <c r="Y218" i="1"/>
  <c r="Z218" i="1"/>
  <c r="Y304" i="1"/>
  <c r="Z304" i="1"/>
  <c r="Y72" i="1"/>
  <c r="Z72" i="1"/>
  <c r="Z314" i="1"/>
  <c r="Y314" i="1"/>
  <c r="Z13" i="1"/>
  <c r="Y13" i="1"/>
  <c r="Y230" i="1"/>
  <c r="Z230" i="1"/>
  <c r="Y179" i="1"/>
  <c r="Z179" i="1"/>
  <c r="Y351" i="1"/>
  <c r="Z351" i="1"/>
  <c r="Y128" i="1"/>
  <c r="Z128" i="1"/>
  <c r="Y33" i="1"/>
  <c r="Z33" i="1"/>
  <c r="Y146" i="1"/>
  <c r="Z146" i="1"/>
  <c r="Y263" i="1"/>
  <c r="Z263" i="1"/>
  <c r="Y99" i="1"/>
  <c r="Z99" i="1"/>
  <c r="Y224" i="1"/>
  <c r="Z224" i="1"/>
  <c r="Y310" i="1"/>
  <c r="Z310" i="1"/>
  <c r="Y16" i="1"/>
  <c r="Z16" i="1"/>
  <c r="Y476" i="1"/>
  <c r="Z476" i="1"/>
  <c r="Y118" i="1"/>
  <c r="Z118" i="1"/>
  <c r="Y58" i="1"/>
  <c r="Z58" i="1"/>
  <c r="Z107" i="1"/>
  <c r="Y107" i="1"/>
  <c r="Y208" i="1"/>
  <c r="Z208" i="1"/>
  <c r="Y155" i="1"/>
  <c r="Z155" i="1"/>
  <c r="Y389" i="1"/>
  <c r="Z389" i="1"/>
  <c r="Y455" i="1"/>
  <c r="Z455" i="1"/>
  <c r="Y381" i="1"/>
  <c r="Z381" i="1"/>
  <c r="Y184" i="1"/>
  <c r="Z184" i="1"/>
  <c r="Y133" i="1"/>
  <c r="Z133" i="1"/>
  <c r="Y38" i="1"/>
  <c r="Z38" i="1"/>
  <c r="Y318" i="1"/>
  <c r="Z318" i="1"/>
  <c r="Y302" i="1"/>
  <c r="Z302" i="1"/>
  <c r="Y459" i="1"/>
  <c r="Z459" i="1"/>
  <c r="Y9" i="1"/>
  <c r="Z9" i="1"/>
  <c r="Y392" i="1"/>
  <c r="Z392" i="1"/>
  <c r="Y461" i="1"/>
  <c r="Z461" i="1"/>
  <c r="Y183" i="1"/>
  <c r="Z183" i="1"/>
  <c r="Y420" i="1"/>
  <c r="Z420" i="1"/>
  <c r="Y113" i="1"/>
  <c r="Z113" i="1"/>
  <c r="Y359" i="1"/>
  <c r="Z359" i="1"/>
  <c r="Z88" i="1"/>
  <c r="Y88" i="1"/>
  <c r="Z473" i="1"/>
  <c r="Y473" i="1"/>
  <c r="Y123" i="1"/>
  <c r="Z123" i="1"/>
  <c r="Y214" i="1"/>
  <c r="Z214" i="1"/>
  <c r="Y135" i="1"/>
  <c r="Z135" i="1"/>
  <c r="Y385" i="1"/>
  <c r="Z385" i="1"/>
  <c r="Z375" i="1"/>
  <c r="Y375" i="1"/>
  <c r="Y458" i="1"/>
  <c r="Z458" i="1"/>
  <c r="Y317" i="1"/>
  <c r="Z317" i="1"/>
  <c r="Y89" i="1"/>
  <c r="Z89" i="1"/>
  <c r="Y460" i="1"/>
  <c r="Z460" i="1"/>
  <c r="Y266" i="1"/>
  <c r="Z266" i="1"/>
  <c r="Y167" i="1"/>
  <c r="Z167" i="1"/>
  <c r="Y350" i="1"/>
  <c r="Z350" i="1"/>
  <c r="Y25" i="1"/>
  <c r="Z25" i="1"/>
  <c r="Z454" i="1"/>
  <c r="Y454" i="1"/>
  <c r="Y32" i="1"/>
  <c r="Z32" i="1"/>
  <c r="Y46" i="1"/>
  <c r="Z46" i="1"/>
  <c r="Z151" i="1"/>
  <c r="Y151" i="1"/>
  <c r="Y233" i="1"/>
  <c r="Z233" i="1"/>
  <c r="Y166" i="1"/>
  <c r="Z166" i="1"/>
  <c r="Y355" i="1"/>
  <c r="Z355" i="1"/>
  <c r="Y300" i="1"/>
  <c r="Z300" i="1"/>
  <c r="Z182" i="1"/>
  <c r="Y182" i="1"/>
  <c r="Z105" i="1"/>
  <c r="Y105" i="1"/>
  <c r="Y311" i="1"/>
  <c r="Z311" i="1"/>
  <c r="Y86" i="1"/>
  <c r="Z86" i="1"/>
  <c r="Y81" i="1"/>
  <c r="Z81" i="1"/>
  <c r="Y73" i="1"/>
  <c r="Z73" i="1"/>
  <c r="Y262" i="1"/>
  <c r="Z262" i="1"/>
  <c r="Y482" i="1"/>
  <c r="Z482" i="1"/>
  <c r="Y396" i="1"/>
  <c r="Z396" i="1"/>
  <c r="Z264" i="1"/>
  <c r="Y264" i="1"/>
  <c r="Y312" i="1" l="1"/>
  <c r="Z312" i="1"/>
</calcChain>
</file>

<file path=xl/comments1.xml><?xml version="1.0" encoding="utf-8"?>
<comments xmlns="http://schemas.openxmlformats.org/spreadsheetml/2006/main">
  <authors>
    <author>gigawork</author>
  </authors>
  <commentList>
    <comment ref="AV7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Kecil</t>
        </r>
      </text>
    </comment>
    <comment ref="AV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All bahan</t>
        </r>
      </text>
    </comment>
  </commentList>
</comments>
</file>

<file path=xl/comments2.xml><?xml version="1.0" encoding="utf-8"?>
<comments xmlns="http://schemas.openxmlformats.org/spreadsheetml/2006/main">
  <authors>
    <author>gigawork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Ganti produk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net / gross</t>
        </r>
      </text>
    </comment>
    <comment ref="E1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79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3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21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21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C22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 rnd beda</t>
        </r>
      </text>
    </comment>
    <comment ref="E26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Diadora benar?</t>
        </r>
      </text>
    </comment>
    <comment ref="E30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kemurahan</t>
        </r>
      </text>
    </comment>
    <comment ref="E38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lebih murah</t>
        </r>
      </text>
    </comment>
    <comment ref="E39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1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5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mahal</t>
        </r>
      </text>
    </comment>
  </commentList>
</comments>
</file>

<file path=xl/sharedStrings.xml><?xml version="1.0" encoding="utf-8"?>
<sst xmlns="http://schemas.openxmlformats.org/spreadsheetml/2006/main" count="6608" uniqueCount="1804">
  <si>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</si>
  <si>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</si>
  <si>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</si>
  <si>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</si>
  <si>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</si>
  <si>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</si>
  <si>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</si>
  <si>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</si>
  <si>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</si>
  <si>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</si>
  <si>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</si>
  <si>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</si>
  <si>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Check 1</t>
  </si>
  <si>
    <t>Kode RND</t>
  </si>
  <si>
    <t>Kode</t>
  </si>
  <si>
    <t>Kode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</si>
  <si>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</si>
  <si>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</si>
  <si>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</si>
  <si>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</si>
  <si>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</si>
  <si>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</si>
  <si>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</si>
  <si>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</si>
  <si>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</si>
  <si>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RCH</t>
  </si>
  <si>
    <t>Catt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</si>
  <si>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</si>
  <si>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</si>
  <si>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</si>
  <si>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</si>
  <si>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</si>
  <si>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</si>
  <si>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</si>
  <si>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</si>
  <si>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</si>
  <si>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INF 18</t>
  </si>
  <si>
    <t>INF 17</t>
  </si>
  <si>
    <t>INF16</t>
  </si>
  <si>
    <t>[ % ]</t>
  </si>
  <si>
    <t>JV 19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</si>
  <si>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</si>
  <si>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</si>
  <si>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</si>
  <si>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</si>
  <si>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</si>
  <si>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</si>
  <si>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</si>
  <si>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</si>
  <si>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</si>
  <si>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</si>
  <si>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</si>
  <si>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</si>
  <si>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</si>
  <si>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</si>
  <si>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</si>
  <si>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</si>
  <si>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</si>
  <si>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</si>
  <si>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</si>
  <si>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</si>
  <si>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</si>
  <si>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</si>
  <si>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</si>
  <si>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</si>
  <si>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</si>
  <si>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</si>
  <si>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</si>
  <si>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</si>
  <si>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</si>
  <si>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</si>
  <si>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</si>
  <si>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</si>
  <si>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</si>
  <si>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</si>
  <si>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</si>
  <si>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</si>
  <si>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</si>
  <si>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</si>
  <si>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</si>
  <si>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</si>
  <si>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</si>
  <si>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</si>
  <si>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</si>
  <si>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SDL 239</t>
  </si>
  <si>
    <t>INF - Ce - Pakaian - Atasan - Rajut #P2OK</t>
  </si>
  <si>
    <t>Wiwin - SDL</t>
  </si>
  <si>
    <t>Buffer / Net</t>
  </si>
  <si>
    <t>buffer</t>
  </si>
  <si>
    <t xml:space="preserve">Katalog - Plastik (M) - Hangtag Hangtag - Slip Kain - Label Kain </t>
  </si>
  <si>
    <t>SSG 537</t>
  </si>
  <si>
    <t>Baru</t>
  </si>
  <si>
    <t>INF - Ce - Pakaian - Atasan - Katun #P2OK</t>
  </si>
  <si>
    <t>GUSTIAN - NEW</t>
  </si>
  <si>
    <t>Gross</t>
  </si>
  <si>
    <t>SUP 280</t>
  </si>
  <si>
    <t>EUIS FATIMAH - SUP</t>
  </si>
  <si>
    <t>Net</t>
  </si>
  <si>
    <t>katalog, slip, label, hangtag, plastik</t>
  </si>
  <si>
    <t>SRS 149</t>
  </si>
  <si>
    <t>Adin - SHJ</t>
  </si>
  <si>
    <t>SSR 236</t>
  </si>
  <si>
    <t>KIKI SRI R - NEW</t>
  </si>
  <si>
    <t>SSR 185</t>
  </si>
  <si>
    <t>SAD 244</t>
  </si>
  <si>
    <t>Andri - SAD</t>
  </si>
  <si>
    <t>Buffer / Gross</t>
  </si>
  <si>
    <t>katalog, plastik M, hangtag kertas, slip kain, label kain</t>
  </si>
  <si>
    <t>SSG 772</t>
  </si>
  <si>
    <t>SMA 938</t>
  </si>
  <si>
    <t>MELA - NEW</t>
  </si>
  <si>
    <t>katalog,slip ,Label,handtag,plastik</t>
  </si>
  <si>
    <t>SMR 915</t>
  </si>
  <si>
    <t>Mira - SMR</t>
  </si>
  <si>
    <t>katalog, slip, label id, hangtag, plastik</t>
  </si>
  <si>
    <t>SRT 922</t>
  </si>
  <si>
    <t>Ratna - SRT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</si>
  <si>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</si>
  <si>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</si>
  <si>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</si>
  <si>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</si>
  <si>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</si>
  <si>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</si>
  <si>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</si>
  <si>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</si>
  <si>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</si>
  <si>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</si>
  <si>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</si>
  <si>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SRS 945</t>
  </si>
  <si>
    <t>SRY 268</t>
  </si>
  <si>
    <t>RYAN (RRY) - NEW</t>
  </si>
  <si>
    <t>Katalog - Plastik (M) - Hangtag Kulit - Slip Kain - Label Kain</t>
  </si>
  <si>
    <t>SRF 336</t>
  </si>
  <si>
    <t>IRFAN SEPTIANADA - NEW</t>
  </si>
  <si>
    <t>katalog,slip ,Label,handtag,plastik besar</t>
  </si>
  <si>
    <t>SSG 731</t>
  </si>
  <si>
    <t>SRF 987</t>
  </si>
  <si>
    <t>SRS 630</t>
  </si>
  <si>
    <t>SRS 574</t>
  </si>
  <si>
    <t>SSG 781</t>
  </si>
  <si>
    <t>SRS 140</t>
  </si>
  <si>
    <t>SNO 888</t>
  </si>
  <si>
    <t>Yono - SNO</t>
  </si>
  <si>
    <t>katalog,slip ,label,handtag,label lacoste,plastik751</t>
  </si>
  <si>
    <t>SFT 766</t>
  </si>
  <si>
    <t>Hasan - SFT</t>
  </si>
  <si>
    <t>SMR 836</t>
  </si>
  <si>
    <t>SRS 482</t>
  </si>
  <si>
    <t>SNN 683</t>
  </si>
  <si>
    <t>Anna - New</t>
  </si>
  <si>
    <t>SCR 827</t>
  </si>
  <si>
    <t>SSG 332</t>
  </si>
  <si>
    <t>SHJ 338</t>
  </si>
  <si>
    <t>INF - Ce - Pakaian - Atasan - Denim #P2OK</t>
  </si>
  <si>
    <t>SIP 549</t>
  </si>
  <si>
    <t>Ika - SIP</t>
  </si>
  <si>
    <t>SPI 514</t>
  </si>
  <si>
    <t>SPI 839</t>
  </si>
  <si>
    <t>SPI 721</t>
  </si>
  <si>
    <t>SGB 435</t>
  </si>
  <si>
    <t>INF - Ce - Sarimbit #P2OK</t>
  </si>
  <si>
    <t>AGUNG BUDIMAN - SGB</t>
  </si>
  <si>
    <t>SGB 333</t>
  </si>
  <si>
    <t>INF - Co - Sarimbit #P2OK</t>
  </si>
  <si>
    <t>SDR 823</t>
  </si>
  <si>
    <t>Dani - SDR</t>
  </si>
  <si>
    <t>katalog,slip ,label,handtag,plastik besar</t>
  </si>
  <si>
    <t>SDR 388</t>
  </si>
  <si>
    <t>SGB 316</t>
  </si>
  <si>
    <t>katalog,slip ,Label,handtag,dus kecil</t>
  </si>
  <si>
    <t>SGB 562</t>
  </si>
  <si>
    <t>SGB 517</t>
  </si>
  <si>
    <t>SGB 446</t>
  </si>
  <si>
    <t>SGB 368</t>
  </si>
  <si>
    <t>SGB 432</t>
  </si>
  <si>
    <t>SGB 876</t>
  </si>
  <si>
    <t>SGB 636</t>
  </si>
  <si>
    <t>SLH 240</t>
  </si>
  <si>
    <t>INF - Ce - Pakaian - Gamis #P2NOT</t>
  </si>
  <si>
    <t>LILIS NURHAYATI - NEW</t>
  </si>
  <si>
    <t>Net/gross?</t>
  </si>
  <si>
    <t>katalog, dus, slip, label, hangtag</t>
  </si>
  <si>
    <t>SFT 716</t>
  </si>
  <si>
    <t>katalog,slip ,Label,handtag,dus besar</t>
  </si>
  <si>
    <t>SRT 628</t>
  </si>
  <si>
    <t>katalog, slip, label, hangtag, dus</t>
  </si>
  <si>
    <t>SOP 287</t>
  </si>
  <si>
    <t>Nani - SOP</t>
  </si>
  <si>
    <t>katalog, slip, label id, hangtag, dus</t>
  </si>
  <si>
    <t>SHJ 956</t>
  </si>
  <si>
    <t>SAT 634</t>
  </si>
  <si>
    <t>Gingin - SAT</t>
  </si>
  <si>
    <t>SLH 114</t>
  </si>
  <si>
    <t>ktalog, dus, slip, label, hangtag</t>
  </si>
  <si>
    <t>SHJ 293</t>
  </si>
  <si>
    <t>SDI 903</t>
  </si>
  <si>
    <t>Imas - SNS</t>
  </si>
  <si>
    <t>SMR 587</t>
  </si>
  <si>
    <t>katalog, slip, label, hangtag, dus besar</t>
  </si>
  <si>
    <t>SLH 497</t>
  </si>
  <si>
    <t>SDI 984</t>
  </si>
  <si>
    <t>SLH 461</t>
  </si>
  <si>
    <t>SHJ 686</t>
  </si>
  <si>
    <t>SLH 490</t>
  </si>
  <si>
    <t>SHJ 646</t>
  </si>
  <si>
    <t>SDT 133</t>
  </si>
  <si>
    <t>RANDY TAUFIK - NEW</t>
  </si>
  <si>
    <t>SNS 257</t>
  </si>
  <si>
    <t>SFT 223</t>
  </si>
  <si>
    <t>baru</t>
  </si>
  <si>
    <t>SFT 720</t>
  </si>
  <si>
    <t>SOP 457</t>
  </si>
  <si>
    <t>SGS 534</t>
  </si>
  <si>
    <t>IDA - SGS</t>
  </si>
  <si>
    <t>selisih 150 dari harga yang di fitri (131.850)</t>
  </si>
  <si>
    <t>Katalog - Dus Besar - Hangtag Kertas - Slip Kain - Label Kain</t>
  </si>
  <si>
    <t>SAT 881</t>
  </si>
  <si>
    <t>SRT 172</t>
  </si>
  <si>
    <t>SKL 832</t>
  </si>
  <si>
    <t>INF - Ce - Mukena #P2NOT</t>
  </si>
  <si>
    <t>KASIL - SKL</t>
  </si>
  <si>
    <t>SLS 652</t>
  </si>
  <si>
    <t>Opan - SLS</t>
  </si>
  <si>
    <t>Katalog - Laken L - Hangtag Kertas - Slip Kain - Slip Kain</t>
  </si>
  <si>
    <t>SKL 899</t>
  </si>
  <si>
    <t>katalog,slip ,slip,handtag,laken L</t>
  </si>
  <si>
    <t>SLS 678</t>
  </si>
  <si>
    <t>SKL 902</t>
  </si>
  <si>
    <t>kemahalan</t>
  </si>
  <si>
    <t>SLS 173</t>
  </si>
  <si>
    <t>SKL 573</t>
  </si>
  <si>
    <t>SKL 666</t>
  </si>
  <si>
    <t>SDA 151</t>
  </si>
  <si>
    <t xml:space="preserve">AIDA </t>
  </si>
  <si>
    <t>katalog, slip, slip, hangtag, laken L</t>
  </si>
  <si>
    <t>SHY 139</t>
  </si>
  <si>
    <t>INF - Anak Ce - Mukena #P2OK</t>
  </si>
  <si>
    <t>HARYATI - NEW</t>
  </si>
  <si>
    <t>harga tengah</t>
  </si>
  <si>
    <t>katalog,slip,handtag</t>
  </si>
  <si>
    <t>SHY 426</t>
  </si>
  <si>
    <t>SKL 923</t>
  </si>
  <si>
    <t>dicoret?</t>
  </si>
  <si>
    <t>katalog,slip ,slip,handtag,plastik besar</t>
  </si>
  <si>
    <t>SRT 889</t>
  </si>
  <si>
    <t>INF - Ce - Jilbab #P2OK</t>
  </si>
  <si>
    <t>katalog, slip, hangtag, plastik</t>
  </si>
  <si>
    <t>SNY 475</t>
  </si>
  <si>
    <t>Hj Iis - SNY</t>
  </si>
  <si>
    <t xml:space="preserve">Katalog - Plastik (S) - Hangtag Kertas - Slip Kain </t>
  </si>
  <si>
    <t>SRT 282</t>
  </si>
  <si>
    <t>SGG 524</t>
  </si>
  <si>
    <t>AANG - NEW</t>
  </si>
  <si>
    <t>SOP 707</t>
  </si>
  <si>
    <t>SGG 382</t>
  </si>
  <si>
    <t>STA 793</t>
  </si>
  <si>
    <t>INF - Ce - Jaket - Fleece #P2NOT</t>
  </si>
  <si>
    <t>TITA - NEW</t>
  </si>
  <si>
    <t>katalog,slip ,label,label saku,plastik besar,hangtag</t>
  </si>
  <si>
    <t>SCR 444</t>
  </si>
  <si>
    <t>SMD 153</t>
  </si>
  <si>
    <t>INF - Ce - Jaket - Parasit #P2OK</t>
  </si>
  <si>
    <t>Dayut - SMD</t>
  </si>
  <si>
    <t>katalog,slip ,label,handtag,emblem,laken L</t>
  </si>
  <si>
    <t>SRO 603</t>
  </si>
  <si>
    <t>INF - Ce - Jaket - Canvas #P2OK</t>
  </si>
  <si>
    <t>ASEP RODI-SRO</t>
  </si>
  <si>
    <t>SMD 442</t>
  </si>
  <si>
    <t>STA 983</t>
  </si>
  <si>
    <t>katalog,slip,handtag,label, label saku, laken L</t>
  </si>
  <si>
    <t>SRO 467</t>
  </si>
  <si>
    <t>SMD 275</t>
  </si>
  <si>
    <t>SMD 373</t>
  </si>
  <si>
    <t>katalog,slip 2x ,handtag,emblem 2x,laken L</t>
  </si>
  <si>
    <t>SFC 747</t>
  </si>
  <si>
    <t>Baba - SSC</t>
  </si>
  <si>
    <t>gross/net</t>
  </si>
  <si>
    <t>katalog, slip, label, hangtag, laken l</t>
  </si>
  <si>
    <t>SIP 358</t>
  </si>
  <si>
    <t>katalog,slip,label,handtag,plastik</t>
  </si>
  <si>
    <t>STF 312</t>
  </si>
  <si>
    <t>STF 321</t>
  </si>
  <si>
    <t>INF - Ce - Jaket - Lotto</t>
  </si>
  <si>
    <t>SMD 102</t>
  </si>
  <si>
    <t>katalog,slip ,label,handtag,label lacoste,plastik</t>
  </si>
  <si>
    <t>SIP 381</t>
  </si>
  <si>
    <t>katalog,slip,label,hangtag,emblem,laken L</t>
  </si>
  <si>
    <t>SDK 201</t>
  </si>
  <si>
    <t>SONIYANSYAH - NEW</t>
  </si>
  <si>
    <t>katalog,slip ,label pundak,handtag,label kain,laken L</t>
  </si>
  <si>
    <t>SLT 270</t>
  </si>
  <si>
    <t>Ani - New</t>
  </si>
  <si>
    <t>gross/net mahal</t>
  </si>
  <si>
    <t>katalog, slip, label pundak, hangtag, label ID, laken L</t>
  </si>
  <si>
    <t>SMD 359</t>
  </si>
  <si>
    <t>SMA 794</t>
  </si>
  <si>
    <t>mahal</t>
  </si>
  <si>
    <t>katalog,slip ,label ID,handtag,laken L</t>
  </si>
  <si>
    <t>SLC 350</t>
  </si>
  <si>
    <t>STF 237</t>
  </si>
  <si>
    <t>HJ - TAUFIK</t>
  </si>
  <si>
    <t>SGG 895</t>
  </si>
  <si>
    <t xml:space="preserve">INF - Ce - Jaket - Rajut </t>
  </si>
  <si>
    <t>SMD 265</t>
  </si>
  <si>
    <t>STA 817</t>
  </si>
  <si>
    <t>SRO 615</t>
  </si>
  <si>
    <t>SMD 343</t>
  </si>
  <si>
    <t>katalog,slip ,label,handtag,label lacoste,plastik450</t>
  </si>
  <si>
    <t>STF 112</t>
  </si>
  <si>
    <t>SMD 168</t>
  </si>
  <si>
    <t>SZK 148</t>
  </si>
  <si>
    <t>INF - Ce - Jaket - Viena #P2OK</t>
  </si>
  <si>
    <t>Didin - SZK</t>
  </si>
  <si>
    <t>katalog,slip,handtag,label,laken L</t>
  </si>
  <si>
    <t>SDN 939</t>
  </si>
  <si>
    <t>Gugum - SGU</t>
  </si>
  <si>
    <t>SIP 929</t>
  </si>
  <si>
    <t>katalog,slip,label,hangtag,laken L</t>
  </si>
  <si>
    <t>SKK 238</t>
  </si>
  <si>
    <t>INF - Ce - Jaket - Jeans #P2OK</t>
  </si>
  <si>
    <t>Kiki - SKK</t>
  </si>
  <si>
    <t xml:space="preserve">Katalog - Plastik (M) - Hangtag Kulit - Slip Kain - Label Kain </t>
  </si>
  <si>
    <t>SSP 254</t>
  </si>
  <si>
    <t>Usep - SSP</t>
  </si>
  <si>
    <t>SMA 305</t>
  </si>
  <si>
    <t>katalog,slip karet,label pundak,handtag, logam emas,laken L</t>
  </si>
  <si>
    <t>SIP 718</t>
  </si>
  <si>
    <t>katalog,slip,label,hangtag,plastik</t>
  </si>
  <si>
    <t>SMA 928</t>
  </si>
  <si>
    <t>SPI 130</t>
  </si>
  <si>
    <t>STT 174</t>
  </si>
  <si>
    <t>TANTRI - NEW</t>
  </si>
  <si>
    <t>SMD 142</t>
  </si>
  <si>
    <t>SSP 989</t>
  </si>
  <si>
    <t>SSP 555</t>
  </si>
  <si>
    <t>INF - Co - Jaket - Jeans #P2OK</t>
  </si>
  <si>
    <t>SSP 742</t>
  </si>
  <si>
    <t>SDK 258</t>
  </si>
  <si>
    <t>katalog,slip ,label pundak,handtag,emblem,laken L</t>
  </si>
  <si>
    <t>SDK 317</t>
  </si>
  <si>
    <t>INF - Co - Jaket - Parasit #P2OK</t>
  </si>
  <si>
    <t>SPN 228</t>
  </si>
  <si>
    <t>INF - Ce - Celana - Jeans #P2OK</t>
  </si>
  <si>
    <t>SPN 190</t>
  </si>
  <si>
    <t>SPN 931</t>
  </si>
  <si>
    <t>SMA 170</t>
  </si>
  <si>
    <t>katalog,slip ,handtag,kulit jeans cewe,plastik</t>
  </si>
  <si>
    <t>SNN 274</t>
  </si>
  <si>
    <t>INF - Ce - Celana - Twill #P2OK</t>
  </si>
  <si>
    <t>SPN 127</t>
  </si>
  <si>
    <t>SLX 326</t>
  </si>
  <si>
    <t>ALEX SLX</t>
  </si>
  <si>
    <t>Katalog, slip, hangtag, kulit jeruk, laken L, Preasure Denim</t>
  </si>
  <si>
    <t>SPN 894</t>
  </si>
  <si>
    <t>SLX 961</t>
  </si>
  <si>
    <t>SPN 191</t>
  </si>
  <si>
    <t>SMA 871</t>
  </si>
  <si>
    <t xml:space="preserve"> INF - Ce - Celana - Jeans - Top</t>
  </si>
  <si>
    <t>SPN 489</t>
  </si>
  <si>
    <t>STV 801</t>
  </si>
  <si>
    <t>INF - Ce - Tas Wanita #P2OK</t>
  </si>
  <si>
    <t>WANJA - STV</t>
  </si>
  <si>
    <t>katalog,slip karet,handtag, logam emas,laken XL</t>
  </si>
  <si>
    <t>SJU 113</t>
  </si>
  <si>
    <t>JUJUN - NEW</t>
  </si>
  <si>
    <t>katalog,slip karet,handtag,logam emas,laken XL</t>
  </si>
  <si>
    <t>SNP 296</t>
  </si>
  <si>
    <t>Amar - SUM/LEV</t>
  </si>
  <si>
    <t>buffer - Konfirmasi aris</t>
  </si>
  <si>
    <t>katalog, slip kain, hangtag, logam nikel, laken XL</t>
  </si>
  <si>
    <t>SFA 276</t>
  </si>
  <si>
    <t>SITI FATIMAH - NEW</t>
  </si>
  <si>
    <t>STV 673</t>
  </si>
  <si>
    <t>SRI 328</t>
  </si>
  <si>
    <t>Tati Hardiati - SRI/SKS/SFC/LSR</t>
  </si>
  <si>
    <t>SUM 548</t>
  </si>
  <si>
    <t>katalog, slip kain, hangtag, logam emas, laken XL</t>
  </si>
  <si>
    <t>SJU 319</t>
  </si>
  <si>
    <t>SRM 713</t>
  </si>
  <si>
    <t>katalog,slip kain,handtag,logam emas,laken XL</t>
  </si>
  <si>
    <t>SUM 918</t>
  </si>
  <si>
    <t>amar gross / net</t>
  </si>
  <si>
    <t>katalog, slip kain, hangtag,logam emas, laken L</t>
  </si>
  <si>
    <t>SSD 787</t>
  </si>
  <si>
    <t>MILA - SSD</t>
  </si>
  <si>
    <t>katalog, slip karet, hangtag, logam nikel, laken L</t>
  </si>
  <si>
    <t>SRI 252</t>
  </si>
  <si>
    <t>SRI 126</t>
  </si>
  <si>
    <t>STE 250</t>
  </si>
  <si>
    <t xml:space="preserve">TENDY - NEW </t>
  </si>
  <si>
    <t>katalog, slip, hangtag, logam emas, laken xl</t>
  </si>
  <si>
    <t>SUM 708</t>
  </si>
  <si>
    <t xml:space="preserve">Amar - SUM/LEV </t>
  </si>
  <si>
    <t>katalog, slip kain, hangtag, laken L</t>
  </si>
  <si>
    <t>SRM 194</t>
  </si>
  <si>
    <t>SKS 690</t>
  </si>
  <si>
    <t>katalog,slip kain,handtag,logam mikel,laken XL</t>
  </si>
  <si>
    <t>SKS 318</t>
  </si>
  <si>
    <t>katalog,slip kain,handtag,logam kaleng,laken XL</t>
  </si>
  <si>
    <t>SSD 627</t>
  </si>
  <si>
    <t>SUM 723</t>
  </si>
  <si>
    <t>AMAR - SUM/LEV</t>
  </si>
  <si>
    <t>SRI 813</t>
  </si>
  <si>
    <t>SFM 866</t>
  </si>
  <si>
    <t>Fahmi - SFM</t>
  </si>
  <si>
    <t>SJU 950</t>
  </si>
  <si>
    <t>saten?</t>
  </si>
  <si>
    <t>SJU 807</t>
  </si>
  <si>
    <t>SAP 448</t>
  </si>
  <si>
    <t xml:space="preserve">HANIF - SAP </t>
  </si>
  <si>
    <t>Katalog - Laken (XL) - Hangtag Kulit - Slip Karet - Logam Cor Emas</t>
  </si>
  <si>
    <t>SJU 226</t>
  </si>
  <si>
    <t>SUM 132</t>
  </si>
  <si>
    <t>SRI 697</t>
  </si>
  <si>
    <t>SJU 849</t>
  </si>
  <si>
    <t>SFR 605</t>
  </si>
  <si>
    <t>Feri - SFR/LTY</t>
  </si>
  <si>
    <t>katalog,slip karet,handtag kulit,laken L</t>
  </si>
  <si>
    <t>SUM 982</t>
  </si>
  <si>
    <t>SWN 292</t>
  </si>
  <si>
    <t>H IWAN K</t>
  </si>
  <si>
    <t>katalog,slip karet,handtag,laken XL, logam emas</t>
  </si>
  <si>
    <t>SGI 778</t>
  </si>
  <si>
    <t xml:space="preserve">Taryono - SGI </t>
  </si>
  <si>
    <t>buffer- selisi 200  dengan data dari fitri (54.950)</t>
  </si>
  <si>
    <t>Katalog - Laken (L) - Hangtag Kulit - Slip Karet - Logam Cor Bakar</t>
  </si>
  <si>
    <t>SFS 629</t>
  </si>
  <si>
    <t>Faisal - SFS</t>
  </si>
  <si>
    <t>katalog,slip,handtag,logam emas, laken L</t>
  </si>
  <si>
    <t>SWN 645</t>
  </si>
  <si>
    <t>katalog,slip,handtag,laken L</t>
  </si>
  <si>
    <t>SGI 445</t>
  </si>
  <si>
    <t>Katalog - Laken (L) - Hangtag Kulit - Slip Karet</t>
  </si>
  <si>
    <t>STV 131</t>
  </si>
  <si>
    <t>katalog,slip karet,handtag,laken L</t>
  </si>
  <si>
    <t>STU 598</t>
  </si>
  <si>
    <t>ANDRI STU</t>
  </si>
  <si>
    <t>katalog,slip karet,handtag,logam mikel, laken L</t>
  </si>
  <si>
    <t>SMU 122</t>
  </si>
  <si>
    <t>Ummu Hani - New</t>
  </si>
  <si>
    <t>SWN 592</t>
  </si>
  <si>
    <t>INF - Ce - Tas Wanita - Semi/Kecil #P2OK</t>
  </si>
  <si>
    <t>katalog,slip karet,handtag,laken L, logam emas</t>
  </si>
  <si>
    <t>SMU 585</t>
  </si>
  <si>
    <t>SMU 354</t>
  </si>
  <si>
    <t>katalog,slip karet,handtag, logam emas,laken L</t>
  </si>
  <si>
    <t>SFM 158</t>
  </si>
  <si>
    <t>SRI 449</t>
  </si>
  <si>
    <t>katalog,slip kain,handtag,logam emas,laken L</t>
  </si>
  <si>
    <t>SGI 496</t>
  </si>
  <si>
    <t>SFR 739</t>
  </si>
  <si>
    <t>SMT 632</t>
  </si>
  <si>
    <t xml:space="preserve">MAMAT </t>
  </si>
  <si>
    <t>SRI 672</t>
  </si>
  <si>
    <t>STV 575</t>
  </si>
  <si>
    <t>katalog,slip karet,handtag, logam emas,laken S</t>
  </si>
  <si>
    <t>SNA 466</t>
  </si>
  <si>
    <t xml:space="preserve">Asep - SNA </t>
  </si>
  <si>
    <t>katalog, laken L, hangtag kulit, slip karet</t>
  </si>
  <si>
    <t>SAL 604</t>
  </si>
  <si>
    <t xml:space="preserve">Ali Alatas - SAL </t>
  </si>
  <si>
    <t>katalog, laken M, hangtag kulit, slip karet</t>
  </si>
  <si>
    <t>SHM 681</t>
  </si>
  <si>
    <t>RAHMAT H - LJC</t>
  </si>
  <si>
    <t>katalog,slip karet,handtag, logam emas,laken M</t>
  </si>
  <si>
    <t>SFA 635</t>
  </si>
  <si>
    <t xml:space="preserve">SITI FATIMAH - NEW </t>
  </si>
  <si>
    <t>SCP 231</t>
  </si>
  <si>
    <t xml:space="preserve">Miki - SCP / SAB </t>
  </si>
  <si>
    <t>katalog, hangtag, slip, laken m</t>
  </si>
  <si>
    <t>SHM 528</t>
  </si>
  <si>
    <t>katalog,slip ,handtag,laken L</t>
  </si>
  <si>
    <t>SSO 913</t>
  </si>
  <si>
    <t>Rahmat Sonjaya - NEW</t>
  </si>
  <si>
    <t xml:space="preserve">katalog,slip,handtag,logam emas, laken </t>
  </si>
  <si>
    <t>SFS 590</t>
  </si>
  <si>
    <t>SRH 429</t>
  </si>
  <si>
    <t xml:space="preserve">Rahmat Hidayat - SRH/LSC </t>
  </si>
  <si>
    <t>Katalog - Laken (L) - Hangtag Kulit - Slip Karet - Logam Cor Emas</t>
  </si>
  <si>
    <t>SSO 949</t>
  </si>
  <si>
    <t>katalog,slip,handtag, laken L</t>
  </si>
  <si>
    <t>SRI 546</t>
  </si>
  <si>
    <t>SII 930</t>
  </si>
  <si>
    <t>IIS AISYAH - SII/LEO</t>
  </si>
  <si>
    <t>katalog,slip,handtag,laken L, logam mikel</t>
  </si>
  <si>
    <t>SSO 207</t>
  </si>
  <si>
    <t>SSO 403</t>
  </si>
  <si>
    <t>katalog,slip,handtag,logam mikel, laken L</t>
  </si>
  <si>
    <t>SFR 348</t>
  </si>
  <si>
    <t>katalog,slip karet,handtag kulit,cat emas,laken L</t>
  </si>
  <si>
    <t>SFR 195</t>
  </si>
  <si>
    <t>SAP 737</t>
  </si>
  <si>
    <t>SRI 601</t>
  </si>
  <si>
    <t>INF - Ce - Tas Punggung  #P2OK</t>
  </si>
  <si>
    <t>katalog,slip kain,handtag,logam besar,laken L</t>
  </si>
  <si>
    <t>SRB 177</t>
  </si>
  <si>
    <t>Dani - SRB</t>
  </si>
  <si>
    <t>buffer - selisih 600 dari harga dari fitri (67.600)</t>
  </si>
  <si>
    <t>Katalog - Laken (XL) - Hangtag Kulit - Slip Karet - Logam Cor Nikel</t>
  </si>
  <si>
    <t>STU 230</t>
  </si>
  <si>
    <t>katalog,slip ,handtag,laken XL</t>
  </si>
  <si>
    <t>SII 424</t>
  </si>
  <si>
    <t>katalog,slip,handtag,laken L, logam emas</t>
  </si>
  <si>
    <t>SRI 648</t>
  </si>
  <si>
    <t>SFA 898</t>
  </si>
  <si>
    <t>SLO 798</t>
  </si>
  <si>
    <t>Elmo - LLO</t>
  </si>
  <si>
    <t>katalog, slip, hangtag, logam emas, laken XL</t>
  </si>
  <si>
    <t>STU 685</t>
  </si>
  <si>
    <t>SFR 620</t>
  </si>
  <si>
    <t>katalog,slip karet,handtag,laken, logam emas</t>
  </si>
  <si>
    <t>SOR 979</t>
  </si>
  <si>
    <t>SFR 840</t>
  </si>
  <si>
    <t>katalog,slip karet,handtag kulit,laken XL, Cat emas</t>
  </si>
  <si>
    <t>SFS 184</t>
  </si>
  <si>
    <t>katalog,slip karet,handtag,laken XL,logam emas</t>
  </si>
  <si>
    <t>SFR 203</t>
  </si>
  <si>
    <t>katalog,slip karet,handtag,laken XL, logam mikel</t>
  </si>
  <si>
    <t>SFR 740</t>
  </si>
  <si>
    <t>SMH 558</t>
  </si>
  <si>
    <t>MUHSIN</t>
  </si>
  <si>
    <t>Katalog - Laken (XL) - Hangtag Kulit - Slip Kain - Label ID - Emblem Tas #2</t>
  </si>
  <si>
    <t>SFM 419</t>
  </si>
  <si>
    <t>SRI 163</t>
  </si>
  <si>
    <t>SRI 565</t>
  </si>
  <si>
    <t>katalog,slip kain,handtag,logam besar,laken XL</t>
  </si>
  <si>
    <t>SSD 897</t>
  </si>
  <si>
    <t>katalog, hangtag kulit, slip karet, logam cor nikel, laken L</t>
  </si>
  <si>
    <t>SFR 480</t>
  </si>
  <si>
    <t>SBD 695</t>
  </si>
  <si>
    <t>SBL 016</t>
  </si>
  <si>
    <t>katalog,slip kain,handtag,laken XL</t>
  </si>
  <si>
    <t>SFR 288</t>
  </si>
  <si>
    <t>STG 990</t>
  </si>
  <si>
    <t>DEDE TATANG - NEW</t>
  </si>
  <si>
    <t>katalog ,slip,handtag,kulit woven,laken XL</t>
  </si>
  <si>
    <t>SAM 392</t>
  </si>
  <si>
    <t>INF - Ce - Tas Punggung - Canvas #P2OK</t>
  </si>
  <si>
    <t>Ali Muhammad - SAM/SLI</t>
  </si>
  <si>
    <t>katalog, slip kain, label id, emblem, hangtag kulit, laken xl</t>
  </si>
  <si>
    <t>SHM 295</t>
  </si>
  <si>
    <t>katalog,slip ,handtag, logam emas,laken XL</t>
  </si>
  <si>
    <t>SMH 553</t>
  </si>
  <si>
    <t>Katalog - Laken (XL) - Hangtag Kulit - Slip Kain - Label ID - Emblem Tas #1</t>
  </si>
  <si>
    <t>SII 578</t>
  </si>
  <si>
    <t>INF - Ce - Dompet #P2OK</t>
  </si>
  <si>
    <t>SII 468</t>
  </si>
  <si>
    <t>katalog,slip karet,handtag,laken S</t>
  </si>
  <si>
    <t>SPT 397</t>
  </si>
  <si>
    <t>Budi - SPT</t>
  </si>
  <si>
    <t>katalog, slip, hangtag, logam emas, laken S</t>
  </si>
  <si>
    <t>STV 773</t>
  </si>
  <si>
    <t>SMB 187</t>
  </si>
  <si>
    <t>Wawan-SMB</t>
  </si>
  <si>
    <t>STV 460</t>
  </si>
  <si>
    <t>STV 914</t>
  </si>
  <si>
    <t>SDY 797</t>
  </si>
  <si>
    <t>DAYI - LDY/SDY</t>
  </si>
  <si>
    <t>katalog, laken s, hangtag, slip, logam nikel</t>
  </si>
  <si>
    <t>SAP 941</t>
  </si>
  <si>
    <t>HANIF - SAP</t>
  </si>
  <si>
    <t>Katalog - Laken (S) - Hangtag Kulit - Slip Karet - Logam Cor Nikel</t>
  </si>
  <si>
    <t>SPT 580</t>
  </si>
  <si>
    <t>SMB 763</t>
  </si>
  <si>
    <t>SPT 805</t>
  </si>
  <si>
    <t>SPT 123</t>
  </si>
  <si>
    <t>SMU 943</t>
  </si>
  <si>
    <t>SFL 647</t>
  </si>
  <si>
    <t>Indra - SFL</t>
  </si>
  <si>
    <t>STV 755</t>
  </si>
  <si>
    <t>SPT 360</t>
  </si>
  <si>
    <t>katalog, slip, hangtag, laken S</t>
  </si>
  <si>
    <t>SPT 242</t>
  </si>
  <si>
    <t>SPT 993</t>
  </si>
  <si>
    <t>SPT 764</t>
  </si>
  <si>
    <t>SMU 418</t>
  </si>
  <si>
    <t>STV 406</t>
  </si>
  <si>
    <t>SPT 699</t>
  </si>
  <si>
    <t>SPT 770</t>
  </si>
  <si>
    <t>SGU 861</t>
  </si>
  <si>
    <t>INF - Co - Pakaian - T-shirt #P2OK</t>
  </si>
  <si>
    <t>SGN 115</t>
  </si>
  <si>
    <t>GAGAN NEW</t>
  </si>
  <si>
    <t>Katalog - Plastik (M) - Hangtag Kertas - Slip Kain - Label Kain</t>
  </si>
  <si>
    <t>SFC 556</t>
  </si>
  <si>
    <t>INF - Co - Pakaian - Lacoste #P2OK</t>
  </si>
  <si>
    <t>Inficlo</t>
  </si>
  <si>
    <t>buffer - SFC</t>
  </si>
  <si>
    <t>katalog, slip, label, hangtag, label lacoste, plastik</t>
  </si>
  <si>
    <t>SFC 337</t>
  </si>
  <si>
    <t>SFC 218</t>
  </si>
  <si>
    <t>SFC 278</t>
  </si>
  <si>
    <t>SFC 901</t>
  </si>
  <si>
    <t>SKY 733</t>
  </si>
  <si>
    <t>Rizal - SKY</t>
  </si>
  <si>
    <t>SCR 821</t>
  </si>
  <si>
    <t>INF - Co - Pakaian - Kurta #P2OK</t>
  </si>
  <si>
    <t>SMD 447</t>
  </si>
  <si>
    <t>katalog,slip ,label,handtag,label lacoste,plastik452</t>
  </si>
  <si>
    <t>SND 886</t>
  </si>
  <si>
    <t>Indra - SND</t>
  </si>
  <si>
    <t>Katalog - Plastik (M) - Hangtag Kertas - Slip Kain - Label Kain - Emblem Baju#2</t>
  </si>
  <si>
    <t>SMD 757</t>
  </si>
  <si>
    <t>katalog,slip ,label,handtag,label lacoste,plastik451</t>
  </si>
  <si>
    <t>SCL 991</t>
  </si>
  <si>
    <t>NIA SETIAWATI NEW</t>
  </si>
  <si>
    <t>SCR 150</t>
  </si>
  <si>
    <t>SFC 684</t>
  </si>
  <si>
    <t>SCR 266</t>
  </si>
  <si>
    <t>STR 779</t>
  </si>
  <si>
    <t>INF - Co - Pakaian - Kemeja - Jeans</t>
  </si>
  <si>
    <t>SNO 633</t>
  </si>
  <si>
    <t>INF - Co - Pakaian - Kemeja #P2OK</t>
  </si>
  <si>
    <t>katalog,slip ,label,handtag,label lacoste,plastik750</t>
  </si>
  <si>
    <t>SCR 298</t>
  </si>
  <si>
    <t>SDR 299</t>
  </si>
  <si>
    <t>SDR 211</t>
  </si>
  <si>
    <t>SDR 900</t>
  </si>
  <si>
    <t>SDR 653</t>
  </si>
  <si>
    <t>SPX 503</t>
  </si>
  <si>
    <t>SHN 202</t>
  </si>
  <si>
    <t>HASANNUDDIN</t>
  </si>
  <si>
    <t>katalog, slip, label, hangtag, plastik, lacoste</t>
  </si>
  <si>
    <t>SNO 765</t>
  </si>
  <si>
    <t>katalog,slip ,label,handtag,label lacoste,plastik753</t>
  </si>
  <si>
    <t>SFC 717</t>
  </si>
  <si>
    <t>SFC 557</t>
  </si>
  <si>
    <t>SAT 568</t>
  </si>
  <si>
    <t>SCR 377</t>
  </si>
  <si>
    <t>SMD 222</t>
  </si>
  <si>
    <t>katalog,slip ,label,handtag,plastik25</t>
  </si>
  <si>
    <t>SAY 732</t>
  </si>
  <si>
    <t>Riki SAY</t>
  </si>
  <si>
    <t>STR 391</t>
  </si>
  <si>
    <t>SPI 776</t>
  </si>
  <si>
    <t>SGU 626</t>
  </si>
  <si>
    <t>SMD 822</t>
  </si>
  <si>
    <t>SMD 726</t>
  </si>
  <si>
    <t>INF - Co - Jaket - Rajut #P2NOT</t>
  </si>
  <si>
    <t>SMD 927</t>
  </si>
  <si>
    <t>katalog,slip ,label,handtag,label lacoste,laken L</t>
  </si>
  <si>
    <t>SMD 658</t>
  </si>
  <si>
    <t>katalog,slip ,label,handtag,emblem,plastik</t>
  </si>
  <si>
    <t>SMI 588</t>
  </si>
  <si>
    <t>INF - Co - Jaket - Canvas #P2NOT1/2</t>
  </si>
  <si>
    <t>Jamal - SMI</t>
  </si>
  <si>
    <t>katalog,slip ,label,handtag,kulit jeans,laken L</t>
  </si>
  <si>
    <t>SMD 364</t>
  </si>
  <si>
    <t>katalog,slip,label,handtag,laken L</t>
  </si>
  <si>
    <t>SMD 722</t>
  </si>
  <si>
    <t>katalog,slip,label,handtag,lakon jaket,laken L</t>
  </si>
  <si>
    <t>SGU 782</t>
  </si>
  <si>
    <t>INF - Co - Jaket - Fleece #P2OK</t>
  </si>
  <si>
    <t>katalog, slip, label, hangtag, laken L</t>
  </si>
  <si>
    <t>SGU 623</t>
  </si>
  <si>
    <t>SBY 374</t>
  </si>
  <si>
    <t>ACHMAD ROBBY</t>
  </si>
  <si>
    <t>SDN 838</t>
  </si>
  <si>
    <t>Dian - SDN</t>
  </si>
  <si>
    <t>katalog,slip ,Label,handtag,laken L, kulit jeans</t>
  </si>
  <si>
    <t>SMD 375</t>
  </si>
  <si>
    <t>katalog,slip,label,handtag,label lacoste,laken L</t>
  </si>
  <si>
    <t>STJ 379</t>
  </si>
  <si>
    <t>Suteja - STJ</t>
  </si>
  <si>
    <t>katalog,slip,label,hangtag,kulit jeans,laken L</t>
  </si>
  <si>
    <t>SIP 809</t>
  </si>
  <si>
    <t>katalog,slip,label,hangtag,emblem 1 , laken L, embelem 2</t>
  </si>
  <si>
    <t>SGU 283</t>
  </si>
  <si>
    <t>SMD 431</t>
  </si>
  <si>
    <t>SYA 879</t>
  </si>
  <si>
    <t>INF - Co - Jaket - Diadora #P2NOT</t>
  </si>
  <si>
    <t>YAYI - NEW</t>
  </si>
  <si>
    <t>katalog, slip, label pundak, hangtag, label lacoste, laken L</t>
  </si>
  <si>
    <t>SDD 824</t>
  </si>
  <si>
    <t>Dedi - SDD</t>
  </si>
  <si>
    <t>Katalog - Laken (L) - Hangtag Kulit - Slip Kain - Label Kain</t>
  </si>
  <si>
    <t>SCR 674</t>
  </si>
  <si>
    <t>katalog, slip, label, hangtag, label depan, laken</t>
  </si>
  <si>
    <t>SIP 892</t>
  </si>
  <si>
    <t>katalog,slip,label,hangtag,label kain htm,laken L</t>
  </si>
  <si>
    <t>SNR 538</t>
  </si>
  <si>
    <t>Risnandar</t>
  </si>
  <si>
    <t>katalog, hangtag, slip, label, label lacoste, laken L</t>
  </si>
  <si>
    <t>SIP 947</t>
  </si>
  <si>
    <t>SIP 478</t>
  </si>
  <si>
    <t>SMI 405</t>
  </si>
  <si>
    <t>SGU 420</t>
  </si>
  <si>
    <t>katalog, slip, label, hangtag, laken jaket, laken L</t>
  </si>
  <si>
    <t>SMD 711</t>
  </si>
  <si>
    <t>SDI 502</t>
  </si>
  <si>
    <t>DENI JAKET - NEW</t>
  </si>
  <si>
    <t>katalog,slip,handtag,label,label lacoste,laken L,</t>
  </si>
  <si>
    <t>SFN 694</t>
  </si>
  <si>
    <t>IRFAN NUR ALI - NEW</t>
  </si>
  <si>
    <t>katalog, slip, label, hangtag, kulit jeans, laken L</t>
  </si>
  <si>
    <t>SMI 835</t>
  </si>
  <si>
    <t>SGU 884</t>
  </si>
  <si>
    <t>SMI 579</t>
  </si>
  <si>
    <t>SDN 758</t>
  </si>
  <si>
    <t>SMI 704</t>
  </si>
  <si>
    <t>SMD 386</t>
  </si>
  <si>
    <t>SKK 937</t>
  </si>
  <si>
    <t>Katalog - Laken (L) - Hangtag Kulit - Slip Kain - Label Kain - Emblem Baju #1</t>
  </si>
  <si>
    <t>SPI 255</t>
  </si>
  <si>
    <t>SWP 780</t>
  </si>
  <si>
    <t>WIWIN - SWP</t>
  </si>
  <si>
    <t>Katalog - Laken (L) - Hangtag Kulit - Slip Kain - Label Kain - Emblem Baju #2</t>
  </si>
  <si>
    <t>SPI 370</t>
  </si>
  <si>
    <t>SGO 754</t>
  </si>
  <si>
    <t>AHMAD GODZALI - NEW</t>
  </si>
  <si>
    <t>SPI 518</t>
  </si>
  <si>
    <t>SPI 436</t>
  </si>
  <si>
    <t>SSP 399</t>
  </si>
  <si>
    <t>SIP 933</t>
  </si>
  <si>
    <t>SDN 570</t>
  </si>
  <si>
    <t>INF - Co - Jaket - Ferrary #P2OK</t>
  </si>
  <si>
    <t>katalog,slip ,Label,handtag,laken L</t>
  </si>
  <si>
    <t>SZK 504</t>
  </si>
  <si>
    <t>INF - Co - Jaket - Viena #P2OK</t>
  </si>
  <si>
    <t>katalog,slip,handtag,label,laken XL</t>
  </si>
  <si>
    <t>SZK 205</t>
  </si>
  <si>
    <t>SPI 246</t>
  </si>
  <si>
    <t>INF - CO - Celana - Jeans #P2OK</t>
  </si>
  <si>
    <t>SDI 227</t>
  </si>
  <si>
    <t>SZK 679</t>
  </si>
  <si>
    <t>SGD 944</t>
  </si>
  <si>
    <t>ENDANG T - NEW</t>
  </si>
  <si>
    <t>katalog, slip, label, hangtag, label lacoste, laken l</t>
  </si>
  <si>
    <t>SBM 946</t>
  </si>
  <si>
    <t>ASEP IBRAHIM NEW</t>
  </si>
  <si>
    <t>katalog, laken L, hangtag kulit, slip kain, label kain, emblem baju #1</t>
  </si>
  <si>
    <t>SMI 401</t>
  </si>
  <si>
    <t>INF - Co - Jaket - Jaket Touring #P2OK</t>
  </si>
  <si>
    <t>katalog ,slip,label,handtag,laken XL</t>
  </si>
  <si>
    <t>SPP 372</t>
  </si>
  <si>
    <t>INF - Co - Aksesoris - Sarung Tangan #P2OK</t>
  </si>
  <si>
    <t>Pepi - SPP</t>
  </si>
  <si>
    <t>katalog, hangtag, slip, laken s</t>
  </si>
  <si>
    <t>SPP 596</t>
  </si>
  <si>
    <t>SPP 219</t>
  </si>
  <si>
    <t>SPP 867</t>
  </si>
  <si>
    <t>INF - Co - Aksesoris - Ikat Pinggang</t>
  </si>
  <si>
    <t>katalog, hangtag, laken s</t>
  </si>
  <si>
    <t>SPP 925</t>
  </si>
  <si>
    <t>SPP 639</t>
  </si>
  <si>
    <t>SWY 883</t>
  </si>
  <si>
    <t>INF - CO - Celana - Twill #P2OK</t>
  </si>
  <si>
    <t>Widyawati - SWY</t>
  </si>
  <si>
    <t>katalog, slip, kulit jeans cp, hangtag, laken L</t>
  </si>
  <si>
    <t>SHE 860</t>
  </si>
  <si>
    <t>suhendar - new</t>
  </si>
  <si>
    <t>SRA 232</t>
  </si>
  <si>
    <t>NANDAR - NEW</t>
  </si>
  <si>
    <t>SSP 878</t>
  </si>
  <si>
    <t>katalog,slip,handtag,kulit jeans,laken L</t>
  </si>
  <si>
    <t>SWY 848</t>
  </si>
  <si>
    <t>SLX 853</t>
  </si>
  <si>
    <t>SHE 198</t>
  </si>
  <si>
    <t>INF - CO - Celana - Twill - Pendek</t>
  </si>
  <si>
    <t>SLX 249</t>
  </si>
  <si>
    <t>SSP 547</t>
  </si>
  <si>
    <t>STT 224</t>
  </si>
  <si>
    <t>pressure denim?</t>
  </si>
  <si>
    <t>katalog,slip ,handtag,kulit jeans,laken L</t>
  </si>
  <si>
    <t>SWY 972</t>
  </si>
  <si>
    <t>SLX 967</t>
  </si>
  <si>
    <t>SBR 443</t>
  </si>
  <si>
    <t>INF - Co - Tas - Punggung #P2NOT1/2</t>
  </si>
  <si>
    <t>Marabayo - SBR</t>
  </si>
  <si>
    <t>katalog, slip kain, label ID, hangtag, label woven + kulit, laken XL</t>
  </si>
  <si>
    <t>SBR 561</t>
  </si>
  <si>
    <t>karet?</t>
  </si>
  <si>
    <t>katalog, slip kain, label ID, hangtag kulit, laken XL</t>
  </si>
  <si>
    <t>SBR 957</t>
  </si>
  <si>
    <t>SMM 912</t>
  </si>
  <si>
    <t>Maman Bejo - SMM</t>
  </si>
  <si>
    <t>katalog, hangtag, slip kain, label id, logam nikel, laken XL, slip karet laptop</t>
  </si>
  <si>
    <t>SLI 543</t>
  </si>
  <si>
    <t>katalog,slip kain,label ID,handtag,laken XL,kulit+woven</t>
  </si>
  <si>
    <t>SVA 844</t>
  </si>
  <si>
    <t>NOVAN - NEW</t>
  </si>
  <si>
    <t>katalog, slip, label ID, hangtag, woven + kulit, laken XL</t>
  </si>
  <si>
    <t>SLI 583</t>
  </si>
  <si>
    <t>SLI 430</t>
  </si>
  <si>
    <t>SLI 800</t>
  </si>
  <si>
    <t>SMM 470</t>
  </si>
  <si>
    <t>katalog, hangtag, slip, label ID, kulit + woven, laken XL, slip karet laptop</t>
  </si>
  <si>
    <t>SLI 890</t>
  </si>
  <si>
    <t>SMM 193</t>
  </si>
  <si>
    <t>katalog, hangtag, slip, label ID, label kain, laken XL, slip karet tas laptop</t>
  </si>
  <si>
    <t>SMM 767</t>
  </si>
  <si>
    <t>SLI 331</t>
  </si>
  <si>
    <t>SMM 880</t>
  </si>
  <si>
    <t>SMM 344</t>
  </si>
  <si>
    <t>katalog, hangtag, slip, label ID, kulit II, gantungan resleting, laken XL, slip karet laptop</t>
  </si>
  <si>
    <t>SMM 481</t>
  </si>
  <si>
    <t>katalog, hangtag, slip, label ID, label kain, kulit lubang, laken XL, slip karet laptop</t>
  </si>
  <si>
    <t>SMM 345</t>
  </si>
  <si>
    <t>SMM 826</t>
  </si>
  <si>
    <t>katalog, hangtag, slip, label ID, kulit logo, gantungan resleting, laken xl, label kain, slip karet laptop</t>
  </si>
  <si>
    <t>SMM 550</t>
  </si>
  <si>
    <t>SMM 196</t>
  </si>
  <si>
    <t>SRU 289</t>
  </si>
  <si>
    <t>Harun - SRU/LWH</t>
  </si>
  <si>
    <t>Katalog - Laken (XL) - Hangtag Kulit - Slip Kain - Label ID</t>
  </si>
  <si>
    <t>SMM 676</t>
  </si>
  <si>
    <t>katalog, hangtag, slip, label ID, gantungan resleting, laken xl, slip karet laptop</t>
  </si>
  <si>
    <t>SLI 803</t>
  </si>
  <si>
    <t>SMM 571</t>
  </si>
  <si>
    <t>SMM 908</t>
  </si>
  <si>
    <t>SIN 412</t>
  </si>
  <si>
    <t>katalog, hangtag, slip, label ID, laken XL, slip karet laptop</t>
  </si>
  <si>
    <t>SMM 385</t>
  </si>
  <si>
    <t>katalog, hangtag, slip, label id, kulit inficlo, laken XL, slip karet laptop</t>
  </si>
  <si>
    <t>SMH 527</t>
  </si>
  <si>
    <t>buffer - selisi 5.300 dengan harga dari fitri</t>
  </si>
  <si>
    <t>Katalog - Laken (XL) - Hangtag Kulit - Slip Kain - Label ID - Label Kain Tas New</t>
  </si>
  <si>
    <t>SVN 641</t>
  </si>
  <si>
    <t>Ervin - SVN</t>
  </si>
  <si>
    <t>benar?</t>
  </si>
  <si>
    <t>katalog,slip,label ID,handtag,laken XL,Label+woven, Slip karet tali laptop</t>
  </si>
  <si>
    <t>SMM 980</t>
  </si>
  <si>
    <t>SVN 680</t>
  </si>
  <si>
    <t>SRU 703</t>
  </si>
  <si>
    <t>Katalog - Laken (XL) - Hangtag Kulit - Slip Kain - Label ID - Kulit Tas#1</t>
  </si>
  <si>
    <t>SCP 171</t>
  </si>
  <si>
    <t>Miki - SCP / SAB</t>
  </si>
  <si>
    <t>katalog, hangtag, slip, label id, kulit, laken xl</t>
  </si>
  <si>
    <t>SMM 744</t>
  </si>
  <si>
    <t>SRE 677</t>
  </si>
  <si>
    <t>HENDRA - NEW 1</t>
  </si>
  <si>
    <t>katalog, slip, hangtag, woven + kulit, label id, laken XL</t>
  </si>
  <si>
    <t>SLI 774</t>
  </si>
  <si>
    <t>SMM 971</t>
  </si>
  <si>
    <t>SLI 940</t>
  </si>
  <si>
    <t>SMM 607</t>
  </si>
  <si>
    <t>SLI 479</t>
  </si>
  <si>
    <t>SLI 618</t>
  </si>
  <si>
    <t>SBR 256</t>
  </si>
  <si>
    <t>SMM 483</t>
  </si>
  <si>
    <t>SVN 179</t>
  </si>
  <si>
    <t>SMM 526</t>
  </si>
  <si>
    <t>SMM 616</t>
  </si>
  <si>
    <t>SMM 409</t>
  </si>
  <si>
    <t>katalog, slip, label id, hangtag, laken xl</t>
  </si>
  <si>
    <t>SJO 996</t>
  </si>
  <si>
    <t>INF - Co - Tas - Travel - Trekking #P2OK</t>
  </si>
  <si>
    <t>ADE OJAN - NEW</t>
  </si>
  <si>
    <t>katalog,slip ,handtag,label ID,label+woven,lubang 2</t>
  </si>
  <si>
    <t>SJO 916</t>
  </si>
  <si>
    <t>katalog,slip ,handtag,label ID,label+woven</t>
  </si>
  <si>
    <t>SVN 014</t>
  </si>
  <si>
    <t>katalog,slip,handtag,label ID</t>
  </si>
  <si>
    <t>SMM 851</t>
  </si>
  <si>
    <t>INF - Co - Tas - Travel - #P2OK</t>
  </si>
  <si>
    <t>katalog, hangtag, slip, label id, kulit inficlo, laken XL</t>
  </si>
  <si>
    <t>STG 208</t>
  </si>
  <si>
    <t>katalog,slip ,label ID,handtag,laken XL</t>
  </si>
  <si>
    <t>SLI 977</t>
  </si>
  <si>
    <t>INF - Co - Tas - Samping #P2OK</t>
  </si>
  <si>
    <t>katalog,slip,handtag,label ID, Kulit jeans, laken M</t>
  </si>
  <si>
    <t>STS 751</t>
  </si>
  <si>
    <t>AHMAD TAS - NEW</t>
  </si>
  <si>
    <t>SMM 828</t>
  </si>
  <si>
    <t>katalog, slip, label ID, hangtag, laken L</t>
  </si>
  <si>
    <t>SMM 845</t>
  </si>
  <si>
    <t>katalog, hangtag, slip, logam bakar, label ID, ganguntan resleting, laken L</t>
  </si>
  <si>
    <t>SRE 301</t>
  </si>
  <si>
    <t>katalog, slip, hangtag, logam nikel, laken L</t>
  </si>
  <si>
    <t>SMM 981</t>
  </si>
  <si>
    <t>katalog, hangtag, slip, label id, label kain, laken L</t>
  </si>
  <si>
    <t>SVA 631</t>
  </si>
  <si>
    <t>katalog, slip, hangtag, logam bakar, laken L</t>
  </si>
  <si>
    <t>SMM 214</t>
  </si>
  <si>
    <t>katalog, hangtag, slip, label ID, kulit jeans ce, laken M</t>
  </si>
  <si>
    <t>SRU 520</t>
  </si>
  <si>
    <t>Katalog - Laken (L) - Hangtag Kulit - Slip Kain - Label ID - Label Kain Tas New</t>
  </si>
  <si>
    <t>SPR 841</t>
  </si>
  <si>
    <t>INF - Co - Aksesoris - Dompet #P2OK</t>
  </si>
  <si>
    <t>PRANANTA M - NEW</t>
  </si>
  <si>
    <t>katalog, slip, hangtag, dus</t>
  </si>
  <si>
    <t>SFL 273</t>
  </si>
  <si>
    <t>SLN 192</t>
  </si>
  <si>
    <t>Asep Supriatna - SLN/LST</t>
  </si>
  <si>
    <t>katalog,slip kain,handtag,dus</t>
  </si>
  <si>
    <t>SLN 730</t>
  </si>
  <si>
    <t>SLN 665</t>
  </si>
  <si>
    <t>SHO 411</t>
  </si>
  <si>
    <t>Acep Rohimat - LCP</t>
  </si>
  <si>
    <t>katalog, slip, hangtag, dus dompet</t>
  </si>
  <si>
    <t>SLN 710</t>
  </si>
  <si>
    <t>SLN 454</t>
  </si>
  <si>
    <t>SBE 355</t>
  </si>
  <si>
    <t>MBEF / ACHMAD - NEW</t>
  </si>
  <si>
    <t>katalog, slip,hangtag, dus</t>
  </si>
  <si>
    <t>SAR 324</t>
  </si>
  <si>
    <t>Deden - SAR</t>
  </si>
  <si>
    <t>Katalog - Dus - Hangtag Kulit - Slip Kain</t>
  </si>
  <si>
    <t>SLN 719</t>
  </si>
  <si>
    <t>SDY 369</t>
  </si>
  <si>
    <t>SMB 611</t>
  </si>
  <si>
    <t>katalog,slip karet,handtag,Dus,label kain</t>
  </si>
  <si>
    <t>SLN 857</t>
  </si>
  <si>
    <t>SMB 251</t>
  </si>
  <si>
    <t>SLN 564</t>
  </si>
  <si>
    <t>katalog ,slip,handtag,laken S</t>
  </si>
  <si>
    <t>SPU 200</t>
  </si>
  <si>
    <t>ISEP - SPU/LPU</t>
  </si>
  <si>
    <t>SLN 599</t>
  </si>
  <si>
    <t>SFS 973</t>
  </si>
  <si>
    <t>INF - Anak - Tas #P2OK</t>
  </si>
  <si>
    <t>katalog,slip,label ID,hangtag,laken XL</t>
  </si>
  <si>
    <t>SNW 137</t>
  </si>
  <si>
    <t>Nawi - new</t>
  </si>
  <si>
    <t>katalog, slip, label ID, hangtag, laken XL</t>
  </si>
  <si>
    <t>SCC 498</t>
  </si>
  <si>
    <t>CECEP - NEW</t>
  </si>
  <si>
    <t>katalog,slip ,Label,handtag,laken XL</t>
  </si>
  <si>
    <t>SUM 186</t>
  </si>
  <si>
    <t>INF - Anak - Tas - Tempat Minum #P2OK</t>
  </si>
  <si>
    <t>katalog, slip kain, hangtag, laken XL</t>
  </si>
  <si>
    <t>SCC 540</t>
  </si>
  <si>
    <t>SDC 964</t>
  </si>
  <si>
    <t>DANCE K - SDC</t>
  </si>
  <si>
    <t>SFS 493</t>
  </si>
  <si>
    <t>katalog,slip,label ID,handtag,laken XL</t>
  </si>
  <si>
    <t>SGT 985</t>
  </si>
  <si>
    <t>RIDWAN - SGT</t>
  </si>
  <si>
    <t>SGT 935</t>
  </si>
  <si>
    <t>SGT 472</t>
  </si>
  <si>
    <t>STG 487</t>
  </si>
  <si>
    <t>INF - Anak - Koper #P2NOT</t>
  </si>
  <si>
    <t>katalog,slip ,label ID,handtag</t>
  </si>
  <si>
    <t>SOK 308</t>
  </si>
  <si>
    <t>Kokom Anisa - SOK</t>
  </si>
  <si>
    <t>SCP 727</t>
  </si>
  <si>
    <t>INF - Anak - Tas - Mobil #P2OK</t>
  </si>
  <si>
    <t>katalog, hangtag, slip, label id, laken xl</t>
  </si>
  <si>
    <t>SRU 682</t>
  </si>
  <si>
    <t>SGT 783</t>
  </si>
  <si>
    <t>SOK 363</t>
  </si>
  <si>
    <t>SOK 458</t>
  </si>
  <si>
    <t>SOK 804</t>
  </si>
  <si>
    <t>SGT 687</t>
  </si>
  <si>
    <t>SOK 777</t>
  </si>
  <si>
    <t>SGT 743</t>
  </si>
  <si>
    <t>STK 771</t>
  </si>
  <si>
    <t>TAUFIK YUSUF - NEW</t>
  </si>
  <si>
    <t>SSI 277</t>
  </si>
  <si>
    <t>ARIS - NEW</t>
  </si>
  <si>
    <t>katalog, slip, hangtag, label ID, laken XL</t>
  </si>
  <si>
    <t>SOK 786</t>
  </si>
  <si>
    <t>SHI 808</t>
  </si>
  <si>
    <t>INF - Anak Co - Jaket - Jeans #PZ1</t>
  </si>
  <si>
    <t>SZK 976</t>
  </si>
  <si>
    <t>INF - Anak Co - Jaket - Vienna #P2NOT1/2</t>
  </si>
  <si>
    <t>SHI 422</t>
  </si>
  <si>
    <t>SSN 117</t>
  </si>
  <si>
    <t>INF - Anak Co - Jaket - Parasit #P2NOT1/2</t>
  </si>
  <si>
    <t>katalog ,slip,label,handtag,laken L</t>
  </si>
  <si>
    <t>SRO 606</t>
  </si>
  <si>
    <t>SGD 513</t>
  </si>
  <si>
    <t>SGD 584</t>
  </si>
  <si>
    <t>INF - Anak Co - Jaket - Canvas #P2OK</t>
  </si>
  <si>
    <t>SRO 589</t>
  </si>
  <si>
    <t>2 harga</t>
  </si>
  <si>
    <t>SRO 992</t>
  </si>
  <si>
    <t>SZK 229</t>
  </si>
  <si>
    <t>SYA 966</t>
  </si>
  <si>
    <t>INF - Anak Co - Jaket - Diadora #P2OK</t>
  </si>
  <si>
    <t>SRT 197</t>
  </si>
  <si>
    <t>INF - Anak Co - Sweter - Rajut</t>
  </si>
  <si>
    <t>kaalog, slip, label, hangtag, plastik</t>
  </si>
  <si>
    <t>SWP 353</t>
  </si>
  <si>
    <t>INF - Anak Ce - Jaket - Canvas #P2NOT1/2</t>
  </si>
  <si>
    <t>Katalog - Plastik (M) - Hangtag Kulit - Slip Kain - Label Kain - Emblem Baju#2</t>
  </si>
  <si>
    <t>STJ 974</t>
  </si>
  <si>
    <t>Katalog,slip kemeja,label,handtag,plastik</t>
  </si>
  <si>
    <t>SRO 469</t>
  </si>
  <si>
    <t>SRT 715</t>
  </si>
  <si>
    <t>INF - Anak Ce - Dress - Jeans</t>
  </si>
  <si>
    <t>SKY 181</t>
  </si>
  <si>
    <t>Inf - Anak Ce - Dress - Cotton Combad</t>
  </si>
  <si>
    <t>SHI 911</t>
  </si>
  <si>
    <t>INF - Anak Ce - Jaket - Jeans</t>
  </si>
  <si>
    <t>STJ 253</t>
  </si>
  <si>
    <t>INF - Anak Ce - Jaket - Fleece #P2OK</t>
  </si>
  <si>
    <t>SMD 346</t>
  </si>
  <si>
    <t>INF - Anak Ce - Jaket - Taslan</t>
  </si>
  <si>
    <t>katalog,slip ,label,handtag,label lacoste,plastik453</t>
  </si>
  <si>
    <t>STJ 189</t>
  </si>
  <si>
    <t>SDK 340</t>
  </si>
  <si>
    <t>katalog, salip, label, hangtag, emblem, plastik</t>
  </si>
  <si>
    <t>SSN 423</t>
  </si>
  <si>
    <t>katalog, slip, label, hangtag, emblem, plastik</t>
  </si>
  <si>
    <t>SRO 688</t>
  </si>
  <si>
    <t>SPV 119</t>
  </si>
  <si>
    <t>Perlengkapan Bayi #P2OK</t>
  </si>
  <si>
    <t>Admaryus - SPV</t>
  </si>
  <si>
    <t>SPV 311</t>
  </si>
  <si>
    <t>SPV 215</t>
  </si>
  <si>
    <t>SPV 243</t>
  </si>
  <si>
    <t>SPV 262</t>
  </si>
  <si>
    <t>SPV 491</t>
  </si>
  <si>
    <t>#P2OK</t>
  </si>
  <si>
    <t>#P2NOT</t>
  </si>
  <si>
    <t>#P2NOT1/2</t>
  </si>
  <si>
    <t>LTS 821</t>
  </si>
  <si>
    <t>INF - Ce - Tas Wanita #P1OK</t>
  </si>
  <si>
    <t>katalog,slip,hangtag,logam mikel,laken XL</t>
  </si>
  <si>
    <t>LSB 953</t>
  </si>
  <si>
    <t>LAMA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</si>
  <si>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</si>
  <si>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</si>
  <si>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</si>
  <si>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</si>
  <si>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</si>
  <si>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</si>
  <si>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</si>
  <si>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naik 9500rb karna pakai aksesoris ros gold</t>
  </si>
  <si>
    <t>katalog, slip kain, hangtag, logam emas, laken xl</t>
  </si>
  <si>
    <t>LJC 369</t>
  </si>
  <si>
    <t>LEV 169</t>
  </si>
  <si>
    <t>naik 11rb karna pakai aksesoris ros gold</t>
  </si>
  <si>
    <t>katalog, slip kain, hangtag, logam emas, laken L</t>
  </si>
  <si>
    <t>LMI 951</t>
  </si>
  <si>
    <t>LEO 695</t>
  </si>
  <si>
    <t>katalog,slip,hangtag,logam emas,laken L</t>
  </si>
  <si>
    <t>LHI 938</t>
  </si>
  <si>
    <t>BARU</t>
  </si>
  <si>
    <t>LTU 911</t>
  </si>
  <si>
    <t>katalog,slip,hangtag,laken XL</t>
  </si>
  <si>
    <t>LAC 353</t>
  </si>
  <si>
    <t>Danu Wijaya - LAC/SNU</t>
  </si>
  <si>
    <t>LSB 223</t>
  </si>
  <si>
    <t>LMA 486</t>
  </si>
  <si>
    <t>LAC 439</t>
  </si>
  <si>
    <t>LOY 268</t>
  </si>
  <si>
    <t>Doni - LOY</t>
  </si>
  <si>
    <t>LHI 390</t>
  </si>
  <si>
    <t>INF - Ce - Tas Punggung Sintetis #P1OK</t>
  </si>
  <si>
    <t>katalog, slip, hangtag, logam nikel, laken XL</t>
  </si>
  <si>
    <t>LTS 515</t>
  </si>
  <si>
    <t>LHI 886</t>
  </si>
  <si>
    <t>katalog, slip, hangtag, logam emas, laken L</t>
  </si>
  <si>
    <t>LSR 754</t>
  </si>
  <si>
    <t>LOT 698</t>
  </si>
  <si>
    <t>AGUS KEBON LEGA - NEW</t>
  </si>
  <si>
    <t>LTY 812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</si>
  <si>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</si>
  <si>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</si>
  <si>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</si>
  <si>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</si>
  <si>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</si>
  <si>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LKN 463</t>
  </si>
  <si>
    <t>katalog, hangtag kulit, slip kain, emblem baju #2, laken XL</t>
  </si>
  <si>
    <t>LJC 321</t>
  </si>
  <si>
    <t>LSB 111</t>
  </si>
  <si>
    <t>LMI 121</t>
  </si>
  <si>
    <t>katalog, slip, hnagtag, logam emas, laken L</t>
  </si>
  <si>
    <t>LDT 216</t>
  </si>
  <si>
    <t>INF - Ce - Dompet #PZOK</t>
  </si>
  <si>
    <t>DIDIT NEW</t>
  </si>
  <si>
    <t>XXX</t>
  </si>
  <si>
    <t>LBA 930</t>
  </si>
  <si>
    <t>katalog,slip karet,hangtag,laken M</t>
  </si>
  <si>
    <t>LBA 860</t>
  </si>
  <si>
    <t>LGI 659</t>
  </si>
  <si>
    <t>Taryono - SGI</t>
  </si>
  <si>
    <t>Katalog - Laken (M) - Hangtag Kulit - Slip Karet - Logam Cor Nikel</t>
  </si>
  <si>
    <t>LEO 431</t>
  </si>
  <si>
    <t>LPS 928</t>
  </si>
  <si>
    <t>katalog,slip karet,hangtag,logam emas,laken S</t>
  </si>
  <si>
    <t>LMB 101</t>
  </si>
  <si>
    <t>LNF 411</t>
  </si>
  <si>
    <t>Katalog - Laken (S) - Hangtag Kulit - Slip Kain</t>
  </si>
  <si>
    <t>LMB 581</t>
  </si>
  <si>
    <t>LWJ 228</t>
  </si>
  <si>
    <t>katalog, slip, hangtag, laken s</t>
  </si>
  <si>
    <t>LWJ 792</t>
  </si>
  <si>
    <t>LMB 728</t>
  </si>
  <si>
    <t>katalog,slip karet,hangtag,laken S</t>
  </si>
  <si>
    <t>LWJ 786</t>
  </si>
  <si>
    <t>LPS 937</t>
  </si>
  <si>
    <t>LJB 549</t>
  </si>
  <si>
    <t>INF - Co - Tas - Punggung #P1OK</t>
  </si>
  <si>
    <t>LWH 549</t>
  </si>
  <si>
    <t>LJB 919</t>
  </si>
  <si>
    <t>katalog, hangtag, slip kain, label ID, logam nikel, lakken XL, slip karet tali tas laptop</t>
  </si>
  <si>
    <t>LJB 141</t>
  </si>
  <si>
    <t>katalog, hangtag, slip kain, label ID, logam nikel, laken XL, slip karet tali tas laptop</t>
  </si>
  <si>
    <t>LMH 598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</si>
  <si>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</si>
  <si>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</si>
  <si>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</si>
  <si>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</si>
  <si>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</si>
  <si>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</si>
  <si>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katalog, hangtag, slip, label ID, kulit, laken XL, slip karet laptop</t>
  </si>
  <si>
    <t>LTK 669</t>
  </si>
  <si>
    <t>TAUFIK - STK</t>
  </si>
  <si>
    <t>katalog, slip, label ID, hangtag, label woven + kulit, slip karet laptop, laken XL</t>
  </si>
  <si>
    <t>LJB 380</t>
  </si>
  <si>
    <t>katalog, hangtag, slip, label ID, kulit lubang, laken XL, slip karet tali tas laptop</t>
  </si>
  <si>
    <t>LJB 667</t>
  </si>
  <si>
    <t>LVN 765</t>
  </si>
  <si>
    <t>LMH 666</t>
  </si>
  <si>
    <t>LYI 666</t>
  </si>
  <si>
    <t>LJB 386</t>
  </si>
  <si>
    <t>katalog, hangtag, slip, label ID, label kain, kulit lubang, slip karet laptop</t>
  </si>
  <si>
    <t>LNO 388</t>
  </si>
  <si>
    <t>katalog, slip, label ID, hangtag, woven + kulit, lakeb XL</t>
  </si>
  <si>
    <t>LJB 427</t>
  </si>
  <si>
    <t>katalog, slip, label ID, hangtag, label kain, laken XL, slip karet laptop</t>
  </si>
  <si>
    <t>LYI 409</t>
  </si>
  <si>
    <t>yuni tas - new</t>
  </si>
  <si>
    <t>LTK 641</t>
  </si>
  <si>
    <t>LJB 100</t>
  </si>
  <si>
    <t>LTK 539</t>
  </si>
  <si>
    <t>LTK 415</t>
  </si>
  <si>
    <t>LJB 537</t>
  </si>
  <si>
    <t>LJB 535</t>
  </si>
  <si>
    <t>INF - Co - Tas - Samping #P1OK</t>
  </si>
  <si>
    <t>katalog, hangtag, slip, label ID, kulit jeans, laken M</t>
  </si>
  <si>
    <t>LJB 817</t>
  </si>
  <si>
    <t>katalog, hangtag, slip, label ID, kulit jeans, laken L</t>
  </si>
  <si>
    <t>LTT 748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</si>
  <si>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</si>
  <si>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</si>
  <si>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</si>
  <si>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</si>
  <si>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</si>
  <si>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</si>
  <si>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 #P1NOT1/2</t>
  </si>
  <si>
    <t>katalog, hangtag, slip, label ID, kulit + woven, laken XL</t>
  </si>
  <si>
    <t>LJB 053</t>
  </si>
  <si>
    <t>INF - Co - Tas - Ransel #P1NOT1/2</t>
  </si>
  <si>
    <t>katalog, hangtag, slip kain, label ID, laken XL</t>
  </si>
  <si>
    <t>LOZ 308</t>
  </si>
  <si>
    <t>Katalog, Hangtag Kulit, Slip Kain, Label ID</t>
  </si>
  <si>
    <t>LCP 567</t>
  </si>
  <si>
    <t>INF - Co -  Dompet #P1OK</t>
  </si>
  <si>
    <t>LNF 160</t>
  </si>
  <si>
    <t>LPR 552</t>
  </si>
  <si>
    <t>katalog, slip kain, hangtag, dus</t>
  </si>
  <si>
    <t>LPU 456</t>
  </si>
  <si>
    <t>LNF 746</t>
  </si>
  <si>
    <t>LDY 345</t>
  </si>
  <si>
    <t>katalog, laken s hangtag, slip</t>
  </si>
  <si>
    <t>LKP 202</t>
  </si>
  <si>
    <t>LST 750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</si>
  <si>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</si>
  <si>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</si>
  <si>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</si>
  <si>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</si>
  <si>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</si>
  <si>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</si>
  <si>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</si>
  <si>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</si>
  <si>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</si>
  <si>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</si>
  <si>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</si>
  <si>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</si>
  <si>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</si>
  <si>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</si>
  <si>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#P1OK</t>
  </si>
  <si>
    <t>#P1NOT</t>
  </si>
  <si>
    <t>#P1NOT1/2</t>
  </si>
  <si>
    <t>Pembayaran PO masuk</t>
  </si>
  <si>
    <t>Status PO</t>
  </si>
  <si>
    <t>PO sudah diambil</t>
  </si>
  <si>
    <t>PO sudah disetor</t>
  </si>
  <si>
    <t>Tanggal diambil</t>
  </si>
  <si>
    <t>Tanggal setor</t>
  </si>
  <si>
    <t>INF BCL PO PERTAMA</t>
  </si>
  <si>
    <t>LKO 628</t>
  </si>
  <si>
    <t>BCL - Ce - Sandal - Wedges</t>
  </si>
  <si>
    <t>SITI KOMARIAH - NEW</t>
  </si>
  <si>
    <t>LJU 204</t>
  </si>
  <si>
    <t>BCL - Ce - Sandal - Highheels - Tali</t>
  </si>
  <si>
    <t>DADANG JUANEDI - NEW</t>
  </si>
  <si>
    <t>LKO 376</t>
  </si>
  <si>
    <t>LAX 739</t>
  </si>
  <si>
    <t>BCL - Ce - Sandal - Highheels</t>
  </si>
  <si>
    <t>Asep Hasan - LAX</t>
  </si>
  <si>
    <t>LDG 130</t>
  </si>
  <si>
    <t>Sopi - LDG</t>
  </si>
  <si>
    <t>LAX 433</t>
  </si>
  <si>
    <t>LLM 565</t>
  </si>
  <si>
    <t>Bambang Udaya - LLM</t>
  </si>
  <si>
    <t>LKO 283</t>
  </si>
  <si>
    <t>LAX 704</t>
  </si>
  <si>
    <t>LOL 128</t>
  </si>
  <si>
    <t>Anang - LOL</t>
  </si>
  <si>
    <t>LDG 966</t>
  </si>
  <si>
    <t>LTD 311</t>
  </si>
  <si>
    <t>ALO - LTD</t>
  </si>
  <si>
    <t>LDG 982</t>
  </si>
  <si>
    <t>LED 505</t>
  </si>
  <si>
    <t>DEDI R - LED</t>
  </si>
  <si>
    <t>LMW 262</t>
  </si>
  <si>
    <t>BCL - Ce - Sandal - Teplek</t>
  </si>
  <si>
    <t>KUSMAWAN - NEW</t>
  </si>
  <si>
    <t>LOD 877</t>
  </si>
  <si>
    <t>Lili - LOD</t>
  </si>
  <si>
    <t>LED 948</t>
  </si>
  <si>
    <t>LTO 756</t>
  </si>
  <si>
    <t>Tito (New) - LTO</t>
  </si>
  <si>
    <t>LWA 823</t>
  </si>
  <si>
    <t>Yanto (New) - LWA</t>
  </si>
  <si>
    <t>LPI 047</t>
  </si>
  <si>
    <t>ERI - LPI</t>
  </si>
  <si>
    <t>LHA 799</t>
  </si>
  <si>
    <t>OHA - NEW</t>
  </si>
  <si>
    <t>LJK 421</t>
  </si>
  <si>
    <t>JOKO - NEW</t>
  </si>
  <si>
    <t>LDO 609</t>
  </si>
  <si>
    <t>Asep Permana - LDO</t>
  </si>
  <si>
    <t>LJK 148</t>
  </si>
  <si>
    <t>LTE 271</t>
  </si>
  <si>
    <t>BCL - Ce - Sandal - Wedges - Tali</t>
  </si>
  <si>
    <t>Ayi - LTE</t>
  </si>
  <si>
    <t>LCC 472</t>
  </si>
  <si>
    <t>UDAN - LCC</t>
  </si>
  <si>
    <t>LGG 476</t>
  </si>
  <si>
    <t>LLE 412</t>
  </si>
  <si>
    <t>Aisyah - LLE</t>
  </si>
  <si>
    <t>LGG 222</t>
  </si>
  <si>
    <t>LTE 506</t>
  </si>
  <si>
    <t>LFX 653</t>
  </si>
  <si>
    <t>HERLAN</t>
  </si>
  <si>
    <t>LLD 591</t>
  </si>
  <si>
    <t>Mulyadi - LLD</t>
  </si>
  <si>
    <t>LJU 372</t>
  </si>
  <si>
    <t>LGG 477</t>
  </si>
  <si>
    <t>LCC 918</t>
  </si>
  <si>
    <t>LLS 263</t>
  </si>
  <si>
    <t>Ai Lestari</t>
  </si>
  <si>
    <t>LOL 800</t>
  </si>
  <si>
    <t>LGG 738</t>
  </si>
  <si>
    <t>LPE 495</t>
  </si>
  <si>
    <t>EPI - LPE</t>
  </si>
  <si>
    <t>LGG 629</t>
  </si>
  <si>
    <t>LSH 781</t>
  </si>
  <si>
    <t>SITI SRI HANDAYANI</t>
  </si>
  <si>
    <t>LGG 285</t>
  </si>
  <si>
    <t>LGG 272</t>
  </si>
  <si>
    <t>LOD 775</t>
  </si>
  <si>
    <t>LCU 019</t>
  </si>
  <si>
    <t>Enan Supriatna - LCU</t>
  </si>
  <si>
    <t>LCU 743</t>
  </si>
  <si>
    <t>LYT 898</t>
  </si>
  <si>
    <t>SITI NURJANAH</t>
  </si>
  <si>
    <t>LDO 221</t>
  </si>
  <si>
    <t>LOD 462</t>
  </si>
  <si>
    <t>LSP 496</t>
  </si>
  <si>
    <t>Usep Yadi</t>
  </si>
  <si>
    <t>LPE 868</t>
  </si>
  <si>
    <t>LOD 343</t>
  </si>
  <si>
    <t>LOD 710</t>
  </si>
  <si>
    <t>LYT 282</t>
  </si>
  <si>
    <t>LYT 927</t>
  </si>
  <si>
    <t>LUD 280</t>
  </si>
  <si>
    <t>Ahmad Suhanda - LUD</t>
  </si>
  <si>
    <t>LYT 894</t>
  </si>
  <si>
    <t>LLS 762</t>
  </si>
  <si>
    <t>LTE 555</t>
  </si>
  <si>
    <t>BCL - Ce - Sandal - Teplek - Tali</t>
  </si>
  <si>
    <t>LLH 195</t>
  </si>
  <si>
    <t>DHEA - NEW</t>
  </si>
  <si>
    <t>LTE 595</t>
  </si>
  <si>
    <t>LLH 402</t>
  </si>
  <si>
    <t>LTE 227</t>
  </si>
  <si>
    <t>LKO 317</t>
  </si>
  <si>
    <t>LRN 020</t>
  </si>
  <si>
    <t>BCL - Ce - Sandal - Teplek - Puyuh</t>
  </si>
  <si>
    <t>ERNI - LRN</t>
  </si>
  <si>
    <t>LLS 172</t>
  </si>
  <si>
    <t>LCC 773</t>
  </si>
  <si>
    <t>LTE 423</t>
  </si>
  <si>
    <t>LDG 771</t>
  </si>
  <si>
    <t>LTE 767</t>
  </si>
  <si>
    <t>LFS 182</t>
  </si>
  <si>
    <t>Herman - LFS</t>
  </si>
  <si>
    <t>LTE 657</t>
  </si>
  <si>
    <t>LUJ 224</t>
  </si>
  <si>
    <t>ANDI S (UJANG) - NEW</t>
  </si>
  <si>
    <t>LJJ 766</t>
  </si>
  <si>
    <t>Jejen (New) - LJJ</t>
  </si>
  <si>
    <t>LUJ 273</t>
  </si>
  <si>
    <t>LTE</t>
  </si>
  <si>
    <t>LCU 132</t>
  </si>
  <si>
    <t>LJU 553</t>
  </si>
  <si>
    <t>LDO 394</t>
  </si>
  <si>
    <t>LDO 813</t>
  </si>
  <si>
    <t>LFX 507</t>
  </si>
  <si>
    <t>LAG 770</t>
  </si>
  <si>
    <t>Asep Rangga - LAG</t>
  </si>
  <si>
    <t>LDO 265</t>
  </si>
  <si>
    <t>LHR 377</t>
  </si>
  <si>
    <t>Herlan - LHR</t>
  </si>
  <si>
    <t>LCU 442</t>
  </si>
  <si>
    <t>LAG 194</t>
  </si>
  <si>
    <t>LCU 612</t>
  </si>
  <si>
    <t>LDO 645</t>
  </si>
  <si>
    <t>LPM 726</t>
  </si>
  <si>
    <t>Dadang Sandal - LPM</t>
  </si>
  <si>
    <t>LDO 209</t>
  </si>
  <si>
    <t>LTW 170</t>
  </si>
  <si>
    <t>DEDE - LTW</t>
  </si>
  <si>
    <t>LTW 125</t>
  </si>
  <si>
    <t>LMD 827</t>
  </si>
  <si>
    <t>AHMAD - NEW</t>
  </si>
  <si>
    <t>LJH 882</t>
  </si>
  <si>
    <t>Rita - LJH</t>
  </si>
  <si>
    <t>LDO 246</t>
  </si>
  <si>
    <t>LEP 601</t>
  </si>
  <si>
    <t>Asep Kartiwa - LEP</t>
  </si>
  <si>
    <t>LFX 722</t>
  </si>
  <si>
    <t>LDG 831</t>
  </si>
  <si>
    <t>LTE 608</t>
  </si>
  <si>
    <t>LKO 796</t>
  </si>
  <si>
    <t>LDI 999</t>
  </si>
  <si>
    <t>Enok - LDI</t>
  </si>
  <si>
    <t>LDO 632</t>
  </si>
  <si>
    <t>LTE 294</t>
  </si>
  <si>
    <t>LDO 805</t>
  </si>
  <si>
    <t>LFS 422</t>
  </si>
  <si>
    <t>LKO 126</t>
  </si>
  <si>
    <t>LTE 519</t>
  </si>
  <si>
    <t>LLS 801</t>
  </si>
  <si>
    <t>LTE 826</t>
  </si>
  <si>
    <t>LMS 440</t>
  </si>
  <si>
    <t>ELIH MUSLIH - NEW</t>
  </si>
  <si>
    <t>LTE 498</t>
  </si>
  <si>
    <t>LKO 342</t>
  </si>
  <si>
    <t>LPM 517</t>
  </si>
  <si>
    <t>DADANG - LPM</t>
  </si>
  <si>
    <t>LIS 837</t>
  </si>
  <si>
    <t>Teddy Cokro - LIS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</si>
  <si>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</si>
  <si>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</si>
  <si>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</si>
  <si>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</si>
  <si>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</si>
  <si>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</si>
  <si>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</si>
  <si>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</si>
  <si>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</si>
  <si>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</si>
  <si>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LTE 302</t>
  </si>
  <si>
    <t>LIS 333</t>
  </si>
  <si>
    <t>LRK 563</t>
  </si>
  <si>
    <t>Riki (New) - LRK</t>
  </si>
  <si>
    <t>LTE 842</t>
  </si>
  <si>
    <t>LAS 226</t>
  </si>
  <si>
    <t>LNC 232</t>
  </si>
  <si>
    <t>RENI - LCN</t>
  </si>
  <si>
    <t>LLH 493</t>
  </si>
  <si>
    <t>LIS 424</t>
  </si>
  <si>
    <t>LFX 103</t>
  </si>
  <si>
    <t>LSM 561</t>
  </si>
  <si>
    <t>Hasan - LSM</t>
  </si>
  <si>
    <t>LNW 902</t>
  </si>
  <si>
    <t>Ooy Mulyana - LNW</t>
  </si>
  <si>
    <t>LMV 374</t>
  </si>
  <si>
    <t>BCL - Ce - Sepatu - Casual</t>
  </si>
  <si>
    <t>Ena - LMV</t>
  </si>
  <si>
    <t>LDG 162</t>
  </si>
  <si>
    <t>BCL - Ce - Sepatu - Boot</t>
  </si>
  <si>
    <t>LGA 673</t>
  </si>
  <si>
    <t>BCL - Ce - Sepatu - Wedges</t>
  </si>
  <si>
    <t>Agus Gunawan - New</t>
  </si>
  <si>
    <t>LMV 616</t>
  </si>
  <si>
    <t>LOP 757</t>
  </si>
  <si>
    <t>Opang (New) - LOP</t>
  </si>
  <si>
    <t>LKR 352</t>
  </si>
  <si>
    <t>ASEP SUKRON HIDAYAT - NEW</t>
  </si>
  <si>
    <t>LJT 362</t>
  </si>
  <si>
    <t>DANI - LJT</t>
  </si>
  <si>
    <t>LYN 206</t>
  </si>
  <si>
    <t>Yani - LYN</t>
  </si>
  <si>
    <t>LPS 240</t>
  </si>
  <si>
    <t>IREN - NEW</t>
  </si>
  <si>
    <t>LKR 583</t>
  </si>
  <si>
    <t>LDO 545</t>
  </si>
  <si>
    <t>LKR 523</t>
  </si>
  <si>
    <t>LSI 688</t>
  </si>
  <si>
    <t>Sandi - LSI (New)</t>
  </si>
  <si>
    <t>LKP 696</t>
  </si>
  <si>
    <t>YANA MULYANA</t>
  </si>
  <si>
    <t>LSI 820</t>
  </si>
  <si>
    <t>LKD 512</t>
  </si>
  <si>
    <t>Kardin</t>
  </si>
  <si>
    <t>LDS 683</t>
  </si>
  <si>
    <t>Dinar Syah</t>
  </si>
  <si>
    <t>LYN 843</t>
  </si>
  <si>
    <t>LIR 926</t>
  </si>
  <si>
    <t>BCL - Co - Sepatu - Sport</t>
  </si>
  <si>
    <t>Irsan - LIR</t>
  </si>
  <si>
    <t>LYA 983</t>
  </si>
  <si>
    <t>LJO 437</t>
  </si>
  <si>
    <t>BCL - Ce - Sepatu - Sport</t>
  </si>
  <si>
    <t>Sony Sonjaya - LJO</t>
  </si>
  <si>
    <t>LDR 814</t>
  </si>
  <si>
    <t>LDR 199</t>
  </si>
  <si>
    <t>LSO 844</t>
  </si>
  <si>
    <t>AHMAD YANI - LSO</t>
  </si>
  <si>
    <t>LNN 487</t>
  </si>
  <si>
    <t>NENENG NEW</t>
  </si>
  <si>
    <t>LJO 648</t>
  </si>
  <si>
    <t>LOP 231</t>
  </si>
  <si>
    <t>LTG 582</t>
  </si>
  <si>
    <t>JAMAL - LTG</t>
  </si>
  <si>
    <t>LIR 247</t>
  </si>
  <si>
    <t>LYY 499</t>
  </si>
  <si>
    <t>YAYAT ROBI - LYY</t>
  </si>
  <si>
    <t>LPI 524</t>
  </si>
  <si>
    <t>LYY 335</t>
  </si>
  <si>
    <t>BCL - Ce - Sepatu - Ballet - Casual</t>
  </si>
  <si>
    <t>LLE 795</t>
  </si>
  <si>
    <t>LAR 373</t>
  </si>
  <si>
    <t>IPAN / INA ROSITA</t>
  </si>
  <si>
    <t>LAD 473</t>
  </si>
  <si>
    <t>Nandang - LAD/LSW</t>
  </si>
  <si>
    <t>LWS 798</t>
  </si>
  <si>
    <t>IWAN SUDRAJAT - NEW</t>
  </si>
  <si>
    <t>LBT 735</t>
  </si>
  <si>
    <t>LHM 330</t>
  </si>
  <si>
    <t>ASEP RAHMAT - NEW</t>
  </si>
  <si>
    <t>LMW 455</t>
  </si>
  <si>
    <t>LDA 570</t>
  </si>
  <si>
    <t>Dadang K - LDA</t>
  </si>
  <si>
    <t>LMW 152</t>
  </si>
  <si>
    <t>LDA 790</t>
  </si>
  <si>
    <t>BCL - Ce - Sepatu - Ballet</t>
  </si>
  <si>
    <t>LMW 489</t>
  </si>
  <si>
    <t>LMV 313</t>
  </si>
  <si>
    <t>LOP 351</t>
  </si>
  <si>
    <t>LMV 436</t>
  </si>
  <si>
    <t>LTD 382</t>
  </si>
  <si>
    <t>LMW 745</t>
  </si>
  <si>
    <t>LSS 236</t>
  </si>
  <si>
    <t>ANDI SUTISNA - NEW</t>
  </si>
  <si>
    <t>LTM 884</t>
  </si>
  <si>
    <t>UTAMI DAMIYANTI - NEW</t>
  </si>
  <si>
    <t>LKO 293</t>
  </si>
  <si>
    <t>BCL - Ce - Sepatu - Formal - Sintetis</t>
  </si>
  <si>
    <t>LKO 995</t>
  </si>
  <si>
    <t>LKO 885</t>
  </si>
  <si>
    <t>LDX 980</t>
  </si>
  <si>
    <t>BCL - Ce - Sepatu - Formal - Kulit</t>
  </si>
  <si>
    <t>Arifin - LDX</t>
  </si>
  <si>
    <t>LEN 142</t>
  </si>
  <si>
    <t>BCL - Co - Sepatu - Formal</t>
  </si>
  <si>
    <t>Dadang Santy - LEN</t>
  </si>
  <si>
    <t>LEN 716</t>
  </si>
  <si>
    <t>LTC 840</t>
  </si>
  <si>
    <t>Mukhtiar - LTC</t>
  </si>
  <si>
    <t>LTC 153</t>
  </si>
  <si>
    <t>LTC 281</t>
  </si>
  <si>
    <t>LLT 949</t>
  </si>
  <si>
    <t>Imas - LLT</t>
  </si>
  <si>
    <t>LTD 853</t>
  </si>
  <si>
    <t>LLM 428</t>
  </si>
  <si>
    <t>LRM 269</t>
  </si>
  <si>
    <t>ROSMAYANTI NEW</t>
  </si>
  <si>
    <t>LBU 783</t>
  </si>
  <si>
    <t>Rendi - LBU</t>
  </si>
  <si>
    <t>LLM 253</t>
  </si>
  <si>
    <t>BCL - Ce - Sepatu - Formal - Semi</t>
  </si>
  <si>
    <t>LSN 171</t>
  </si>
  <si>
    <t>Robi - LSN</t>
  </si>
  <si>
    <t>LDP 145</t>
  </si>
  <si>
    <t>DINA - LDP</t>
  </si>
  <si>
    <t>LED 234</t>
  </si>
  <si>
    <t>LYP 136</t>
  </si>
  <si>
    <t>HERI - LYP</t>
  </si>
  <si>
    <t>LSN 984</t>
  </si>
  <si>
    <t>LSN 759</t>
  </si>
  <si>
    <t>LCP 242</t>
  </si>
  <si>
    <t>LDH 780</t>
  </si>
  <si>
    <t>RUDIANSYAH - LDH</t>
  </si>
  <si>
    <t>LSN 252</t>
  </si>
  <si>
    <t>LSN 261</t>
  </si>
  <si>
    <t>LIA 573</t>
  </si>
  <si>
    <t>BCL - Co - Sepatu - Casual</t>
  </si>
  <si>
    <t>NIA - NEW</t>
  </si>
  <si>
    <t>LDE 043</t>
  </si>
  <si>
    <t>Cepi - LDE</t>
  </si>
  <si>
    <t>LDP 623</t>
  </si>
  <si>
    <t>LTE 952</t>
  </si>
  <si>
    <t>BCL - Co - Sepatu - Boot</t>
  </si>
  <si>
    <t>LDP 890</t>
  </si>
  <si>
    <t>BCL - Co - Sepatu - Casual - Kulit</t>
  </si>
  <si>
    <t>LDE 851</t>
  </si>
  <si>
    <t>BCL - Co - Sepatu - Casual - Sintetis</t>
  </si>
  <si>
    <t>LBY 548</t>
  </si>
  <si>
    <t>ABUYA IDRIS - LBY</t>
  </si>
  <si>
    <t>LIV 413</t>
  </si>
  <si>
    <t>Ivan (New) - LIV</t>
  </si>
  <si>
    <t>LBY 212</t>
  </si>
  <si>
    <t>LFS 668</t>
  </si>
  <si>
    <t>LZO 322</t>
  </si>
  <si>
    <t>ROZI - NEW</t>
  </si>
  <si>
    <t>LFM 932</t>
  </si>
  <si>
    <t>Duhri Arifin - LFM</t>
  </si>
  <si>
    <t>LZO 640</t>
  </si>
  <si>
    <t>LRE 520</t>
  </si>
  <si>
    <t>BCL - Co - Sepatu - Bustong</t>
  </si>
  <si>
    <t>EDI RIADI - LRE</t>
  </si>
  <si>
    <t>LSM 155</t>
  </si>
  <si>
    <t>LTB 031</t>
  </si>
  <si>
    <t>Siti Apep - New</t>
  </si>
  <si>
    <t>LBY 522</t>
  </si>
  <si>
    <t>LJA 557</t>
  </si>
  <si>
    <t>Feri Irawan - LJA</t>
  </si>
  <si>
    <t>LSU 747</t>
  </si>
  <si>
    <t>Usep (New) - LSU</t>
  </si>
  <si>
    <t>LMF 316</t>
  </si>
  <si>
    <t>Mahfudin (New) - LMF</t>
  </si>
  <si>
    <t>LDO 356</t>
  </si>
  <si>
    <t>BCL - Co - Sepatu - Casual - Canvas</t>
  </si>
  <si>
    <t>LSM 320</t>
  </si>
  <si>
    <t>LAY 210</t>
  </si>
  <si>
    <t>Rudi Hermawan - LAY</t>
  </si>
  <si>
    <t>LJA 332</t>
  </si>
  <si>
    <t>LWN 312</t>
  </si>
  <si>
    <t>ANWAR - NEW</t>
  </si>
  <si>
    <t>LSM 349</t>
  </si>
  <si>
    <t>LAY 690</t>
  </si>
  <si>
    <t>LSI 299</t>
  </si>
  <si>
    <t>LLX 624</t>
  </si>
  <si>
    <t>Teddy - LLX</t>
  </si>
  <si>
    <t>LLX 708</t>
  </si>
  <si>
    <t>LLX 482</t>
  </si>
  <si>
    <t>BCL - Co - Sepatu - Gunung</t>
  </si>
  <si>
    <t>LPR 414</t>
  </si>
  <si>
    <t>APRI - NEW</t>
  </si>
  <si>
    <t>LTA 991</t>
  </si>
  <si>
    <t>Asep Wildan - LTA</t>
  </si>
  <si>
    <t>LPR 448</t>
  </si>
  <si>
    <t>LBU 532</t>
  </si>
  <si>
    <t>LBU 845</t>
  </si>
  <si>
    <t>LPR 387</t>
  </si>
  <si>
    <t>LBU 865</t>
  </si>
  <si>
    <t>LBU 712</t>
  </si>
  <si>
    <t>LBY 778</t>
  </si>
  <si>
    <t>LBD 306</t>
  </si>
  <si>
    <t>BUDI RAHAYU - LBD</t>
  </si>
  <si>
    <t>LNI 384</t>
  </si>
  <si>
    <t>RIANI</t>
  </si>
  <si>
    <t>LSI 841</t>
  </si>
  <si>
    <t>LNG 547</t>
  </si>
  <si>
    <t>Kinkin - LNG</t>
  </si>
  <si>
    <t>LZO 848</t>
  </si>
  <si>
    <t>LWI 965</t>
  </si>
  <si>
    <t>Aden - LWI</t>
  </si>
  <si>
    <t>LSI 897</t>
  </si>
  <si>
    <t>LDE 631</t>
  </si>
  <si>
    <t>LZO 364</t>
  </si>
  <si>
    <t>LSM 360</t>
  </si>
  <si>
    <t>LTF 873</t>
  </si>
  <si>
    <t>ERWIN - LTF</t>
  </si>
  <si>
    <t>LAT 849</t>
  </si>
  <si>
    <t>Anggi/Rizky Yunus - LAT</t>
  </si>
  <si>
    <t>LAY 453</t>
  </si>
  <si>
    <t>LAY 705</t>
  </si>
  <si>
    <t>LIV 584</t>
  </si>
  <si>
    <t>LZO 874</t>
  </si>
  <si>
    <t>LNU 867</t>
  </si>
  <si>
    <t>Yosep - LNU</t>
  </si>
  <si>
    <t>LNY 956</t>
  </si>
  <si>
    <t>Wawan - LNY</t>
  </si>
  <si>
    <t>LFS 642</t>
  </si>
  <si>
    <t>LAT 876</t>
  </si>
  <si>
    <t>LID 197</t>
  </si>
  <si>
    <t>Wawan Onay - LID</t>
  </si>
  <si>
    <t>LMX 652</t>
  </si>
  <si>
    <t>ADI - NEW</t>
  </si>
  <si>
    <t>LDE 264</t>
  </si>
  <si>
    <t>LAY 788</t>
  </si>
  <si>
    <t>BCL - Co - Sandal - Casual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</si>
  <si>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</si>
  <si>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</si>
  <si>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</si>
  <si>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</si>
  <si>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</si>
  <si>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</si>
  <si>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</si>
  <si>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</si>
  <si>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</si>
  <si>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</si>
  <si>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</si>
  <si>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</si>
  <si>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</si>
  <si>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</si>
  <si>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</si>
  <si>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GUNAWAN - LGN</t>
  </si>
  <si>
    <t>LEF 855</t>
  </si>
  <si>
    <t>BCL - Co - Sepatu - Sport - Futsal</t>
  </si>
  <si>
    <t>Edih - LEF</t>
  </si>
  <si>
    <t>LEF 470</t>
  </si>
  <si>
    <t>LEF 606</t>
  </si>
  <si>
    <t>LMJ 173</t>
  </si>
  <si>
    <t>Cucu - LMJ</t>
  </si>
  <si>
    <t>LSM 045</t>
  </si>
  <si>
    <t>BCL - Co - Sandal - Kulit</t>
  </si>
  <si>
    <t>LMG 149</t>
  </si>
  <si>
    <t>Iman New - LMG</t>
  </si>
  <si>
    <t>LFW 580</t>
  </si>
  <si>
    <t>Roni - LFW</t>
  </si>
  <si>
    <t>LRE 446</t>
  </si>
  <si>
    <t>LSU 679</t>
  </si>
  <si>
    <t>LAW 192</t>
  </si>
  <si>
    <t>Ebek</t>
  </si>
  <si>
    <t>LCK 426</t>
  </si>
  <si>
    <t>DENI - NEW</t>
  </si>
  <si>
    <t>LFS 643</t>
  </si>
  <si>
    <t>LMV 363</t>
  </si>
  <si>
    <t>LFS 366</t>
  </si>
  <si>
    <t>LPN 430</t>
  </si>
  <si>
    <t>ERPAN - NEW</t>
  </si>
  <si>
    <t>LRE 284</t>
  </si>
  <si>
    <t>LRE 724</t>
  </si>
  <si>
    <t>LMG 114</t>
  </si>
  <si>
    <t>LOA 858</t>
  </si>
  <si>
    <t>Reren - LOA</t>
  </si>
  <si>
    <t>LMJ 063</t>
  </si>
  <si>
    <t>LAW 804</t>
  </si>
  <si>
    <t>LMG 164</t>
  </si>
  <si>
    <t>LMV 127</t>
  </si>
  <si>
    <t>LZA 789</t>
  </si>
  <si>
    <t>OZAN - LZA</t>
  </si>
  <si>
    <t>LOA 879</t>
  </si>
  <si>
    <t>LZA 203</t>
  </si>
  <si>
    <t>LOA 908</t>
  </si>
  <si>
    <t>LSM 682</t>
  </si>
  <si>
    <t>LND 625</t>
  </si>
  <si>
    <t>ANDI - LND</t>
  </si>
  <si>
    <t>LRS 700</t>
  </si>
  <si>
    <t>Iwa - LRS</t>
  </si>
  <si>
    <t>LOA 587</t>
  </si>
  <si>
    <t>LSM 444</t>
  </si>
  <si>
    <t>LSM 699</t>
  </si>
  <si>
    <t>LOA 904</t>
  </si>
  <si>
    <t>LSM 677</t>
  </si>
  <si>
    <t>LSM 859</t>
  </si>
  <si>
    <t>LBP 706</t>
  </si>
  <si>
    <t>BCL - Co - Sandal - Gunung - Tali</t>
  </si>
  <si>
    <t>Didin S - LBP</t>
  </si>
  <si>
    <t>LBP 481</t>
  </si>
  <si>
    <t>LAM 219</t>
  </si>
  <si>
    <t>Asep Majid - LAM</t>
  </si>
  <si>
    <t>LRS 131</t>
  </si>
  <si>
    <t>LBP 847</t>
  </si>
  <si>
    <t>LAM 973</t>
  </si>
  <si>
    <t>LBP 249</t>
  </si>
  <si>
    <t>BCL - Co - Sandal - Gunung</t>
  </si>
  <si>
    <t>LAM 514</t>
  </si>
  <si>
    <t>LRS</t>
  </si>
  <si>
    <t>LAY 279</t>
  </si>
  <si>
    <t>BCL - Anak - Sepatu - Co - 30</t>
  </si>
  <si>
    <t>LDL 288</t>
  </si>
  <si>
    <t>DADAN - LDL</t>
  </si>
  <si>
    <t>LTI 903</t>
  </si>
  <si>
    <t>DEWI - LTI</t>
  </si>
  <si>
    <t>LHO 161</t>
  </si>
  <si>
    <t>Edih - LHO</t>
  </si>
  <si>
    <t>LMN 986</t>
  </si>
  <si>
    <t>Maman (New) - LMN</t>
  </si>
  <si>
    <t>LDL 122</t>
  </si>
  <si>
    <t>LLX 454</t>
  </si>
  <si>
    <t>BCL - Anak - Sepatu - Co - Boot</t>
  </si>
  <si>
    <t>LSI 201</t>
  </si>
  <si>
    <t>LSD 725</t>
  </si>
  <si>
    <t>Sendi - New</t>
  </si>
  <si>
    <t>LCS 275</t>
  </si>
  <si>
    <t>ECEP - LCS</t>
  </si>
  <si>
    <t>LBD 187</t>
  </si>
  <si>
    <t>BCL - Anak - Sepatu - Co - 26</t>
  </si>
  <si>
    <t>LDS 129</t>
  </si>
  <si>
    <t>XXXX</t>
  </si>
  <si>
    <t>AGUS SURYANA - NEW</t>
  </si>
  <si>
    <t>LGS 260</t>
  </si>
  <si>
    <t>LCU 828</t>
  </si>
  <si>
    <t>LTZ 483</t>
  </si>
  <si>
    <t>RENI - NEW</t>
  </si>
  <si>
    <t>LME 916</t>
  </si>
  <si>
    <t>BCL - Baby - Sepatu - Co</t>
  </si>
  <si>
    <t>Heni - LME</t>
  </si>
  <si>
    <t>LGS 451</t>
  </si>
  <si>
    <t>LFG 328</t>
  </si>
  <si>
    <t>BCL - Anak - Sandal - Co</t>
  </si>
  <si>
    <t>Cecep Sandal - LFG</t>
  </si>
  <si>
    <t>LSM 940</t>
  </si>
  <si>
    <t>LFG 613</t>
  </si>
  <si>
    <t>LRO 301</t>
  </si>
  <si>
    <t>ILHAM ROHMAT - NEW</t>
  </si>
  <si>
    <t>LTN 593</t>
  </si>
  <si>
    <t>TANTAN MEGANTARA - NEW</t>
  </si>
  <si>
    <t>LRO 971</t>
  </si>
  <si>
    <t>LMW 503</t>
  </si>
  <si>
    <t>LJJ 719</t>
  </si>
  <si>
    <t>LJJ 866</t>
  </si>
  <si>
    <t>LJJ 992</t>
  </si>
  <si>
    <t>LJJ 238</t>
  </si>
  <si>
    <t>LRS 978</t>
  </si>
  <si>
    <t>LBP 475</t>
  </si>
  <si>
    <t>LRK 881</t>
  </si>
  <si>
    <t>LTV 326</t>
  </si>
  <si>
    <t>Dede - LTV</t>
  </si>
  <si>
    <t>LKS 872</t>
  </si>
  <si>
    <t>BCL - Anak - Sandal - Ce</t>
  </si>
  <si>
    <t>Arief - LKS</t>
  </si>
  <si>
    <t>LBP 291</t>
  </si>
  <si>
    <t>LJO 070</t>
  </si>
  <si>
    <t>BCL - Anak - Sepatu - Ce - 30</t>
  </si>
  <si>
    <t>LMN 791</t>
  </si>
  <si>
    <t>LME 615</t>
  </si>
  <si>
    <t>LBD 686</t>
  </si>
  <si>
    <t>LDL 684</t>
  </si>
  <si>
    <t>LID 829</t>
  </si>
  <si>
    <t>LAP 663</t>
  </si>
  <si>
    <t>AEP SAEPUDDIN - NEW</t>
  </si>
  <si>
    <t>LME 777</t>
  </si>
  <si>
    <t>LRU 988</t>
  </si>
  <si>
    <t>ASURAHMAN - NEW</t>
  </si>
  <si>
    <t>LRU 883</t>
  </si>
  <si>
    <t>LAY 836</t>
  </si>
  <si>
    <t>LME 588</t>
  </si>
  <si>
    <t>LRY 723</t>
  </si>
  <si>
    <t>BCL - Anak - Sepatu - Ce - 26</t>
  </si>
  <si>
    <t>Kusdarja - LRY</t>
  </si>
  <si>
    <t>LAB 303</t>
  </si>
  <si>
    <t>RIZKY RAHAYU - LAB</t>
  </si>
  <si>
    <t>LAB 157</t>
  </si>
  <si>
    <t>LAB 656</t>
  </si>
  <si>
    <t>LCU 146</t>
  </si>
  <si>
    <t>LRA 181</t>
  </si>
  <si>
    <t>Rolis - LRA</t>
  </si>
  <si>
    <t>LRU 371</t>
  </si>
  <si>
    <t>LRA 325</t>
  </si>
  <si>
    <t>LFS 123</t>
  </si>
  <si>
    <t>LIF 480</t>
  </si>
  <si>
    <t>Sheny - LIF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</si>
  <si>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</si>
  <si>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</si>
  <si>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</si>
  <si>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</si>
  <si>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</si>
  <si>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</si>
  <si>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</si>
  <si>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</si>
  <si>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</si>
  <si>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</si>
  <si>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</si>
  <si>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</si>
  <si>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Sopi Sopiawati - LTH</t>
  </si>
  <si>
    <t>LDI 626</t>
  </si>
  <si>
    <t>LME 854</t>
  </si>
  <si>
    <t>LTH 834</t>
  </si>
  <si>
    <t>LTH 889</t>
  </si>
  <si>
    <t>INF - Ce - Tas Wanita</t>
  </si>
  <si>
    <t>Belum - Ada - Kategori</t>
  </si>
  <si>
    <t>BCL - Co - Sepatu - Touring</t>
  </si>
  <si>
    <t>DONI - LOY</t>
  </si>
  <si>
    <t>INF - Ce - Tas Punggung Sintetis</t>
  </si>
  <si>
    <t>INF - Ce - Tas Punggung Dinir</t>
  </si>
  <si>
    <t>SRI 111</t>
  </si>
  <si>
    <t>Tati (Sri)</t>
  </si>
  <si>
    <t>SMB</t>
  </si>
  <si>
    <t>INF - Ce - Dompet</t>
  </si>
  <si>
    <t>INF - Co - Tas - Punggung</t>
  </si>
  <si>
    <t>lMC 666</t>
  </si>
  <si>
    <t>INF - Co - Tas - Samping</t>
  </si>
  <si>
    <t>BELUM ADA SUPPLIER</t>
  </si>
  <si>
    <t>INF - Co - Tas - Travel</t>
  </si>
  <si>
    <t>INF - Co - Tas - Ransel</t>
  </si>
  <si>
    <t>INF - Co - Aksesoris - Dompet</t>
  </si>
  <si>
    <t>#DONE</t>
  </si>
  <si>
    <t>KATALOG, HANGTAG, SLIP KAIN, LOGAM COR EMAS, LAKEN XL</t>
  </si>
  <si>
    <t>KATALOG, HANGTAG, SLIP KAIN, LABEL KAIN, KULIT JEANS CEWE, LAKEN L</t>
  </si>
  <si>
    <t>KATALOG, HANGTAG, SLIP KAIN, LABEL ID, KULIT WOVEN</t>
  </si>
  <si>
    <t>KATALOG, SLIP KAIN, LABEL KAIN, HANGTAG, PLASTIK</t>
  </si>
  <si>
    <t>KATALOG, HANGTAG, SLIP KAIN, LOGAM COR NIKEL, LAKEN XL</t>
  </si>
  <si>
    <t>KATALOG, HANGTAG, SLIP KAIN, LABEL KAIN, KAIN LACOSTE, LAKEN L</t>
  </si>
  <si>
    <t>KATALOG, HANGTAG, SLIP KAIN, LOGAM COR BAKAR, LAKEN L</t>
  </si>
  <si>
    <t>KATALOG, HANGTAG, SLIP KAIN, LOGAM COR EMAS, LAKEN L</t>
  </si>
  <si>
    <t>Nominal Acc</t>
  </si>
  <si>
    <t xml:space="preserve">#DONE </t>
  </si>
  <si>
    <t>LSM 112</t>
  </si>
  <si>
    <t>SO</t>
  </si>
  <si>
    <t>I</t>
  </si>
  <si>
    <t>SGA 871</t>
  </si>
  <si>
    <t>KATALOG,SLIP KAIN,HANGTAG,LOGAM COR BAKAR , LAKEN L</t>
  </si>
  <si>
    <t>KATALOG , HANGTAG, SLIP KAIN, LOGAM COR EMAS ,LAKEN L</t>
  </si>
  <si>
    <t>KATALOG, HANGTAG,SLIP KAIN, LOGAM COR NIKEL, LAKEN XL</t>
  </si>
  <si>
    <t>KATALOG,SLIP KAIN,HANGTAG,COR NIKEL,LAKEN S</t>
  </si>
  <si>
    <t>KATALOG,HANGTAG,SLIP KAIN,COR EMAS ,LAKEN S</t>
  </si>
  <si>
    <t xml:space="preserve">KATALOG,SLIP KAIN,HANGTAG,LABEL KAIN,LABEL LACOSTE,PLASTIK </t>
  </si>
  <si>
    <t xml:space="preserve">KATALOG,HANGTAG,SLIP KAIN,LABEL KAIN,PLASTIK </t>
  </si>
  <si>
    <t>KATALOG,HANGTAG,SLIP KAIN,LABEL ID , LAKEN XL</t>
  </si>
  <si>
    <t>KATALOG,SLIP KAIN,HANGTAG,LABEL ID,LAKEN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</si>
</sst>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1" fontId="5" fillId="8" borderId="0" xfId="0" applyNumberFormat="1" applyFont="1" applyFill="1" applyAlignment="1">
      <alignment horizontal="center" vertical="center"/>
    </xf>
    <xf numFmtId="9" fontId="5" fillId="8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41" fontId="1" fillId="4" borderId="0" xfId="0" applyNumberFormat="1" applyFont="1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164" fontId="0" fillId="9" borderId="0" xfId="1" applyNumberFormat="1" applyFont="1" applyFill="1" applyAlignment="1">
      <alignment horizontal="center" vertical="center"/>
    </xf>
    <xf numFmtId="41" fontId="1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41" fontId="6" fillId="10" borderId="0" xfId="0" applyNumberFormat="1" applyFont="1" applyFill="1" applyAlignment="1"/>
    <xf numFmtId="0" fontId="6" fillId="9" borderId="0" xfId="0" applyFont="1" applyFill="1" applyAlignment="1">
      <alignment horizontal="center"/>
    </xf>
    <xf numFmtId="41" fontId="6" fillId="7" borderId="0" xfId="2" applyFont="1" applyFill="1" applyAlignment="1"/>
    <xf numFmtId="41" fontId="6" fillId="10" borderId="0" xfId="2" applyFont="1" applyFill="1" applyAlignment="1"/>
    <xf numFmtId="41" fontId="6" fillId="10" borderId="0" xfId="2" applyFont="1" applyFill="1" applyAlignment="1">
      <alignment horizontal="center"/>
    </xf>
    <xf numFmtId="41" fontId="6" fillId="12" borderId="0" xfId="2" applyFont="1" applyFill="1" applyAlignment="1">
      <alignment horizontal="center"/>
    </xf>
    <xf numFmtId="41" fontId="6" fillId="12" borderId="0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center"/>
    </xf>
    <xf numFmtId="164" fontId="6" fillId="14" borderId="0" xfId="1" applyNumberFormat="1" applyFont="1" applyFill="1" applyAlignment="1"/>
    <xf numFmtId="41" fontId="6" fillId="5" borderId="0" xfId="0" applyNumberFormat="1" applyFont="1" applyFill="1" applyAlignment="1"/>
    <xf numFmtId="165" fontId="6" fillId="5" borderId="0" xfId="3" applyNumberFormat="1" applyFont="1" applyFill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41" fontId="6" fillId="10" borderId="0" xfId="2" applyFont="1" applyFill="1" applyBorder="1" applyAlignment="1">
      <alignment horizontal="right"/>
    </xf>
    <xf numFmtId="41" fontId="6" fillId="10" borderId="0" xfId="0" applyNumberFormat="1" applyFont="1" applyFill="1" applyBorder="1" applyAlignment="1">
      <alignment vertical="center"/>
    </xf>
    <xf numFmtId="41" fontId="6" fillId="10" borderId="0" xfId="2" applyFont="1" applyFill="1" applyBorder="1" applyAlignment="1">
      <alignment horizontal="center"/>
    </xf>
    <xf numFmtId="41" fontId="6" fillId="10" borderId="0" xfId="2" applyFont="1" applyFill="1" applyBorder="1"/>
    <xf numFmtId="41" fontId="6" fillId="10" borderId="0" xfId="2" applyFont="1" applyFill="1" applyBorder="1" applyAlignment="1">
      <alignment horizontal="center" vertical="center"/>
    </xf>
    <xf numFmtId="41" fontId="6" fillId="6" borderId="0" xfId="2" applyFont="1" applyFill="1" applyBorder="1" applyAlignment="1">
      <alignment horizontal="center" vertical="center"/>
    </xf>
    <xf numFmtId="164" fontId="6" fillId="14" borderId="0" xfId="1" applyNumberFormat="1" applyFont="1" applyFill="1" applyAlignment="1">
      <alignment vertical="center"/>
    </xf>
    <xf numFmtId="41" fontId="6" fillId="5" borderId="0" xfId="0" applyNumberFormat="1" applyFont="1" applyFill="1" applyAlignment="1">
      <alignment vertical="center"/>
    </xf>
    <xf numFmtId="165" fontId="6" fillId="5" borderId="0" xfId="3" applyNumberFormat="1" applyFont="1" applyFill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41" fontId="6" fillId="7" borderId="0" xfId="2" applyFont="1" applyFill="1" applyBorder="1"/>
    <xf numFmtId="41" fontId="6" fillId="7" borderId="0" xfId="2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41" fontId="3" fillId="10" borderId="0" xfId="2" applyFont="1" applyFill="1" applyAlignment="1">
      <alignment horizontal="left" vertical="center"/>
    </xf>
    <xf numFmtId="41" fontId="6" fillId="10" borderId="0" xfId="0" applyNumberFormat="1" applyFont="1" applyFill="1" applyBorder="1" applyAlignment="1">
      <alignment horizontal="center" vertical="center"/>
    </xf>
    <xf numFmtId="0" fontId="6" fillId="1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/>
    </xf>
    <xf numFmtId="0" fontId="6" fillId="11" borderId="0" xfId="0" applyFont="1" applyFill="1" applyBorder="1" applyAlignment="1">
      <alignment horizontal="center"/>
    </xf>
    <xf numFmtId="41" fontId="6" fillId="10" borderId="0" xfId="0" applyNumberFormat="1" applyFont="1" applyFill="1" applyAlignment="1">
      <alignment vertical="center"/>
    </xf>
    <xf numFmtId="41" fontId="6" fillId="7" borderId="0" xfId="2" applyFont="1" applyFill="1" applyAlignment="1">
      <alignment vertical="center"/>
    </xf>
    <xf numFmtId="41" fontId="6" fillId="10" borderId="0" xfId="2" applyFont="1" applyFill="1" applyAlignment="1">
      <alignment vertical="center"/>
    </xf>
    <xf numFmtId="41" fontId="6" fillId="10" borderId="0" xfId="2" applyFont="1" applyFill="1" applyAlignment="1">
      <alignment horizontal="center" vertical="center"/>
    </xf>
    <xf numFmtId="41" fontId="6" fillId="12" borderId="0" xfId="2" applyFont="1" applyFill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41" fontId="7" fillId="10" borderId="0" xfId="2" applyFont="1" applyFill="1" applyAlignment="1">
      <alignment horizontal="left" vertical="center"/>
    </xf>
    <xf numFmtId="41" fontId="6" fillId="6" borderId="0" xfId="2" applyFont="1" applyFill="1" applyAlignment="1">
      <alignment horizontal="center" vertical="center"/>
    </xf>
    <xf numFmtId="3" fontId="6" fillId="10" borderId="0" xfId="0" applyNumberFormat="1" applyFont="1" applyFill="1" applyBorder="1" applyAlignment="1">
      <alignment horizontal="right"/>
    </xf>
    <xf numFmtId="41" fontId="6" fillId="10" borderId="0" xfId="0" applyNumberFormat="1" applyFont="1" applyFill="1" applyBorder="1" applyAlignment="1"/>
    <xf numFmtId="41" fontId="6" fillId="6" borderId="0" xfId="2" applyFont="1" applyFill="1" applyBorder="1" applyAlignment="1">
      <alignment horizontal="center"/>
    </xf>
    <xf numFmtId="41" fontId="3" fillId="10" borderId="0" xfId="2" applyFont="1" applyFill="1" applyAlignment="1">
      <alignment horizontal="left"/>
    </xf>
    <xf numFmtId="0" fontId="6" fillId="17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6" fillId="10" borderId="0" xfId="1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vertical="center"/>
    </xf>
    <xf numFmtId="0" fontId="12" fillId="0" borderId="0" xfId="8" applyFont="1" applyAlignment="1">
      <alignment horizontal="center"/>
    </xf>
    <xf numFmtId="0" fontId="12" fillId="0" borderId="0" xfId="8"/>
    <xf numFmtId="0" fontId="12" fillId="0" borderId="0" xfId="8" applyAlignment="1">
      <alignment horizontal="center"/>
    </xf>
    <xf numFmtId="0" fontId="12" fillId="0" borderId="0" xfId="8" applyAlignment="1">
      <alignment horizontal="right"/>
    </xf>
    <xf numFmtId="0" fontId="12" fillId="0" borderId="0" xfId="8" applyFont="1" applyAlignment="1"/>
    <xf numFmtId="0" fontId="6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164" fontId="6" fillId="0" borderId="0" xfId="6" applyNumberFormat="1" applyFont="1" applyAlignment="1">
      <alignment horizontal="right" vertical="center"/>
    </xf>
    <xf numFmtId="0" fontId="6" fillId="5" borderId="0" xfId="8" applyFont="1" applyFill="1" applyAlignment="1">
      <alignment horizontal="right" vertical="center"/>
    </xf>
    <xf numFmtId="10" fontId="6" fillId="0" borderId="0" xfId="15" applyNumberFormat="1" applyFont="1" applyAlignment="1">
      <alignment horizontal="right" vertical="center"/>
    </xf>
    <xf numFmtId="41" fontId="6" fillId="6" borderId="0" xfId="4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6" fillId="10" borderId="0" xfId="8" applyFont="1" applyFill="1" applyBorder="1" applyAlignment="1">
      <alignment horizontal="center" vertical="center"/>
    </xf>
    <xf numFmtId="0" fontId="6" fillId="10" borderId="0" xfId="8" applyFont="1" applyFill="1" applyAlignment="1">
      <alignment horizontal="center" vertical="center"/>
    </xf>
    <xf numFmtId="0" fontId="6" fillId="0" borderId="0" xfId="9" applyFont="1"/>
    <xf numFmtId="0" fontId="8" fillId="10" borderId="0" xfId="8" applyFont="1" applyFill="1" applyAlignment="1">
      <alignment horizontal="center"/>
    </xf>
    <xf numFmtId="164" fontId="6" fillId="10" borderId="0" xfId="6" applyNumberFormat="1" applyFont="1" applyFill="1"/>
    <xf numFmtId="41" fontId="6" fillId="10" borderId="0" xfId="8" applyNumberFormat="1" applyFont="1" applyFill="1" applyBorder="1" applyAlignment="1">
      <alignment horizontal="center" vertical="center"/>
    </xf>
    <xf numFmtId="41" fontId="6" fillId="10" borderId="0" xfId="4" applyFont="1" applyFill="1" applyBorder="1" applyAlignment="1">
      <alignment horizontal="center"/>
    </xf>
    <xf numFmtId="41" fontId="6" fillId="10" borderId="0" xfId="4" applyFont="1" applyFill="1" applyBorder="1" applyAlignment="1">
      <alignment horizontal="center" vertical="center"/>
    </xf>
    <xf numFmtId="41" fontId="6" fillId="10" borderId="0" xfId="8" applyNumberFormat="1" applyFont="1" applyFill="1" applyAlignment="1">
      <alignment horizontal="center" vertical="center"/>
    </xf>
    <xf numFmtId="41" fontId="3" fillId="10" borderId="0" xfId="4" applyFont="1" applyFill="1" applyBorder="1" applyAlignment="1">
      <alignment horizontal="center" vertical="center"/>
    </xf>
    <xf numFmtId="164" fontId="6" fillId="14" borderId="0" xfId="6" applyNumberFormat="1" applyFont="1" applyFill="1" applyAlignment="1">
      <alignment vertical="center"/>
    </xf>
    <xf numFmtId="164" fontId="6" fillId="14" borderId="0" xfId="6" applyNumberFormat="1" applyFont="1" applyFill="1" applyAlignment="1">
      <alignment horizontal="right" vertical="center"/>
    </xf>
    <xf numFmtId="41" fontId="6" fillId="5" borderId="0" xfId="8" applyNumberFormat="1" applyFont="1" applyFill="1" applyAlignment="1">
      <alignment horizontal="right" vertical="center"/>
    </xf>
    <xf numFmtId="165" fontId="6" fillId="5" borderId="0" xfId="15" applyNumberFormat="1" applyFont="1" applyFill="1" applyAlignment="1">
      <alignment horizontal="right" vertical="center"/>
    </xf>
    <xf numFmtId="9" fontId="6" fillId="7" borderId="0" xfId="15" applyFont="1" applyFill="1" applyAlignment="1">
      <alignment horizontal="right" vertical="center"/>
    </xf>
    <xf numFmtId="41" fontId="6" fillId="6" borderId="0" xfId="4" applyFont="1" applyFill="1" applyAlignment="1">
      <alignment vertical="center"/>
    </xf>
    <xf numFmtId="10" fontId="6" fillId="6" borderId="0" xfId="15" applyNumberFormat="1" applyFont="1" applyFill="1" applyAlignment="1">
      <alignment vertical="center"/>
    </xf>
    <xf numFmtId="0" fontId="6" fillId="10" borderId="0" xfId="8" applyFont="1" applyFill="1" applyBorder="1" applyAlignment="1">
      <alignment horizontal="center"/>
    </xf>
    <xf numFmtId="41" fontId="6" fillId="10" borderId="0" xfId="5" applyFont="1" applyFill="1" applyBorder="1" applyAlignment="1">
      <alignment horizontal="right"/>
    </xf>
    <xf numFmtId="41" fontId="6" fillId="10" borderId="0" xfId="13" applyNumberFormat="1" applyFont="1" applyFill="1" applyBorder="1" applyAlignment="1">
      <alignment horizontal="center" vertical="center"/>
    </xf>
    <xf numFmtId="0" fontId="6" fillId="10" borderId="0" xfId="13" applyFont="1" applyFill="1" applyBorder="1" applyAlignment="1">
      <alignment horizontal="center" vertical="center"/>
    </xf>
    <xf numFmtId="41" fontId="6" fillId="10" borderId="0" xfId="5" applyFont="1" applyFill="1" applyBorder="1" applyAlignment="1">
      <alignment horizontal="center"/>
    </xf>
    <xf numFmtId="41" fontId="6" fillId="10" borderId="0" xfId="5" applyFont="1" applyFill="1" applyBorder="1"/>
    <xf numFmtId="41" fontId="6" fillId="10" borderId="0" xfId="5" applyFont="1" applyFill="1" applyBorder="1" applyAlignment="1">
      <alignment horizontal="center" vertical="center"/>
    </xf>
    <xf numFmtId="41" fontId="6" fillId="15" borderId="0" xfId="4" applyFont="1" applyFill="1" applyAlignment="1">
      <alignment vertical="center"/>
    </xf>
    <xf numFmtId="41" fontId="6" fillId="4" borderId="0" xfId="4" applyFont="1" applyFill="1" applyAlignment="1">
      <alignment vertical="center"/>
    </xf>
    <xf numFmtId="10" fontId="6" fillId="4" borderId="0" xfId="15" applyNumberFormat="1" applyFont="1" applyFill="1" applyAlignment="1">
      <alignment vertical="center"/>
    </xf>
    <xf numFmtId="41" fontId="6" fillId="10" borderId="0" xfId="4" applyFont="1" applyFill="1" applyBorder="1" applyAlignment="1">
      <alignment horizontal="right"/>
    </xf>
    <xf numFmtId="41" fontId="6" fillId="10" borderId="0" xfId="4" applyFont="1" applyFill="1" applyBorder="1"/>
    <xf numFmtId="41" fontId="6" fillId="10" borderId="0" xfId="13" applyNumberFormat="1" applyFont="1" applyFill="1" applyBorder="1" applyAlignment="1">
      <alignment vertical="center"/>
    </xf>
    <xf numFmtId="0" fontId="6" fillId="16" borderId="0" xfId="13" applyFont="1" applyFill="1" applyBorder="1" applyAlignment="1">
      <alignment horizontal="center" vertical="center"/>
    </xf>
    <xf numFmtId="41" fontId="6" fillId="7" borderId="0" xfId="5" applyFont="1" applyFill="1" applyBorder="1"/>
    <xf numFmtId="0" fontId="6" fillId="17" borderId="0" xfId="8" applyFont="1" applyFill="1" applyBorder="1" applyAlignment="1">
      <alignment horizontal="center"/>
    </xf>
    <xf numFmtId="0" fontId="6" fillId="17" borderId="0" xfId="8" applyFont="1" applyFill="1" applyAlignment="1">
      <alignment horizontal="center" vertical="center"/>
    </xf>
    <xf numFmtId="41" fontId="6" fillId="17" borderId="0" xfId="8" applyNumberFormat="1" applyFont="1" applyFill="1" applyAlignment="1">
      <alignment horizontal="center" vertical="center"/>
    </xf>
    <xf numFmtId="41" fontId="6" fillId="10" borderId="0" xfId="8" applyNumberFormat="1" applyFont="1" applyFill="1" applyBorder="1" applyAlignment="1">
      <alignment vertical="center"/>
    </xf>
    <xf numFmtId="0" fontId="6" fillId="16" borderId="0" xfId="8" applyFont="1" applyFill="1" applyBorder="1" applyAlignment="1">
      <alignment horizontal="center" vertical="center"/>
    </xf>
    <xf numFmtId="41" fontId="6" fillId="7" borderId="0" xfId="4" applyFont="1" applyFill="1" applyBorder="1"/>
    <xf numFmtId="41" fontId="6" fillId="7" borderId="0" xfId="4" applyFont="1" applyFill="1" applyBorder="1" applyAlignment="1">
      <alignment horizontal="center"/>
    </xf>
    <xf numFmtId="41" fontId="13" fillId="10" borderId="0" xfId="4" applyFont="1" applyFill="1" applyAlignment="1">
      <alignment horizontal="left" vertical="center"/>
    </xf>
    <xf numFmtId="0" fontId="6" fillId="6" borderId="0" xfId="8" applyFont="1" applyFill="1" applyBorder="1" applyAlignment="1">
      <alignment horizontal="center" vertical="center"/>
    </xf>
    <xf numFmtId="0" fontId="3" fillId="10" borderId="0" xfId="8" applyFont="1" applyFill="1" applyBorder="1" applyAlignment="1">
      <alignment vertical="center"/>
    </xf>
    <xf numFmtId="3" fontId="8" fillId="10" borderId="0" xfId="8" applyNumberFormat="1" applyFont="1" applyFill="1"/>
    <xf numFmtId="41" fontId="6" fillId="10" borderId="0" xfId="4" applyFont="1" applyFill="1" applyAlignment="1"/>
    <xf numFmtId="0" fontId="8" fillId="9" borderId="0" xfId="8" applyFont="1" applyFill="1" applyAlignment="1">
      <alignment horizontal="center"/>
    </xf>
    <xf numFmtId="41" fontId="9" fillId="7" borderId="0" xfId="4" applyFont="1" applyFill="1" applyAlignment="1">
      <alignment horizontal="center"/>
    </xf>
    <xf numFmtId="41" fontId="9" fillId="10" borderId="0" xfId="4" applyFont="1" applyFill="1" applyAlignment="1">
      <alignment horizontal="center"/>
    </xf>
    <xf numFmtId="41" fontId="9" fillId="10" borderId="0" xfId="4" applyFont="1" applyFill="1" applyAlignment="1"/>
    <xf numFmtId="41" fontId="3" fillId="10" borderId="0" xfId="4" applyFont="1" applyFill="1" applyAlignment="1">
      <alignment horizontal="left"/>
    </xf>
    <xf numFmtId="41" fontId="6" fillId="17" borderId="0" xfId="4" applyFont="1" applyFill="1" applyAlignment="1">
      <alignment vertical="center"/>
    </xf>
    <xf numFmtId="10" fontId="6" fillId="17" borderId="0" xfId="15" applyNumberFormat="1" applyFont="1" applyFill="1" applyAlignment="1">
      <alignment vertical="center"/>
    </xf>
    <xf numFmtId="164" fontId="9" fillId="7" borderId="0" xfId="6" applyNumberFormat="1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Border="1" applyAlignment="1">
      <alignment horizontal="center"/>
    </xf>
    <xf numFmtId="0" fontId="13" fillId="10" borderId="0" xfId="8" applyFont="1" applyFill="1" applyAlignment="1">
      <alignment vertical="center"/>
    </xf>
    <xf numFmtId="41" fontId="3" fillId="10" borderId="0" xfId="4" applyFont="1" applyFill="1" applyAlignment="1">
      <alignment horizontal="left" vertical="center"/>
    </xf>
    <xf numFmtId="0" fontId="8" fillId="10" borderId="0" xfId="8" applyFont="1" applyFill="1"/>
    <xf numFmtId="0" fontId="8" fillId="10" borderId="0" xfId="8" applyFont="1" applyFill="1" applyBorder="1" applyAlignment="1">
      <alignment horizontal="center"/>
    </xf>
    <xf numFmtId="0" fontId="8" fillId="16" borderId="0" xfId="8" applyFont="1" applyFill="1" applyAlignment="1">
      <alignment horizontal="center"/>
    </xf>
    <xf numFmtId="41" fontId="6" fillId="7" borderId="0" xfId="4" applyFont="1" applyFill="1" applyAlignment="1">
      <alignment horizontal="center"/>
    </xf>
    <xf numFmtId="41" fontId="6" fillId="10" borderId="0" xfId="4" applyFont="1" applyFill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6" fillId="16" borderId="0" xfId="8" applyFont="1" applyFill="1" applyAlignment="1">
      <alignment horizontal="center" vertical="center"/>
    </xf>
    <xf numFmtId="0" fontId="6" fillId="16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1" fontId="6" fillId="0" borderId="0" xfId="2" applyFont="1" applyAlignment="1">
      <alignment horizontal="right"/>
    </xf>
    <xf numFmtId="41" fontId="6" fillId="0" borderId="0" xfId="2" applyFont="1"/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6" fillId="0" borderId="0" xfId="8" applyFont="1" applyAlignment="1">
      <alignment vertical="center"/>
    </xf>
    <xf numFmtId="0" fontId="6" fillId="5" borderId="0" xfId="8" applyFont="1" applyFill="1" applyAlignment="1">
      <alignment vertical="center"/>
    </xf>
    <xf numFmtId="0" fontId="6" fillId="16" borderId="0" xfId="8" applyFont="1" applyFill="1" applyAlignment="1">
      <alignment vertical="center"/>
    </xf>
    <xf numFmtId="164" fontId="6" fillId="0" borderId="0" xfId="8" applyNumberFormat="1" applyFont="1" applyAlignment="1">
      <alignment vertical="center"/>
    </xf>
    <xf numFmtId="164" fontId="6" fillId="16" borderId="0" xfId="0" applyNumberFormat="1" applyFont="1" applyFill="1" applyAlignment="1">
      <alignment vertical="center"/>
    </xf>
    <xf numFmtId="41" fontId="6" fillId="16" borderId="0" xfId="0" applyNumberFormat="1" applyFont="1" applyFill="1" applyAlignment="1">
      <alignment horizontal="center" vertical="center"/>
    </xf>
    <xf numFmtId="41" fontId="6" fillId="17" borderId="0" xfId="0" applyNumberFormat="1" applyFont="1" applyFill="1" applyAlignment="1">
      <alignment horizontal="center" vertical="center"/>
    </xf>
    <xf numFmtId="9" fontId="6" fillId="14" borderId="0" xfId="0" applyNumberFormat="1" applyFont="1" applyFill="1" applyAlignment="1">
      <alignment horizontal="center" vertical="center"/>
    </xf>
    <xf numFmtId="164" fontId="6" fillId="17" borderId="0" xfId="1" applyNumberFormat="1" applyFont="1" applyFill="1" applyAlignment="1">
      <alignment horizontal="center" vertical="center"/>
    </xf>
    <xf numFmtId="41" fontId="6" fillId="12" borderId="0" xfId="0" applyNumberFormat="1" applyFont="1" applyFill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164" fontId="6" fillId="14" borderId="0" xfId="1" applyNumberFormat="1" applyFont="1" applyFill="1" applyAlignment="1">
      <alignment horizontal="center" vertical="center"/>
    </xf>
    <xf numFmtId="164" fontId="6" fillId="12" borderId="0" xfId="1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164" fontId="6" fillId="17" borderId="0" xfId="0" applyNumberFormat="1" applyFont="1" applyFill="1" applyAlignment="1">
      <alignment vertical="center"/>
    </xf>
    <xf numFmtId="41" fontId="6" fillId="15" borderId="0" xfId="0" applyNumberFormat="1" applyFont="1" applyFill="1" applyAlignment="1">
      <alignment horizontal="center" vertical="center"/>
    </xf>
    <xf numFmtId="41" fontId="6" fillId="6" borderId="0" xfId="0" applyNumberFormat="1" applyFont="1" applyFill="1" applyAlignment="1">
      <alignment horizontal="center" vertical="center"/>
    </xf>
    <xf numFmtId="164" fontId="6" fillId="16" borderId="0" xfId="1" applyNumberFormat="1" applyFont="1" applyFill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right"/>
    </xf>
    <xf numFmtId="15" fontId="6" fillId="5" borderId="0" xfId="0" applyNumberFormat="1" applyFont="1" applyFill="1" applyAlignment="1">
      <alignment vertical="center"/>
    </xf>
    <xf numFmtId="15" fontId="6" fillId="5" borderId="0" xfId="8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15" fontId="6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5" fontId="6" fillId="5" borderId="0" xfId="0" applyNumberFormat="1" applyFont="1" applyFill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/>
    </xf>
    <xf numFmtId="15" fontId="6" fillId="5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 vertical="center"/>
    </xf>
    <xf numFmtId="41" fontId="6" fillId="0" borderId="0" xfId="2" applyFont="1" applyAlignment="1">
      <alignment horizontal="center"/>
    </xf>
    <xf numFmtId="0" fontId="6" fillId="0" borderId="0" xfId="8" applyFont="1" applyFill="1" applyAlignment="1">
      <alignment vertical="center"/>
    </xf>
    <xf numFmtId="15" fontId="6" fillId="0" borderId="0" xfId="8" applyNumberFormat="1" applyFont="1" applyFill="1" applyAlignment="1">
      <alignment vertical="center"/>
    </xf>
    <xf numFmtId="3" fontId="0" fillId="16" borderId="0" xfId="0" applyNumberFormat="1" applyFill="1" applyAlignment="1">
      <alignment horizontal="center" vertical="center"/>
    </xf>
    <xf numFmtId="0" fontId="2" fillId="16" borderId="0" xfId="8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16" borderId="0" xfId="8" applyFont="1" applyFill="1" applyAlignment="1">
      <alignment horizontal="center" vertical="center"/>
    </xf>
    <xf numFmtId="0" fontId="0" fillId="16" borderId="0" xfId="0" applyFont="1" applyFill="1" applyAlignment="1">
      <alignment horizontal="center" vertical="center"/>
    </xf>
  </cellXfs>
  <cellStyles count="16">
    <cellStyle name="Comma" xfId="1" builtinId="3"/>
    <cellStyle name="Comma [0]" xfId="2" builtinId="6"/>
    <cellStyle name="Comma [0] 2" xfId="4"/>
    <cellStyle name="Comma [0] 4" xfId="5"/>
    <cellStyle name="Comma 2" xfId="6"/>
    <cellStyle name="Comm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Percent" xfId="3" builtinId="5"/>
    <cellStyle name="Percent 2" xfId="15"/>
  </cellStyles>
  <dxfs count="1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%20PERTAM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 BARU"/>
      <sheetName val="PEMBAYARAN INFICLO"/>
      <sheetName val="PEMBAYARAN BLACKKELLY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I103"/>
  <sheetViews>
    <sheetView topLeftCell="D1" workbookViewId="0">
      <pane ySplit="3" topLeftCell="A4" activePane="bottomLeft" state="frozen"/>
      <selection pane="bottomLeft" activeCell="G100" sqref="G100"/>
    </sheetView>
  </sheetViews>
  <sheetFormatPr defaultRowHeight="12.75" x14ac:dyDescent="0.2"/>
  <cols>
    <col min="1" max="1" width="9.140625" style="214"/>
    <col min="2" max="2" width="0" style="214" hidden="1" customWidth="1"/>
    <col min="3" max="3" width="8.28515625" style="214" hidden="1" customWidth="1"/>
    <col min="4" max="4" width="8.28515625" style="214" customWidth="1"/>
    <col min="5" max="5" width="6.7109375" style="214" hidden="1" customWidth="1"/>
    <col min="6" max="6" width="9.140625" style="214" customWidth="1"/>
    <col min="7" max="7" width="28.5703125" style="214" customWidth="1"/>
    <col min="8" max="8" width="28" style="214" bestFit="1" customWidth="1"/>
    <col min="9" max="9" width="11.28515625" style="215" hidden="1" customWidth="1"/>
    <col min="10" max="10" width="0" style="215" hidden="1" customWidth="1"/>
    <col min="11" max="11" width="12.85546875" style="215" hidden="1" customWidth="1"/>
    <col min="12" max="14" width="9.140625" style="215"/>
    <col min="15" max="18" width="0" style="214" hidden="1" customWidth="1"/>
    <col min="19" max="19" width="36.28515625" style="215" hidden="1" customWidth="1"/>
    <col min="20" max="20" width="64.28515625" style="214" hidden="1" customWidth="1"/>
    <col min="21" max="21" width="0" style="215" hidden="1" customWidth="1"/>
    <col min="22" max="27" width="0" style="216" hidden="1" customWidth="1"/>
    <col min="28" max="79" width="0" style="215" hidden="1" customWidth="1"/>
    <col min="80" max="80" width="16.5703125" style="215" bestFit="1" customWidth="1"/>
    <col min="81" max="81" width="13.85546875" style="215" bestFit="1" customWidth="1"/>
    <col min="82" max="82" width="14.7109375" style="215" bestFit="1" customWidth="1"/>
    <col min="83" max="83" width="11.5703125" style="215" bestFit="1" customWidth="1"/>
    <col min="84" max="85" width="9.140625" style="215"/>
    <col min="86" max="86" width="15.42578125" style="215" bestFit="1" customWidth="1"/>
    <col min="87" max="16384" width="9.140625" style="215"/>
  </cols>
  <sheetData>
    <row r="1" spans="1:87" s="97" customFormat="1" ht="15" x14ac:dyDescent="0.25">
      <c r="A1" s="96"/>
      <c r="B1" s="96"/>
      <c r="C1" s="96"/>
      <c r="D1" s="96"/>
      <c r="E1" s="96"/>
      <c r="F1" s="96"/>
      <c r="G1" s="96"/>
      <c r="H1" s="96"/>
      <c r="O1" s="96"/>
      <c r="P1" s="96"/>
      <c r="Q1" s="96"/>
      <c r="R1" s="96"/>
      <c r="T1" s="98"/>
      <c r="V1" s="99"/>
      <c r="W1" s="99"/>
      <c r="X1" s="99"/>
      <c r="Y1" s="99"/>
      <c r="Z1" s="99"/>
      <c r="AA1" s="9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231"/>
      <c r="CC1" s="232"/>
      <c r="CD1" s="1"/>
      <c r="CE1" s="1"/>
    </row>
    <row r="2" spans="1:87" s="97" customFormat="1" ht="15" x14ac:dyDescent="0.25">
      <c r="A2" s="7" t="s">
        <v>1174</v>
      </c>
      <c r="B2" s="96"/>
      <c r="C2" s="100"/>
      <c r="D2" s="96"/>
      <c r="E2" s="96"/>
      <c r="F2" s="96"/>
      <c r="G2" s="96"/>
      <c r="H2" s="96"/>
      <c r="L2" s="237"/>
      <c r="M2" s="237"/>
      <c r="N2" s="237"/>
      <c r="O2" s="7"/>
      <c r="P2" s="171"/>
      <c r="Q2" s="171"/>
      <c r="R2" s="171"/>
      <c r="S2" s="172"/>
      <c r="T2" s="171"/>
      <c r="U2" s="172"/>
      <c r="V2" s="173"/>
      <c r="W2" s="173"/>
      <c r="X2" s="173"/>
      <c r="Y2" s="173"/>
      <c r="Z2" s="173"/>
      <c r="AA2" s="173"/>
      <c r="AB2" s="172"/>
      <c r="AC2" s="172"/>
      <c r="AD2" s="172"/>
      <c r="AE2" s="172"/>
      <c r="AF2" s="10"/>
      <c r="AG2" s="10"/>
      <c r="AH2" s="10"/>
      <c r="AI2" s="10"/>
      <c r="AJ2" s="235" t="s">
        <v>0</v>
      </c>
      <c r="AK2" s="235"/>
      <c r="AL2" s="235"/>
      <c r="AM2" s="235"/>
      <c r="AN2" s="236" t="s">
        <v>1</v>
      </c>
      <c r="AO2" s="236"/>
      <c r="AP2" s="236"/>
      <c r="AQ2" s="236"/>
      <c r="AR2" s="235" t="s">
        <v>2</v>
      </c>
      <c r="AS2" s="235"/>
      <c r="AT2" s="235"/>
      <c r="AU2" s="235"/>
      <c r="AV2" s="11"/>
      <c r="AW2" s="236" t="s">
        <v>3</v>
      </c>
      <c r="AX2" s="236"/>
      <c r="AY2" s="236"/>
      <c r="AZ2" s="235" t="s">
        <v>4</v>
      </c>
      <c r="BA2" s="235"/>
      <c r="BB2" s="235"/>
      <c r="BC2" s="12"/>
      <c r="BD2" s="235" t="s">
        <v>5</v>
      </c>
      <c r="BE2" s="235"/>
      <c r="BF2" s="235"/>
      <c r="BG2" s="236" t="s">
        <v>6</v>
      </c>
      <c r="BH2" s="236"/>
      <c r="BI2" s="236"/>
      <c r="BJ2" s="236"/>
      <c r="BK2" s="235" t="s">
        <v>7</v>
      </c>
      <c r="BL2" s="235"/>
      <c r="BM2" s="235"/>
      <c r="BN2" s="235"/>
      <c r="BO2" s="236" t="s">
        <v>8</v>
      </c>
      <c r="BP2" s="236"/>
      <c r="BQ2" s="236"/>
      <c r="BR2" s="236"/>
      <c r="BS2" s="235" t="s">
        <v>9</v>
      </c>
      <c r="BT2" s="235"/>
      <c r="BU2" s="235"/>
      <c r="BV2" s="235"/>
      <c r="BW2" s="236" t="s">
        <v>10</v>
      </c>
      <c r="BX2" s="236"/>
      <c r="BY2" s="236"/>
      <c r="BZ2" s="236"/>
      <c r="CA2" s="174"/>
      <c r="CB2" s="238" t="s">
        <v>1169</v>
      </c>
      <c r="CC2" s="238"/>
      <c r="CD2" s="238"/>
      <c r="CE2" s="238"/>
      <c r="CF2" s="234" t="s">
        <v>1168</v>
      </c>
      <c r="CG2" s="234"/>
      <c r="CH2" s="234"/>
      <c r="CI2" s="234"/>
    </row>
    <row r="3" spans="1:87" s="109" customFormat="1" ht="21.6" customHeight="1" x14ac:dyDescent="0.25">
      <c r="A3" s="101" t="s">
        <v>11</v>
      </c>
      <c r="B3" s="101" t="s">
        <v>14</v>
      </c>
      <c r="C3" s="101" t="s">
        <v>12</v>
      </c>
      <c r="D3" s="101" t="s">
        <v>13</v>
      </c>
      <c r="E3" s="101">
        <f>SUM(E4:E423)</f>
        <v>0</v>
      </c>
      <c r="F3" s="102" t="s">
        <v>16</v>
      </c>
      <c r="G3" s="101" t="s">
        <v>17</v>
      </c>
      <c r="H3" s="101" t="s">
        <v>18</v>
      </c>
      <c r="I3" s="101" t="s">
        <v>19</v>
      </c>
      <c r="J3" s="101" t="s">
        <v>20</v>
      </c>
      <c r="K3" s="101" t="s">
        <v>21</v>
      </c>
      <c r="L3" s="101" t="s">
        <v>22</v>
      </c>
      <c r="M3" s="101" t="s">
        <v>23</v>
      </c>
      <c r="N3" s="101" t="s">
        <v>24</v>
      </c>
      <c r="O3" s="101" t="s">
        <v>11</v>
      </c>
      <c r="P3" s="101" t="s">
        <v>14</v>
      </c>
      <c r="Q3" s="101" t="s">
        <v>25</v>
      </c>
      <c r="R3" s="101" t="s">
        <v>25</v>
      </c>
      <c r="S3" s="103" t="s">
        <v>26</v>
      </c>
      <c r="T3" s="101" t="s">
        <v>23</v>
      </c>
      <c r="U3" s="104" t="s">
        <v>27</v>
      </c>
      <c r="V3" s="105" t="s">
        <v>28</v>
      </c>
      <c r="W3" s="105" t="s">
        <v>29</v>
      </c>
      <c r="X3" s="106" t="s">
        <v>30</v>
      </c>
      <c r="Y3" s="106" t="s">
        <v>31</v>
      </c>
      <c r="Z3" s="106" t="s">
        <v>32</v>
      </c>
      <c r="AA3" s="107" t="s">
        <v>33</v>
      </c>
      <c r="AB3" s="108" t="s">
        <v>34</v>
      </c>
      <c r="AC3" s="108" t="s">
        <v>35</v>
      </c>
      <c r="AD3" s="108"/>
      <c r="AF3" s="17" t="s">
        <v>36</v>
      </c>
      <c r="AG3" s="18" t="s">
        <v>37</v>
      </c>
      <c r="AH3" s="18" t="s">
        <v>38</v>
      </c>
      <c r="AI3" s="19" t="s">
        <v>39</v>
      </c>
      <c r="AJ3" s="20" t="s">
        <v>40</v>
      </c>
      <c r="AK3" s="21" t="s">
        <v>41</v>
      </c>
      <c r="AL3" s="22" t="s">
        <v>42</v>
      </c>
      <c r="AM3" s="22" t="s">
        <v>43</v>
      </c>
      <c r="AN3" s="23" t="s">
        <v>44</v>
      </c>
      <c r="AO3" s="24" t="s">
        <v>45</v>
      </c>
      <c r="AP3" s="25" t="s">
        <v>46</v>
      </c>
      <c r="AQ3" s="25" t="s">
        <v>47</v>
      </c>
      <c r="AR3" s="26" t="s">
        <v>48</v>
      </c>
      <c r="AS3" s="21" t="s">
        <v>49</v>
      </c>
      <c r="AT3" s="22" t="s">
        <v>50</v>
      </c>
      <c r="AU3" s="26" t="s">
        <v>51</v>
      </c>
      <c r="AV3" s="23" t="s">
        <v>52</v>
      </c>
      <c r="AW3" s="24" t="s">
        <v>53</v>
      </c>
      <c r="AX3" s="25" t="s">
        <v>54</v>
      </c>
      <c r="AY3" s="25" t="s">
        <v>55</v>
      </c>
      <c r="AZ3" s="27" t="s">
        <v>56</v>
      </c>
      <c r="BA3" s="28" t="s">
        <v>57</v>
      </c>
      <c r="BB3" s="28" t="s">
        <v>58</v>
      </c>
      <c r="BC3" s="26" t="s">
        <v>59</v>
      </c>
      <c r="BD3" s="21" t="s">
        <v>60</v>
      </c>
      <c r="BE3" s="22" t="s">
        <v>61</v>
      </c>
      <c r="BF3" s="22" t="s">
        <v>62</v>
      </c>
      <c r="BG3" s="23" t="s">
        <v>63</v>
      </c>
      <c r="BH3" s="24" t="s">
        <v>64</v>
      </c>
      <c r="BI3" s="25" t="s">
        <v>65</v>
      </c>
      <c r="BJ3" s="25" t="s">
        <v>66</v>
      </c>
      <c r="BK3" s="26" t="s">
        <v>67</v>
      </c>
      <c r="BL3" s="21" t="s">
        <v>68</v>
      </c>
      <c r="BM3" s="22" t="s">
        <v>69</v>
      </c>
      <c r="BN3" s="22" t="s">
        <v>70</v>
      </c>
      <c r="BO3" s="23" t="s">
        <v>71</v>
      </c>
      <c r="BP3" s="24" t="s">
        <v>72</v>
      </c>
      <c r="BQ3" s="25" t="s">
        <v>73</v>
      </c>
      <c r="BR3" s="25" t="s">
        <v>74</v>
      </c>
      <c r="BS3" s="26" t="s">
        <v>75</v>
      </c>
      <c r="BT3" s="21" t="s">
        <v>76</v>
      </c>
      <c r="BU3" s="22" t="s">
        <v>77</v>
      </c>
      <c r="BV3" s="22" t="s">
        <v>78</v>
      </c>
      <c r="BW3" s="23" t="s">
        <v>79</v>
      </c>
      <c r="BX3" s="24" t="s">
        <v>80</v>
      </c>
      <c r="BY3" s="25" t="s">
        <v>81</v>
      </c>
      <c r="BZ3" s="25" t="s">
        <v>82</v>
      </c>
      <c r="CA3" s="29" t="s">
        <v>83</v>
      </c>
      <c r="CB3" s="177" t="s">
        <v>1170</v>
      </c>
      <c r="CC3" s="177" t="s">
        <v>1172</v>
      </c>
      <c r="CD3" s="177" t="s">
        <v>1171</v>
      </c>
      <c r="CE3" s="177" t="s">
        <v>1173</v>
      </c>
      <c r="CF3" s="175" t="s">
        <v>22</v>
      </c>
      <c r="CG3" s="175" t="s">
        <v>23</v>
      </c>
      <c r="CH3" s="175" t="s">
        <v>1789</v>
      </c>
      <c r="CI3" s="175" t="s">
        <v>24</v>
      </c>
    </row>
    <row r="4" spans="1:87" s="194" customFormat="1" ht="14.45" hidden="1" customHeight="1" x14ac:dyDescent="0.2">
      <c r="A4" s="110">
        <v>421</v>
      </c>
      <c r="B4" s="111" t="s">
        <v>1007</v>
      </c>
      <c r="C4" s="110" t="str">
        <f t="shared" ref="C4:C67" si="0">REPLACE(B4,1,3, )</f>
        <v xml:space="preserve"> 821</v>
      </c>
      <c r="D4" s="112" t="s">
        <v>1007</v>
      </c>
      <c r="E4" s="110">
        <f>IF(B4=D4,0,1)</f>
        <v>0</v>
      </c>
      <c r="F4" s="113" t="s">
        <v>91</v>
      </c>
      <c r="G4" s="113" t="s">
        <v>1008</v>
      </c>
      <c r="H4" s="113" t="s">
        <v>473</v>
      </c>
      <c r="I4" s="114">
        <v>97000</v>
      </c>
      <c r="J4" s="115">
        <f t="shared" ref="J4:J37" si="1">I4-L4</f>
        <v>7150</v>
      </c>
      <c r="K4" s="110" t="s">
        <v>94</v>
      </c>
      <c r="L4" s="116">
        <f t="shared" ref="L4:L14" si="2">I4-M4</f>
        <v>89850</v>
      </c>
      <c r="M4" s="114">
        <v>7150</v>
      </c>
      <c r="N4" s="117">
        <f t="shared" ref="N4:N41" si="3">L4+M4</f>
        <v>97000</v>
      </c>
      <c r="O4" s="110">
        <v>421</v>
      </c>
      <c r="P4" s="111" t="s">
        <v>1007</v>
      </c>
      <c r="Q4" s="111">
        <v>97000</v>
      </c>
      <c r="R4" s="118">
        <f>N4-Q4</f>
        <v>0</v>
      </c>
      <c r="S4" s="119"/>
      <c r="T4" s="116" t="s">
        <v>1009</v>
      </c>
      <c r="U4" s="120"/>
      <c r="V4" s="121">
        <f t="shared" ref="V4:V67" si="4">U4+N4</f>
        <v>97000</v>
      </c>
      <c r="W4" s="121">
        <f t="shared" ref="W4:W67" si="5">V4/0.7</f>
        <v>138571.42857142858</v>
      </c>
      <c r="X4" s="122">
        <f t="shared" ref="X4:X67" si="6">W4/0.875</f>
        <v>158367.34693877553</v>
      </c>
      <c r="Y4" s="123">
        <f t="shared" ref="Y4:Y67" si="7">(X4-W4)/X4</f>
        <v>0.12500000000000006</v>
      </c>
      <c r="Z4" s="122">
        <f t="shared" ref="Z4:Z67" si="8">(ROUNDUP((X4/100),0))*100</f>
        <v>158400</v>
      </c>
      <c r="AA4" s="124">
        <f t="shared" ref="AA4:AA22" si="9">(W4-N4)/W4</f>
        <v>0.30000000000000004</v>
      </c>
      <c r="AB4" s="125"/>
      <c r="AC4" s="125"/>
      <c r="AD4" s="126"/>
      <c r="CB4" s="195"/>
      <c r="CC4" s="195"/>
      <c r="CD4" s="195"/>
      <c r="CE4" s="195"/>
      <c r="CF4" s="196"/>
      <c r="CG4" s="196"/>
      <c r="CH4" s="196"/>
      <c r="CI4" s="196"/>
    </row>
    <row r="5" spans="1:87" s="194" customFormat="1" ht="14.45" hidden="1" customHeight="1" x14ac:dyDescent="0.2">
      <c r="A5" s="127">
        <v>422</v>
      </c>
      <c r="B5" s="127" t="s">
        <v>1010</v>
      </c>
      <c r="C5" s="110" t="str">
        <f t="shared" si="0"/>
        <v xml:space="preserve"> 953</v>
      </c>
      <c r="D5" s="112" t="s">
        <v>1010</v>
      </c>
      <c r="E5" s="110">
        <f>IF(B5=D5,0,1)</f>
        <v>0</v>
      </c>
      <c r="F5" s="113" t="s">
        <v>1011</v>
      </c>
      <c r="G5" s="113" t="s">
        <v>1008</v>
      </c>
      <c r="H5" s="113" t="s">
        <v>374</v>
      </c>
      <c r="I5" s="128">
        <v>100000</v>
      </c>
      <c r="J5" s="129">
        <v>7500</v>
      </c>
      <c r="K5" s="130" t="s">
        <v>94</v>
      </c>
      <c r="L5" s="131">
        <v>92500</v>
      </c>
      <c r="M5" s="132">
        <v>7500</v>
      </c>
      <c r="N5" s="133">
        <v>100000</v>
      </c>
      <c r="O5" s="127">
        <v>422</v>
      </c>
      <c r="P5" s="127" t="s">
        <v>1010</v>
      </c>
      <c r="Q5" s="127">
        <v>100000</v>
      </c>
      <c r="R5" s="118">
        <f>N5-Q5</f>
        <v>0</v>
      </c>
      <c r="S5" s="119"/>
      <c r="T5" s="127"/>
      <c r="U5" s="120"/>
      <c r="V5" s="121">
        <f t="shared" si="4"/>
        <v>100000</v>
      </c>
      <c r="W5" s="121">
        <f t="shared" si="5"/>
        <v>142857.14285714287</v>
      </c>
      <c r="X5" s="122">
        <f t="shared" si="6"/>
        <v>163265.30612244899</v>
      </c>
      <c r="Y5" s="123">
        <f t="shared" si="7"/>
        <v>0.125</v>
      </c>
      <c r="Z5" s="122">
        <f t="shared" si="8"/>
        <v>163300</v>
      </c>
      <c r="AA5" s="124">
        <f t="shared" si="9"/>
        <v>0.30000000000000004</v>
      </c>
      <c r="AB5" s="134">
        <v>147175</v>
      </c>
      <c r="AC5" s="135">
        <f>W5-AB5</f>
        <v>-4317.8571428571304</v>
      </c>
      <c r="AD5" s="136">
        <f>AC5/AB5</f>
        <v>-2.9338251352859727E-2</v>
      </c>
      <c r="CB5" s="195"/>
      <c r="CC5" s="195"/>
      <c r="CD5" s="195"/>
      <c r="CE5" s="195"/>
      <c r="CF5" s="196"/>
      <c r="CG5" s="196"/>
      <c r="CH5" s="196"/>
      <c r="CI5" s="196"/>
    </row>
    <row r="6" spans="1:87" s="194" customFormat="1" ht="14.45" hidden="1" customHeight="1" x14ac:dyDescent="0.2">
      <c r="A6" s="110">
        <v>423</v>
      </c>
      <c r="B6" s="111" t="s">
        <v>1012</v>
      </c>
      <c r="C6" s="110" t="str">
        <f t="shared" si="0"/>
        <v xml:space="preserve"> 661</v>
      </c>
      <c r="D6" s="112" t="s">
        <v>1012</v>
      </c>
      <c r="E6" s="110">
        <f t="shared" ref="E6:E69" si="10">IF(B6=D6,0,1)</f>
        <v>0</v>
      </c>
      <c r="F6" s="113" t="s">
        <v>91</v>
      </c>
      <c r="G6" s="113" t="s">
        <v>1008</v>
      </c>
      <c r="H6" s="113" t="s">
        <v>473</v>
      </c>
      <c r="I6" s="137">
        <v>85000</v>
      </c>
      <c r="J6" s="115">
        <f t="shared" si="1"/>
        <v>7150</v>
      </c>
      <c r="K6" s="110" t="s">
        <v>94</v>
      </c>
      <c r="L6" s="116">
        <f t="shared" si="2"/>
        <v>77850</v>
      </c>
      <c r="M6" s="116">
        <v>7150</v>
      </c>
      <c r="N6" s="117">
        <f t="shared" si="3"/>
        <v>85000</v>
      </c>
      <c r="O6" s="110">
        <v>423</v>
      </c>
      <c r="P6" s="111" t="s">
        <v>1012</v>
      </c>
      <c r="Q6" s="111">
        <v>85000</v>
      </c>
      <c r="R6" s="118">
        <f>N6-Q6</f>
        <v>0</v>
      </c>
      <c r="S6" s="119"/>
      <c r="T6" s="116" t="s">
        <v>1009</v>
      </c>
      <c r="U6" s="120"/>
      <c r="V6" s="121">
        <f t="shared" si="4"/>
        <v>85000</v>
      </c>
      <c r="W6" s="121">
        <f t="shared" si="5"/>
        <v>121428.57142857143</v>
      </c>
      <c r="X6" s="122">
        <f t="shared" si="6"/>
        <v>138775.51020408163</v>
      </c>
      <c r="Y6" s="123">
        <f t="shared" si="7"/>
        <v>0.12499999999999992</v>
      </c>
      <c r="Z6" s="122">
        <f t="shared" si="8"/>
        <v>138800</v>
      </c>
      <c r="AA6" s="124">
        <f t="shared" si="9"/>
        <v>0.30000000000000004</v>
      </c>
      <c r="AB6" s="125"/>
      <c r="AC6" s="125"/>
      <c r="AD6" s="126"/>
      <c r="CB6" s="195"/>
      <c r="CC6" s="195"/>
      <c r="CD6" s="195"/>
      <c r="CE6" s="195"/>
      <c r="CF6" s="196"/>
      <c r="CG6" s="196"/>
      <c r="CH6" s="196"/>
      <c r="CI6" s="196"/>
    </row>
    <row r="7" spans="1:87" s="194" customFormat="1" ht="14.45" customHeight="1" x14ac:dyDescent="0.2">
      <c r="A7" s="110">
        <v>424</v>
      </c>
      <c r="B7" s="111" t="s">
        <v>1013</v>
      </c>
      <c r="C7" s="110" t="str">
        <f t="shared" si="0"/>
        <v xml:space="preserve"> 782</v>
      </c>
      <c r="D7" s="112" t="s">
        <v>1013</v>
      </c>
      <c r="E7" s="110">
        <f t="shared" si="10"/>
        <v>0</v>
      </c>
      <c r="F7" s="113" t="s">
        <v>91</v>
      </c>
      <c r="G7" s="113" t="s">
        <v>1008</v>
      </c>
      <c r="H7" s="113" t="s">
        <v>473</v>
      </c>
      <c r="I7" s="137">
        <v>80000</v>
      </c>
      <c r="J7" s="115">
        <f t="shared" si="1"/>
        <v>7150</v>
      </c>
      <c r="K7" s="110" t="s">
        <v>94</v>
      </c>
      <c r="L7" s="116">
        <f t="shared" si="2"/>
        <v>72850</v>
      </c>
      <c r="M7" s="138">
        <v>7150</v>
      </c>
      <c r="N7" s="117">
        <f t="shared" si="3"/>
        <v>80000</v>
      </c>
      <c r="O7" s="110">
        <v>424</v>
      </c>
      <c r="P7" s="111" t="s">
        <v>1013</v>
      </c>
      <c r="Q7" s="111">
        <v>80000</v>
      </c>
      <c r="R7" s="118">
        <f>N7-Q7</f>
        <v>0</v>
      </c>
      <c r="S7" s="119"/>
      <c r="T7" s="116" t="s">
        <v>1009</v>
      </c>
      <c r="U7" s="120"/>
      <c r="V7" s="121">
        <f t="shared" si="4"/>
        <v>80000</v>
      </c>
      <c r="W7" s="121">
        <f t="shared" si="5"/>
        <v>114285.71428571429</v>
      </c>
      <c r="X7" s="122">
        <f t="shared" si="6"/>
        <v>130612.24489795919</v>
      </c>
      <c r="Y7" s="123">
        <f t="shared" si="7"/>
        <v>0.12499999999999999</v>
      </c>
      <c r="Z7" s="122">
        <f t="shared" si="8"/>
        <v>130700</v>
      </c>
      <c r="AA7" s="124">
        <f t="shared" si="9"/>
        <v>0.30000000000000004</v>
      </c>
      <c r="AB7" s="125"/>
      <c r="AC7" s="125"/>
      <c r="AD7" s="126"/>
      <c r="CB7" s="195" t="s">
        <v>1780</v>
      </c>
      <c r="CC7" s="218">
        <v>43420</v>
      </c>
      <c r="CD7" s="195" t="s">
        <v>1780</v>
      </c>
      <c r="CE7" s="218">
        <v>43433</v>
      </c>
      <c r="CF7" s="196">
        <v>72950</v>
      </c>
      <c r="CG7" s="233" t="s">
        <v>1785</v>
      </c>
      <c r="CH7" s="233">
        <v>7050</v>
      </c>
      <c r="CI7" s="233">
        <v>80000</v>
      </c>
    </row>
    <row r="8" spans="1:87" s="194" customFormat="1" ht="14.45" hidden="1" customHeight="1" x14ac:dyDescent="0.2">
      <c r="A8" s="127">
        <v>425</v>
      </c>
      <c r="B8" s="127" t="s">
        <v>1014</v>
      </c>
      <c r="C8" s="110" t="str">
        <f t="shared" si="0"/>
        <v xml:space="preserve"> 713</v>
      </c>
      <c r="D8" s="112" t="s">
        <v>1014</v>
      </c>
      <c r="E8" s="110">
        <f t="shared" si="10"/>
        <v>0</v>
      </c>
      <c r="F8" s="113" t="s">
        <v>1011</v>
      </c>
      <c r="G8" s="113" t="s">
        <v>1008</v>
      </c>
      <c r="H8" s="113" t="s">
        <v>1015</v>
      </c>
      <c r="I8" s="128">
        <v>75000</v>
      </c>
      <c r="J8" s="139">
        <v>0</v>
      </c>
      <c r="K8" s="140" t="s">
        <v>97</v>
      </c>
      <c r="L8" s="141">
        <v>75000</v>
      </c>
      <c r="M8" s="132">
        <v>7050</v>
      </c>
      <c r="N8" s="133">
        <v>82050</v>
      </c>
      <c r="O8" s="127">
        <v>425</v>
      </c>
      <c r="P8" s="127" t="s">
        <v>1014</v>
      </c>
      <c r="Q8" s="127">
        <v>82050</v>
      </c>
      <c r="R8" s="118">
        <f>N8-Q8</f>
        <v>0</v>
      </c>
      <c r="S8" s="119"/>
      <c r="T8" s="127"/>
      <c r="U8" s="120"/>
      <c r="V8" s="121">
        <f t="shared" si="4"/>
        <v>82050</v>
      </c>
      <c r="W8" s="121">
        <f t="shared" si="5"/>
        <v>117214.28571428572</v>
      </c>
      <c r="X8" s="122">
        <f t="shared" si="6"/>
        <v>133959.18367346941</v>
      </c>
      <c r="Y8" s="123">
        <f t="shared" si="7"/>
        <v>0.12500000000000006</v>
      </c>
      <c r="Z8" s="122">
        <f t="shared" si="8"/>
        <v>134000</v>
      </c>
      <c r="AA8" s="124">
        <f t="shared" si="9"/>
        <v>0.30000000000000004</v>
      </c>
      <c r="AB8" s="134">
        <v>110075</v>
      </c>
      <c r="AC8" s="135">
        <f t="shared" ref="AC8:AC13" si="11">W8-AB8</f>
        <v>7139.2857142857247</v>
      </c>
      <c r="AD8" s="136">
        <f t="shared" ref="AD8:AD13" si="12">AC8/AB8</f>
        <v>6.4858375782745628E-2</v>
      </c>
      <c r="CB8" s="195"/>
      <c r="CC8" s="195"/>
      <c r="CD8" s="195"/>
      <c r="CE8" s="195"/>
      <c r="CF8" s="196"/>
      <c r="CG8" s="196"/>
      <c r="CH8" s="196"/>
      <c r="CI8" s="196"/>
    </row>
    <row r="9" spans="1:87" s="194" customFormat="1" ht="14.45" hidden="1" customHeight="1" x14ac:dyDescent="0.2">
      <c r="A9" s="127">
        <v>426</v>
      </c>
      <c r="B9" s="127" t="s">
        <v>1016</v>
      </c>
      <c r="C9" s="110" t="str">
        <f t="shared" si="0"/>
        <v xml:space="preserve"> 562</v>
      </c>
      <c r="D9" s="112" t="s">
        <v>1016</v>
      </c>
      <c r="E9" s="110">
        <f t="shared" si="10"/>
        <v>0</v>
      </c>
      <c r="F9" s="113" t="s">
        <v>1011</v>
      </c>
      <c r="G9" s="113" t="s">
        <v>1008</v>
      </c>
      <c r="H9" s="113" t="s">
        <v>1017</v>
      </c>
      <c r="I9" s="128">
        <v>71000</v>
      </c>
      <c r="J9" s="129">
        <v>6800</v>
      </c>
      <c r="K9" s="130" t="s">
        <v>94</v>
      </c>
      <c r="L9" s="131">
        <v>64200</v>
      </c>
      <c r="M9" s="132">
        <v>6800</v>
      </c>
      <c r="N9" s="133">
        <v>71000</v>
      </c>
      <c r="O9" s="127">
        <v>426</v>
      </c>
      <c r="P9" s="127" t="s">
        <v>1016</v>
      </c>
      <c r="Q9" s="142"/>
      <c r="R9" s="142"/>
      <c r="S9" s="119"/>
      <c r="T9" s="127"/>
      <c r="U9" s="120"/>
      <c r="V9" s="121">
        <f t="shared" si="4"/>
        <v>71000</v>
      </c>
      <c r="W9" s="121">
        <f t="shared" si="5"/>
        <v>101428.57142857143</v>
      </c>
      <c r="X9" s="122">
        <f t="shared" si="6"/>
        <v>115918.36734693879</v>
      </c>
      <c r="Y9" s="123">
        <f t="shared" si="7"/>
        <v>0.12500000000000003</v>
      </c>
      <c r="Z9" s="122">
        <f t="shared" si="8"/>
        <v>116000</v>
      </c>
      <c r="AA9" s="124">
        <f t="shared" si="9"/>
        <v>0.30000000000000004</v>
      </c>
      <c r="AB9" s="134">
        <v>100800</v>
      </c>
      <c r="AC9" s="135">
        <f t="shared" si="11"/>
        <v>628.57142857143481</v>
      </c>
      <c r="AD9" s="136">
        <f t="shared" si="12"/>
        <v>6.2358276643991548E-3</v>
      </c>
      <c r="CB9" s="195"/>
      <c r="CC9" s="195"/>
      <c r="CD9" s="195"/>
      <c r="CE9" s="195"/>
      <c r="CF9" s="196"/>
      <c r="CG9" s="196"/>
      <c r="CH9" s="196"/>
      <c r="CI9" s="196"/>
    </row>
    <row r="10" spans="1:87" s="194" customFormat="1" ht="14.45" hidden="1" customHeight="1" x14ac:dyDescent="0.2">
      <c r="A10" s="127">
        <v>427</v>
      </c>
      <c r="B10" s="127" t="s">
        <v>1018</v>
      </c>
      <c r="C10" s="110" t="str">
        <f t="shared" si="0"/>
        <v xml:space="preserve"> 554</v>
      </c>
      <c r="D10" s="112" t="s">
        <v>1018</v>
      </c>
      <c r="E10" s="110">
        <f t="shared" si="10"/>
        <v>0</v>
      </c>
      <c r="F10" s="113" t="s">
        <v>1011</v>
      </c>
      <c r="G10" s="113" t="s">
        <v>1008</v>
      </c>
      <c r="H10" s="113" t="s">
        <v>367</v>
      </c>
      <c r="I10" s="137">
        <f>80000+9500</f>
        <v>89500</v>
      </c>
      <c r="J10" s="115">
        <f t="shared" si="1"/>
        <v>7400</v>
      </c>
      <c r="K10" s="110" t="s">
        <v>94</v>
      </c>
      <c r="L10" s="116">
        <f t="shared" si="2"/>
        <v>82100</v>
      </c>
      <c r="M10" s="138">
        <f>2000+200+600+1000+3600</f>
        <v>7400</v>
      </c>
      <c r="N10" s="117">
        <f t="shared" si="3"/>
        <v>89500</v>
      </c>
      <c r="O10" s="127">
        <v>427</v>
      </c>
      <c r="P10" s="127" t="s">
        <v>1018</v>
      </c>
      <c r="Q10" s="127">
        <v>89500</v>
      </c>
      <c r="R10" s="118">
        <f>N10-Q10</f>
        <v>0</v>
      </c>
      <c r="S10" s="119" t="s">
        <v>1019</v>
      </c>
      <c r="T10" s="127" t="s">
        <v>1020</v>
      </c>
      <c r="U10" s="120"/>
      <c r="V10" s="121">
        <f t="shared" si="4"/>
        <v>89500</v>
      </c>
      <c r="W10" s="121">
        <f t="shared" si="5"/>
        <v>127857.14285714287</v>
      </c>
      <c r="X10" s="122">
        <f t="shared" si="6"/>
        <v>146122.44897959186</v>
      </c>
      <c r="Y10" s="123">
        <f t="shared" si="7"/>
        <v>0.12500000000000008</v>
      </c>
      <c r="Z10" s="122">
        <f t="shared" si="8"/>
        <v>146200</v>
      </c>
      <c r="AA10" s="124">
        <f t="shared" si="9"/>
        <v>0.30000000000000004</v>
      </c>
      <c r="AB10" s="134">
        <v>118650</v>
      </c>
      <c r="AC10" s="135">
        <f t="shared" si="11"/>
        <v>9207.1428571428696</v>
      </c>
      <c r="AD10" s="136">
        <f t="shared" si="12"/>
        <v>7.7599181265426628E-2</v>
      </c>
      <c r="CB10" s="195"/>
      <c r="CC10" s="195"/>
      <c r="CD10" s="195"/>
      <c r="CE10" s="195"/>
      <c r="CF10" s="196"/>
      <c r="CG10" s="196"/>
      <c r="CH10" s="196"/>
      <c r="CI10" s="196"/>
    </row>
    <row r="11" spans="1:87" s="194" customFormat="1" ht="14.45" hidden="1" customHeight="1" x14ac:dyDescent="0.2">
      <c r="A11" s="127">
        <v>428</v>
      </c>
      <c r="B11" s="127" t="s">
        <v>1021</v>
      </c>
      <c r="C11" s="110" t="str">
        <f t="shared" si="0"/>
        <v xml:space="preserve"> 369</v>
      </c>
      <c r="D11" s="112" t="s">
        <v>1021</v>
      </c>
      <c r="E11" s="110">
        <f t="shared" si="10"/>
        <v>0</v>
      </c>
      <c r="F11" s="113" t="s">
        <v>1011</v>
      </c>
      <c r="G11" s="113" t="s">
        <v>1008</v>
      </c>
      <c r="H11" s="113" t="s">
        <v>463</v>
      </c>
      <c r="I11" s="137"/>
      <c r="J11" s="115">
        <f t="shared" si="1"/>
        <v>0</v>
      </c>
      <c r="K11" s="110" t="s">
        <v>94</v>
      </c>
      <c r="L11" s="116">
        <f t="shared" si="2"/>
        <v>0</v>
      </c>
      <c r="M11" s="138"/>
      <c r="N11" s="117">
        <f t="shared" si="3"/>
        <v>0</v>
      </c>
      <c r="O11" s="127">
        <v>428</v>
      </c>
      <c r="P11" s="127" t="s">
        <v>1021</v>
      </c>
      <c r="Q11" s="127"/>
      <c r="R11" s="127"/>
      <c r="S11" s="119"/>
      <c r="T11" s="127"/>
      <c r="U11" s="120"/>
      <c r="V11" s="121">
        <f t="shared" si="4"/>
        <v>0</v>
      </c>
      <c r="W11" s="121">
        <f t="shared" si="5"/>
        <v>0</v>
      </c>
      <c r="X11" s="122">
        <f t="shared" si="6"/>
        <v>0</v>
      </c>
      <c r="Y11" s="123" t="e">
        <f t="shared" si="7"/>
        <v>#DIV/0!</v>
      </c>
      <c r="Z11" s="122">
        <f t="shared" si="8"/>
        <v>0</v>
      </c>
      <c r="AA11" s="124" t="e">
        <f t="shared" si="9"/>
        <v>#DIV/0!</v>
      </c>
      <c r="AB11" s="134">
        <v>105788</v>
      </c>
      <c r="AC11" s="135">
        <f t="shared" si="11"/>
        <v>-105788</v>
      </c>
      <c r="AD11" s="136">
        <f t="shared" si="12"/>
        <v>-1</v>
      </c>
      <c r="CB11" s="195"/>
      <c r="CC11" s="195"/>
      <c r="CD11" s="195"/>
      <c r="CE11" s="195"/>
      <c r="CF11" s="196"/>
      <c r="CG11" s="196"/>
      <c r="CH11" s="196"/>
      <c r="CI11" s="196"/>
    </row>
    <row r="12" spans="1:87" s="194" customFormat="1" ht="14.45" hidden="1" customHeight="1" x14ac:dyDescent="0.2">
      <c r="A12" s="127">
        <v>429</v>
      </c>
      <c r="B12" s="127" t="s">
        <v>1022</v>
      </c>
      <c r="C12" s="110" t="str">
        <f t="shared" si="0"/>
        <v xml:space="preserve"> 169</v>
      </c>
      <c r="D12" s="112" t="s">
        <v>1022</v>
      </c>
      <c r="E12" s="110">
        <f t="shared" si="10"/>
        <v>0</v>
      </c>
      <c r="F12" s="113" t="s">
        <v>1011</v>
      </c>
      <c r="G12" s="113" t="s">
        <v>1008</v>
      </c>
      <c r="H12" s="113" t="s">
        <v>367</v>
      </c>
      <c r="I12" s="137">
        <f>82500+11000</f>
        <v>93500</v>
      </c>
      <c r="J12" s="115">
        <f t="shared" si="1"/>
        <v>6800</v>
      </c>
      <c r="K12" s="110" t="s">
        <v>94</v>
      </c>
      <c r="L12" s="116">
        <f t="shared" si="2"/>
        <v>86700</v>
      </c>
      <c r="M12" s="138">
        <f>2000+200+600+1000+3000</f>
        <v>6800</v>
      </c>
      <c r="N12" s="117">
        <f t="shared" si="3"/>
        <v>93500</v>
      </c>
      <c r="O12" s="127">
        <v>429</v>
      </c>
      <c r="P12" s="127" t="s">
        <v>1022</v>
      </c>
      <c r="Q12" s="127">
        <v>93500</v>
      </c>
      <c r="R12" s="118">
        <f>N12-Q12</f>
        <v>0</v>
      </c>
      <c r="S12" s="119" t="s">
        <v>1023</v>
      </c>
      <c r="T12" s="127" t="s">
        <v>1024</v>
      </c>
      <c r="U12" s="120"/>
      <c r="V12" s="121">
        <f t="shared" si="4"/>
        <v>93500</v>
      </c>
      <c r="W12" s="121">
        <f t="shared" si="5"/>
        <v>133571.42857142858</v>
      </c>
      <c r="X12" s="122">
        <f t="shared" si="6"/>
        <v>152653.06122448979</v>
      </c>
      <c r="Y12" s="123">
        <f t="shared" si="7"/>
        <v>0.12499999999999993</v>
      </c>
      <c r="Z12" s="122">
        <f t="shared" si="8"/>
        <v>152700</v>
      </c>
      <c r="AA12" s="124">
        <f t="shared" si="9"/>
        <v>0.30000000000000004</v>
      </c>
      <c r="AB12" s="134">
        <v>122150</v>
      </c>
      <c r="AC12" s="135">
        <f t="shared" si="11"/>
        <v>11421.42857142858</v>
      </c>
      <c r="AD12" s="136">
        <f t="shared" si="12"/>
        <v>9.3503303900356771E-2</v>
      </c>
      <c r="CB12" s="195"/>
      <c r="CC12" s="195"/>
      <c r="CD12" s="195"/>
      <c r="CE12" s="195"/>
      <c r="CF12" s="196"/>
      <c r="CG12" s="196"/>
      <c r="CH12" s="196"/>
      <c r="CI12" s="196"/>
    </row>
    <row r="13" spans="1:87" s="194" customFormat="1" ht="14.45" hidden="1" customHeight="1" x14ac:dyDescent="0.2">
      <c r="A13" s="127">
        <v>430</v>
      </c>
      <c r="B13" s="127" t="s">
        <v>1025</v>
      </c>
      <c r="C13" s="110" t="str">
        <f t="shared" si="0"/>
        <v xml:space="preserve"> 951</v>
      </c>
      <c r="D13" s="112" t="s">
        <v>1025</v>
      </c>
      <c r="E13" s="110">
        <f t="shared" si="10"/>
        <v>0</v>
      </c>
      <c r="F13" s="113" t="s">
        <v>1011</v>
      </c>
      <c r="G13" s="113" t="s">
        <v>1008</v>
      </c>
      <c r="H13" s="113" t="s">
        <v>1015</v>
      </c>
      <c r="I13" s="128">
        <v>70000</v>
      </c>
      <c r="J13" s="139">
        <v>0</v>
      </c>
      <c r="K13" s="140" t="s">
        <v>97</v>
      </c>
      <c r="L13" s="141">
        <v>70000</v>
      </c>
      <c r="M13" s="132">
        <v>6800</v>
      </c>
      <c r="N13" s="133">
        <v>76800</v>
      </c>
      <c r="O13" s="127">
        <v>430</v>
      </c>
      <c r="P13" s="127" t="s">
        <v>1025</v>
      </c>
      <c r="Q13" s="127">
        <v>76800</v>
      </c>
      <c r="R13" s="118">
        <f>N13-Q13</f>
        <v>0</v>
      </c>
      <c r="S13" s="119"/>
      <c r="T13" s="127"/>
      <c r="U13" s="120"/>
      <c r="V13" s="121">
        <f t="shared" si="4"/>
        <v>76800</v>
      </c>
      <c r="W13" s="121">
        <f t="shared" si="5"/>
        <v>109714.28571428572</v>
      </c>
      <c r="X13" s="122">
        <f t="shared" si="6"/>
        <v>125387.75510204083</v>
      </c>
      <c r="Y13" s="123">
        <f t="shared" si="7"/>
        <v>0.125</v>
      </c>
      <c r="Z13" s="122">
        <f t="shared" si="8"/>
        <v>125400</v>
      </c>
      <c r="AA13" s="124">
        <f t="shared" si="9"/>
        <v>0.30000000000000004</v>
      </c>
      <c r="AB13" s="134">
        <v>97213</v>
      </c>
      <c r="AC13" s="135">
        <f t="shared" si="11"/>
        <v>12501.285714285725</v>
      </c>
      <c r="AD13" s="136">
        <f t="shared" si="12"/>
        <v>0.12859685139112798</v>
      </c>
      <c r="CB13" s="195"/>
      <c r="CC13" s="195"/>
      <c r="CD13" s="195"/>
      <c r="CE13" s="195"/>
      <c r="CF13" s="196"/>
      <c r="CG13" s="196"/>
      <c r="CH13" s="196"/>
      <c r="CI13" s="196"/>
    </row>
    <row r="14" spans="1:87" s="194" customFormat="1" ht="14.45" hidden="1" customHeight="1" x14ac:dyDescent="0.2">
      <c r="A14" s="110">
        <v>431</v>
      </c>
      <c r="B14" s="111" t="s">
        <v>1026</v>
      </c>
      <c r="C14" s="110" t="str">
        <f t="shared" si="0"/>
        <v xml:space="preserve"> 695</v>
      </c>
      <c r="D14" s="112" t="s">
        <v>1026</v>
      </c>
      <c r="E14" s="110">
        <f t="shared" si="10"/>
        <v>0</v>
      </c>
      <c r="F14" s="113" t="s">
        <v>91</v>
      </c>
      <c r="G14" s="113" t="s">
        <v>1008</v>
      </c>
      <c r="H14" s="113" t="s">
        <v>483</v>
      </c>
      <c r="I14" s="137">
        <v>68000</v>
      </c>
      <c r="J14" s="115">
        <f t="shared" si="1"/>
        <v>6900</v>
      </c>
      <c r="K14" s="110" t="s">
        <v>94</v>
      </c>
      <c r="L14" s="116">
        <f t="shared" si="2"/>
        <v>61100</v>
      </c>
      <c r="M14" s="116">
        <v>6900</v>
      </c>
      <c r="N14" s="117">
        <f t="shared" si="3"/>
        <v>68000</v>
      </c>
      <c r="O14" s="110">
        <v>431</v>
      </c>
      <c r="P14" s="111" t="s">
        <v>1026</v>
      </c>
      <c r="Q14" s="143">
        <v>74900</v>
      </c>
      <c r="R14" s="144">
        <f>N14-Q14</f>
        <v>-6900</v>
      </c>
      <c r="S14" s="119"/>
      <c r="T14" s="127" t="s">
        <v>1027</v>
      </c>
      <c r="U14" s="120"/>
      <c r="V14" s="121">
        <f t="shared" si="4"/>
        <v>68000</v>
      </c>
      <c r="W14" s="121">
        <f t="shared" si="5"/>
        <v>97142.857142857145</v>
      </c>
      <c r="X14" s="122">
        <f t="shared" si="6"/>
        <v>111020.40816326531</v>
      </c>
      <c r="Y14" s="123">
        <f t="shared" si="7"/>
        <v>0.12500000000000003</v>
      </c>
      <c r="Z14" s="122">
        <f t="shared" si="8"/>
        <v>111100</v>
      </c>
      <c r="AA14" s="124">
        <f t="shared" si="9"/>
        <v>0.3</v>
      </c>
      <c r="AB14" s="125"/>
      <c r="AC14" s="125"/>
      <c r="AD14" s="126"/>
      <c r="CB14" s="195"/>
      <c r="CC14" s="195"/>
      <c r="CD14" s="195"/>
      <c r="CE14" s="195"/>
      <c r="CF14" s="196"/>
      <c r="CG14" s="196"/>
      <c r="CH14" s="196"/>
      <c r="CI14" s="196"/>
    </row>
    <row r="15" spans="1:87" s="194" customFormat="1" ht="14.45" hidden="1" customHeight="1" x14ac:dyDescent="0.2">
      <c r="A15" s="127">
        <v>432</v>
      </c>
      <c r="B15" s="127" t="s">
        <v>1028</v>
      </c>
      <c r="C15" s="110" t="str">
        <f t="shared" si="0"/>
        <v xml:space="preserve"> 938</v>
      </c>
      <c r="D15" s="112" t="s">
        <v>1028</v>
      </c>
      <c r="E15" s="110">
        <f t="shared" si="10"/>
        <v>0</v>
      </c>
      <c r="F15" s="113" t="s">
        <v>1029</v>
      </c>
      <c r="G15" s="113" t="s">
        <v>1008</v>
      </c>
      <c r="H15" s="113" t="s">
        <v>404</v>
      </c>
      <c r="I15" s="137">
        <f>L15</f>
        <v>70000</v>
      </c>
      <c r="J15" s="145">
        <f t="shared" si="1"/>
        <v>0</v>
      </c>
      <c r="K15" s="146" t="s">
        <v>97</v>
      </c>
      <c r="L15" s="147">
        <v>70000</v>
      </c>
      <c r="M15" s="138">
        <f>2000+200+600+650+3000</f>
        <v>6450</v>
      </c>
      <c r="N15" s="117">
        <f t="shared" si="3"/>
        <v>76450</v>
      </c>
      <c r="O15" s="127">
        <v>432</v>
      </c>
      <c r="P15" s="127" t="s">
        <v>1028</v>
      </c>
      <c r="Q15" s="127">
        <v>76450</v>
      </c>
      <c r="R15" s="127">
        <f>N15-Q15</f>
        <v>0</v>
      </c>
      <c r="S15" s="119"/>
      <c r="T15" s="127" t="s">
        <v>868</v>
      </c>
      <c r="U15" s="120"/>
      <c r="V15" s="121">
        <f t="shared" si="4"/>
        <v>76450</v>
      </c>
      <c r="W15" s="121">
        <f t="shared" si="5"/>
        <v>109214.28571428572</v>
      </c>
      <c r="X15" s="122">
        <f t="shared" si="6"/>
        <v>124816.32653061226</v>
      </c>
      <c r="Y15" s="123">
        <f t="shared" si="7"/>
        <v>0.12500000000000006</v>
      </c>
      <c r="Z15" s="122">
        <f t="shared" si="8"/>
        <v>124900</v>
      </c>
      <c r="AA15" s="124">
        <f t="shared" si="9"/>
        <v>0.30000000000000004</v>
      </c>
      <c r="AB15" s="125"/>
      <c r="AC15" s="125"/>
      <c r="AD15" s="126"/>
      <c r="CB15" s="195"/>
      <c r="CC15" s="195"/>
      <c r="CD15" s="195"/>
      <c r="CE15" s="195"/>
      <c r="CF15" s="196"/>
      <c r="CG15" s="196"/>
      <c r="CH15" s="196"/>
      <c r="CI15" s="196"/>
    </row>
    <row r="16" spans="1:87" s="194" customFormat="1" ht="14.45" hidden="1" customHeight="1" x14ac:dyDescent="0.2">
      <c r="A16" s="110">
        <v>433</v>
      </c>
      <c r="B16" s="111" t="s">
        <v>1030</v>
      </c>
      <c r="C16" s="110" t="str">
        <f t="shared" si="0"/>
        <v xml:space="preserve"> 911</v>
      </c>
      <c r="D16" s="112" t="s">
        <v>1030</v>
      </c>
      <c r="E16" s="110">
        <f t="shared" si="10"/>
        <v>0</v>
      </c>
      <c r="F16" s="113" t="s">
        <v>91</v>
      </c>
      <c r="G16" s="113" t="s">
        <v>1008</v>
      </c>
      <c r="H16" s="113" t="s">
        <v>436</v>
      </c>
      <c r="I16" s="137">
        <v>77000</v>
      </c>
      <c r="J16" s="115">
        <f t="shared" si="1"/>
        <v>6500</v>
      </c>
      <c r="K16" s="110" t="s">
        <v>94</v>
      </c>
      <c r="L16" s="116">
        <f>I16-M16</f>
        <v>70500</v>
      </c>
      <c r="M16" s="138">
        <v>6500</v>
      </c>
      <c r="N16" s="117">
        <f t="shared" si="3"/>
        <v>77000</v>
      </c>
      <c r="O16" s="110">
        <v>433</v>
      </c>
      <c r="P16" s="111" t="s">
        <v>1030</v>
      </c>
      <c r="Q16" s="111"/>
      <c r="R16" s="111"/>
      <c r="S16" s="119"/>
      <c r="T16" s="116" t="s">
        <v>1031</v>
      </c>
      <c r="U16" s="120"/>
      <c r="V16" s="121">
        <f t="shared" si="4"/>
        <v>77000</v>
      </c>
      <c r="W16" s="121">
        <f t="shared" si="5"/>
        <v>110000</v>
      </c>
      <c r="X16" s="122">
        <f t="shared" si="6"/>
        <v>125714.28571428571</v>
      </c>
      <c r="Y16" s="123">
        <f t="shared" si="7"/>
        <v>0.12499999999999997</v>
      </c>
      <c r="Z16" s="122">
        <f t="shared" si="8"/>
        <v>125800</v>
      </c>
      <c r="AA16" s="124">
        <f t="shared" si="9"/>
        <v>0.3</v>
      </c>
      <c r="AB16" s="125"/>
      <c r="AC16" s="125"/>
      <c r="AD16" s="126"/>
      <c r="CB16" s="195"/>
      <c r="CC16" s="195"/>
      <c r="CD16" s="195"/>
      <c r="CE16" s="195"/>
      <c r="CF16" s="196"/>
      <c r="CG16" s="196"/>
      <c r="CH16" s="196"/>
      <c r="CI16" s="196"/>
    </row>
    <row r="17" spans="1:87" s="194" customFormat="1" ht="14.45" hidden="1" customHeight="1" x14ac:dyDescent="0.2">
      <c r="A17" s="127">
        <v>434</v>
      </c>
      <c r="B17" s="127" t="s">
        <v>1032</v>
      </c>
      <c r="C17" s="110" t="str">
        <f t="shared" si="0"/>
        <v xml:space="preserve"> 353</v>
      </c>
      <c r="D17" s="112" t="s">
        <v>1032</v>
      </c>
      <c r="E17" s="110">
        <f t="shared" si="10"/>
        <v>0</v>
      </c>
      <c r="F17" s="113" t="s">
        <v>1011</v>
      </c>
      <c r="G17" s="113" t="s">
        <v>1008</v>
      </c>
      <c r="H17" s="113" t="s">
        <v>1033</v>
      </c>
      <c r="I17" s="128">
        <v>71000</v>
      </c>
      <c r="J17" s="139">
        <v>0</v>
      </c>
      <c r="K17" s="140" t="s">
        <v>97</v>
      </c>
      <c r="L17" s="141">
        <v>71000</v>
      </c>
      <c r="M17" s="132">
        <v>6800</v>
      </c>
      <c r="N17" s="133">
        <v>77800</v>
      </c>
      <c r="O17" s="127">
        <v>434</v>
      </c>
      <c r="P17" s="127" t="s">
        <v>1032</v>
      </c>
      <c r="Q17" s="142"/>
      <c r="R17" s="142"/>
      <c r="S17" s="119"/>
      <c r="T17" s="127"/>
      <c r="U17" s="120"/>
      <c r="V17" s="121">
        <f t="shared" si="4"/>
        <v>77800</v>
      </c>
      <c r="W17" s="121">
        <f t="shared" si="5"/>
        <v>111142.85714285714</v>
      </c>
      <c r="X17" s="122">
        <f t="shared" si="6"/>
        <v>127020.40816326531</v>
      </c>
      <c r="Y17" s="123">
        <f t="shared" si="7"/>
        <v>0.12500000000000003</v>
      </c>
      <c r="Z17" s="122">
        <f t="shared" si="8"/>
        <v>127100</v>
      </c>
      <c r="AA17" s="124">
        <f t="shared" si="9"/>
        <v>0.3</v>
      </c>
      <c r="AB17" s="134">
        <v>102813</v>
      </c>
      <c r="AC17" s="135">
        <f>W17-AB17</f>
        <v>8329.8571428571449</v>
      </c>
      <c r="AD17" s="136">
        <f>AC17/AB17</f>
        <v>8.1019493088005851E-2</v>
      </c>
      <c r="CB17" s="195"/>
      <c r="CC17" s="195"/>
      <c r="CD17" s="195"/>
      <c r="CE17" s="195"/>
      <c r="CF17" s="196"/>
      <c r="CG17" s="196"/>
      <c r="CH17" s="196"/>
      <c r="CI17" s="196"/>
    </row>
    <row r="18" spans="1:87" s="194" customFormat="1" ht="14.45" hidden="1" customHeight="1" x14ac:dyDescent="0.2">
      <c r="A18" s="127">
        <v>435</v>
      </c>
      <c r="B18" s="127" t="s">
        <v>1034</v>
      </c>
      <c r="C18" s="110" t="str">
        <f t="shared" si="0"/>
        <v xml:space="preserve"> 223</v>
      </c>
      <c r="D18" s="112" t="s">
        <v>1034</v>
      </c>
      <c r="E18" s="110">
        <f t="shared" si="10"/>
        <v>0</v>
      </c>
      <c r="F18" s="113" t="s">
        <v>1011</v>
      </c>
      <c r="G18" s="113" t="s">
        <v>1008</v>
      </c>
      <c r="H18" s="113" t="s">
        <v>374</v>
      </c>
      <c r="I18" s="128">
        <v>92500</v>
      </c>
      <c r="J18" s="129">
        <v>7500</v>
      </c>
      <c r="K18" s="130" t="s">
        <v>94</v>
      </c>
      <c r="L18" s="131">
        <v>85000</v>
      </c>
      <c r="M18" s="132">
        <v>7500</v>
      </c>
      <c r="N18" s="133">
        <v>92500</v>
      </c>
      <c r="O18" s="127">
        <v>435</v>
      </c>
      <c r="P18" s="127" t="s">
        <v>1034</v>
      </c>
      <c r="Q18" s="127">
        <v>92500</v>
      </c>
      <c r="R18" s="127">
        <f>N18-Q18</f>
        <v>0</v>
      </c>
      <c r="S18" s="119"/>
      <c r="T18" s="127"/>
      <c r="U18" s="120"/>
      <c r="V18" s="121">
        <f t="shared" si="4"/>
        <v>92500</v>
      </c>
      <c r="W18" s="121">
        <f t="shared" si="5"/>
        <v>132142.85714285716</v>
      </c>
      <c r="X18" s="122">
        <f t="shared" si="6"/>
        <v>151020.40816326533</v>
      </c>
      <c r="Y18" s="123">
        <f t="shared" si="7"/>
        <v>0.125</v>
      </c>
      <c r="Z18" s="122">
        <f t="shared" si="8"/>
        <v>151100</v>
      </c>
      <c r="AA18" s="124">
        <f t="shared" si="9"/>
        <v>0.3000000000000001</v>
      </c>
      <c r="AB18" s="134">
        <v>136500</v>
      </c>
      <c r="AC18" s="135">
        <f>W18-AB18</f>
        <v>-4357.1428571428405</v>
      </c>
      <c r="AD18" s="136">
        <f>AC18/AB18</f>
        <v>-3.1920460491888944E-2</v>
      </c>
      <c r="CB18" s="195"/>
      <c r="CC18" s="195"/>
      <c r="CD18" s="195"/>
      <c r="CE18" s="195"/>
      <c r="CF18" s="196"/>
      <c r="CG18" s="196"/>
      <c r="CH18" s="196"/>
      <c r="CI18" s="196"/>
    </row>
    <row r="19" spans="1:87" s="194" customFormat="1" ht="14.45" hidden="1" customHeight="1" x14ac:dyDescent="0.2">
      <c r="A19" s="111">
        <v>436</v>
      </c>
      <c r="B19" s="110" t="s">
        <v>1035</v>
      </c>
      <c r="C19" s="110" t="str">
        <f t="shared" si="0"/>
        <v xml:space="preserve"> 486</v>
      </c>
      <c r="D19" s="112" t="s">
        <v>1035</v>
      </c>
      <c r="E19" s="110">
        <f t="shared" si="10"/>
        <v>0</v>
      </c>
      <c r="F19" s="113" t="s">
        <v>1029</v>
      </c>
      <c r="G19" s="113" t="s">
        <v>1008</v>
      </c>
      <c r="H19" s="113" t="s">
        <v>384</v>
      </c>
      <c r="I19" s="137">
        <f>L19</f>
        <v>63000</v>
      </c>
      <c r="J19" s="115">
        <f t="shared" si="1"/>
        <v>0</v>
      </c>
      <c r="K19" s="146" t="s">
        <v>97</v>
      </c>
      <c r="L19" s="147">
        <v>63000</v>
      </c>
      <c r="M19" s="138">
        <f>2000+300+600+650+3000</f>
        <v>6550</v>
      </c>
      <c r="N19" s="117">
        <f t="shared" si="3"/>
        <v>69550</v>
      </c>
      <c r="O19" s="111">
        <v>436</v>
      </c>
      <c r="P19" s="110" t="s">
        <v>1035</v>
      </c>
      <c r="Q19" s="110">
        <v>69550</v>
      </c>
      <c r="R19" s="127">
        <f>N19-Q19</f>
        <v>0</v>
      </c>
      <c r="S19" s="119"/>
      <c r="T19" s="127" t="s">
        <v>385</v>
      </c>
      <c r="U19" s="120"/>
      <c r="V19" s="121">
        <f t="shared" si="4"/>
        <v>69550</v>
      </c>
      <c r="W19" s="121">
        <f t="shared" si="5"/>
        <v>99357.14285714287</v>
      </c>
      <c r="X19" s="122">
        <f t="shared" si="6"/>
        <v>113551.02040816328</v>
      </c>
      <c r="Y19" s="123">
        <f t="shared" si="7"/>
        <v>0.12500000000000003</v>
      </c>
      <c r="Z19" s="122">
        <f t="shared" si="8"/>
        <v>113600</v>
      </c>
      <c r="AA19" s="124">
        <f t="shared" si="9"/>
        <v>0.3000000000000001</v>
      </c>
      <c r="AB19" s="134">
        <v>99050</v>
      </c>
      <c r="AC19" s="135">
        <f>W19-AB19</f>
        <v>307.14285714286962</v>
      </c>
      <c r="AD19" s="136">
        <f>AC19/AB19</f>
        <v>3.10088699790883E-3</v>
      </c>
      <c r="CB19" s="195"/>
      <c r="CC19" s="195"/>
      <c r="CD19" s="195"/>
      <c r="CE19" s="195"/>
      <c r="CF19" s="196"/>
      <c r="CG19" s="196"/>
      <c r="CH19" s="196"/>
      <c r="CI19" s="196"/>
    </row>
    <row r="20" spans="1:87" s="194" customFormat="1" ht="14.45" hidden="1" customHeight="1" x14ac:dyDescent="0.2">
      <c r="A20" s="127">
        <v>437</v>
      </c>
      <c r="B20" s="127" t="s">
        <v>1036</v>
      </c>
      <c r="C20" s="110" t="str">
        <f t="shared" si="0"/>
        <v xml:space="preserve"> 439</v>
      </c>
      <c r="D20" s="112" t="s">
        <v>1036</v>
      </c>
      <c r="E20" s="110">
        <f t="shared" si="10"/>
        <v>0</v>
      </c>
      <c r="F20" s="113" t="s">
        <v>1011</v>
      </c>
      <c r="G20" s="113" t="s">
        <v>1008</v>
      </c>
      <c r="H20" s="113" t="s">
        <v>1033</v>
      </c>
      <c r="I20" s="128">
        <v>71000</v>
      </c>
      <c r="J20" s="139">
        <v>0</v>
      </c>
      <c r="K20" s="140" t="s">
        <v>97</v>
      </c>
      <c r="L20" s="141">
        <v>71000</v>
      </c>
      <c r="M20" s="132">
        <v>6800</v>
      </c>
      <c r="N20" s="133">
        <v>77800</v>
      </c>
      <c r="O20" s="127">
        <v>437</v>
      </c>
      <c r="P20" s="127" t="s">
        <v>1036</v>
      </c>
      <c r="Q20" s="142"/>
      <c r="R20" s="142"/>
      <c r="S20" s="119"/>
      <c r="T20" s="127"/>
      <c r="U20" s="120"/>
      <c r="V20" s="121">
        <f t="shared" si="4"/>
        <v>77800</v>
      </c>
      <c r="W20" s="121">
        <f t="shared" si="5"/>
        <v>111142.85714285714</v>
      </c>
      <c r="X20" s="122">
        <f t="shared" si="6"/>
        <v>127020.40816326531</v>
      </c>
      <c r="Y20" s="123">
        <f t="shared" si="7"/>
        <v>0.12500000000000003</v>
      </c>
      <c r="Z20" s="122">
        <f t="shared" si="8"/>
        <v>127100</v>
      </c>
      <c r="AA20" s="124">
        <f t="shared" si="9"/>
        <v>0.3</v>
      </c>
      <c r="AB20" s="134">
        <v>105088</v>
      </c>
      <c r="AC20" s="135">
        <f>W20-AB20</f>
        <v>6054.8571428571449</v>
      </c>
      <c r="AD20" s="136">
        <f>AC20/AB20</f>
        <v>5.7617017574386656E-2</v>
      </c>
      <c r="CB20" s="195"/>
      <c r="CC20" s="195"/>
      <c r="CD20" s="195"/>
      <c r="CE20" s="195"/>
      <c r="CF20" s="196"/>
      <c r="CG20" s="196"/>
      <c r="CH20" s="196"/>
      <c r="CI20" s="196"/>
    </row>
    <row r="21" spans="1:87" s="194" customFormat="1" ht="14.45" hidden="1" customHeight="1" x14ac:dyDescent="0.2">
      <c r="A21" s="111">
        <v>438</v>
      </c>
      <c r="B21" s="127" t="s">
        <v>1037</v>
      </c>
      <c r="C21" s="110" t="str">
        <f t="shared" si="0"/>
        <v xml:space="preserve"> 268</v>
      </c>
      <c r="D21" s="112" t="s">
        <v>1037</v>
      </c>
      <c r="E21" s="110">
        <f t="shared" si="10"/>
        <v>0</v>
      </c>
      <c r="F21" s="113" t="s">
        <v>1029</v>
      </c>
      <c r="G21" s="113" t="s">
        <v>1008</v>
      </c>
      <c r="H21" s="113" t="s">
        <v>1038</v>
      </c>
      <c r="I21" s="128">
        <v>78000</v>
      </c>
      <c r="J21" s="129">
        <v>6400</v>
      </c>
      <c r="K21" s="130" t="s">
        <v>94</v>
      </c>
      <c r="L21" s="131">
        <v>71600</v>
      </c>
      <c r="M21" s="131">
        <v>6400</v>
      </c>
      <c r="N21" s="133">
        <v>78000</v>
      </c>
      <c r="O21" s="111">
        <v>438</v>
      </c>
      <c r="P21" s="127" t="s">
        <v>1037</v>
      </c>
      <c r="Q21" s="127">
        <v>78000</v>
      </c>
      <c r="R21" s="127">
        <f>N21-Q21</f>
        <v>0</v>
      </c>
      <c r="S21" s="119"/>
      <c r="T21" s="127"/>
      <c r="U21" s="120"/>
      <c r="V21" s="121">
        <f t="shared" si="4"/>
        <v>78000</v>
      </c>
      <c r="W21" s="121">
        <f t="shared" si="5"/>
        <v>111428.57142857143</v>
      </c>
      <c r="X21" s="122">
        <f t="shared" si="6"/>
        <v>127346.93877551021</v>
      </c>
      <c r="Y21" s="123">
        <f t="shared" si="7"/>
        <v>0.12499999999999997</v>
      </c>
      <c r="Z21" s="122">
        <f t="shared" si="8"/>
        <v>127400</v>
      </c>
      <c r="AA21" s="124">
        <f t="shared" si="9"/>
        <v>0.30000000000000004</v>
      </c>
      <c r="AB21" s="134"/>
      <c r="AC21" s="135"/>
      <c r="AD21" s="136"/>
      <c r="AE21" s="197">
        <f>AVERAGE(W21,W20,W19,W18,W17,W16,W15,W14,W13,W12,W10,W9,W8,W7,W6,W5,W4)</f>
        <v>116970.58823529413</v>
      </c>
      <c r="AF21" s="198">
        <v>112060.43956043955</v>
      </c>
      <c r="AG21" s="199">
        <v>113610.38961038958</v>
      </c>
      <c r="AH21" s="200">
        <v>106751</v>
      </c>
      <c r="AI21" s="201">
        <f>(AF21-AG21)/AG21</f>
        <v>-1.3642678766135369E-2</v>
      </c>
      <c r="AJ21" s="202">
        <v>97900</v>
      </c>
      <c r="AK21" s="200">
        <v>92934</v>
      </c>
      <c r="AL21" s="200">
        <f>62074/0.7</f>
        <v>88677.14285714287</v>
      </c>
      <c r="AM21" s="200">
        <v>83073</v>
      </c>
      <c r="AN21" s="203"/>
      <c r="AO21" s="200">
        <v>96371</v>
      </c>
      <c r="AP21" s="200">
        <f>70553/0.7</f>
        <v>100790</v>
      </c>
      <c r="AQ21" s="200">
        <v>93146</v>
      </c>
      <c r="AR21" s="199">
        <v>114358</v>
      </c>
      <c r="AS21" s="204">
        <v>123340</v>
      </c>
      <c r="AT21" s="200">
        <f>75120/0.7</f>
        <v>107314.28571428572</v>
      </c>
      <c r="AU21" s="200">
        <v>109329</v>
      </c>
      <c r="AV21" s="205">
        <v>118363</v>
      </c>
      <c r="AW21" s="200">
        <v>104712</v>
      </c>
      <c r="AX21" s="200">
        <f>72500/0.7</f>
        <v>103571.42857142858</v>
      </c>
      <c r="AY21" s="200">
        <v>101507</v>
      </c>
      <c r="AZ21" s="206"/>
      <c r="BA21" s="203"/>
      <c r="BB21" s="203"/>
      <c r="BC21" s="205">
        <v>118583</v>
      </c>
      <c r="BD21" s="204">
        <v>108894</v>
      </c>
      <c r="BE21" s="205">
        <v>118481</v>
      </c>
      <c r="BF21" s="199">
        <v>110764</v>
      </c>
      <c r="BG21" s="203"/>
      <c r="BH21" s="206"/>
      <c r="BI21" s="200">
        <f>65094/0.7</f>
        <v>92991.42857142858</v>
      </c>
      <c r="BJ21" s="200">
        <v>99537</v>
      </c>
      <c r="BK21" s="205">
        <v>129123</v>
      </c>
      <c r="BL21" s="204">
        <v>128980</v>
      </c>
      <c r="BM21" s="205">
        <f>86470/0.7</f>
        <v>123528.57142857143</v>
      </c>
      <c r="BN21" s="205">
        <v>158467</v>
      </c>
      <c r="BO21" s="203"/>
      <c r="BP21" s="206"/>
      <c r="BQ21" s="200">
        <f>76601/0.7</f>
        <v>109430</v>
      </c>
      <c r="BR21" s="200">
        <v>101417</v>
      </c>
      <c r="BS21" s="203"/>
      <c r="BT21" s="207"/>
      <c r="BU21" s="203"/>
      <c r="BV21" s="203"/>
      <c r="BW21" s="203"/>
      <c r="BX21" s="207"/>
      <c r="BY21" s="205">
        <f>84983/0.7</f>
        <v>121404.28571428572</v>
      </c>
      <c r="BZ21" s="205">
        <v>114180</v>
      </c>
      <c r="CA21" s="208"/>
      <c r="CB21" s="177"/>
      <c r="CC21" s="177"/>
      <c r="CD21" s="177"/>
      <c r="CE21" s="177"/>
      <c r="CF21" s="196"/>
      <c r="CG21" s="196"/>
      <c r="CH21" s="196"/>
      <c r="CI21" s="196"/>
    </row>
    <row r="22" spans="1:87" s="194" customFormat="1" ht="14.45" hidden="1" customHeight="1" x14ac:dyDescent="0.2">
      <c r="A22" s="127">
        <v>439</v>
      </c>
      <c r="B22" s="127" t="s">
        <v>1039</v>
      </c>
      <c r="C22" s="110" t="str">
        <f t="shared" si="0"/>
        <v xml:space="preserve"> 390</v>
      </c>
      <c r="D22" s="112" t="s">
        <v>1039</v>
      </c>
      <c r="E22" s="110">
        <f t="shared" si="10"/>
        <v>0</v>
      </c>
      <c r="F22" s="113" t="s">
        <v>1029</v>
      </c>
      <c r="G22" s="113" t="s">
        <v>1040</v>
      </c>
      <c r="H22" s="113" t="s">
        <v>404</v>
      </c>
      <c r="I22" s="137">
        <f>L22</f>
        <v>70000</v>
      </c>
      <c r="J22" s="145">
        <f t="shared" si="1"/>
        <v>0</v>
      </c>
      <c r="K22" s="146" t="s">
        <v>97</v>
      </c>
      <c r="L22" s="147">
        <v>70000</v>
      </c>
      <c r="M22" s="138">
        <f>2000+200+600+650+2600</f>
        <v>6050</v>
      </c>
      <c r="N22" s="117">
        <f t="shared" si="3"/>
        <v>76050</v>
      </c>
      <c r="O22" s="127">
        <v>439</v>
      </c>
      <c r="P22" s="127" t="s">
        <v>1039</v>
      </c>
      <c r="Q22" s="127">
        <v>77050</v>
      </c>
      <c r="R22" s="127">
        <f>N22-Q22</f>
        <v>-1000</v>
      </c>
      <c r="S22" s="119"/>
      <c r="T22" s="127" t="s">
        <v>1041</v>
      </c>
      <c r="U22" s="120"/>
      <c r="V22" s="121">
        <f t="shared" si="4"/>
        <v>76050</v>
      </c>
      <c r="W22" s="121">
        <f t="shared" si="5"/>
        <v>108642.85714285714</v>
      </c>
      <c r="X22" s="122">
        <f t="shared" si="6"/>
        <v>124163.26530612246</v>
      </c>
      <c r="Y22" s="123">
        <f t="shared" si="7"/>
        <v>0.12500000000000003</v>
      </c>
      <c r="Z22" s="122">
        <f t="shared" si="8"/>
        <v>124200</v>
      </c>
      <c r="AA22" s="124">
        <f t="shared" si="9"/>
        <v>0.3</v>
      </c>
      <c r="AB22" s="134"/>
      <c r="AC22" s="135"/>
      <c r="AD22" s="136"/>
      <c r="CB22" s="195"/>
      <c r="CC22" s="195"/>
      <c r="CD22" s="195"/>
      <c r="CE22" s="195"/>
      <c r="CF22" s="196"/>
      <c r="CG22" s="196"/>
      <c r="CH22" s="196"/>
      <c r="CI22" s="196"/>
    </row>
    <row r="23" spans="1:87" s="194" customFormat="1" ht="14.45" hidden="1" customHeight="1" x14ac:dyDescent="0.2">
      <c r="A23" s="111">
        <v>440</v>
      </c>
      <c r="B23" s="127" t="s">
        <v>1042</v>
      </c>
      <c r="C23" s="110" t="str">
        <f t="shared" si="0"/>
        <v xml:space="preserve"> 515</v>
      </c>
      <c r="D23" s="112" t="s">
        <v>1042</v>
      </c>
      <c r="E23" s="110">
        <f t="shared" si="10"/>
        <v>0</v>
      </c>
      <c r="F23" s="113" t="s">
        <v>1029</v>
      </c>
      <c r="G23" s="113" t="s">
        <v>1040</v>
      </c>
      <c r="H23" s="113" t="s">
        <v>473</v>
      </c>
      <c r="I23" s="137"/>
      <c r="J23" s="115">
        <f t="shared" si="1"/>
        <v>0</v>
      </c>
      <c r="K23" s="110" t="s">
        <v>94</v>
      </c>
      <c r="L23" s="116">
        <f>I23-M23</f>
        <v>0</v>
      </c>
      <c r="M23" s="116"/>
      <c r="N23" s="117">
        <f t="shared" si="3"/>
        <v>0</v>
      </c>
      <c r="O23" s="111">
        <v>440</v>
      </c>
      <c r="P23" s="127" t="s">
        <v>1042</v>
      </c>
      <c r="Q23" s="127"/>
      <c r="R23" s="127"/>
      <c r="S23" s="119"/>
      <c r="T23" s="127"/>
      <c r="U23" s="120"/>
      <c r="V23" s="121">
        <f t="shared" si="4"/>
        <v>0</v>
      </c>
      <c r="W23" s="121">
        <f t="shared" si="5"/>
        <v>0</v>
      </c>
      <c r="X23" s="122">
        <f t="shared" si="6"/>
        <v>0</v>
      </c>
      <c r="Y23" s="123"/>
      <c r="Z23" s="122">
        <f t="shared" si="8"/>
        <v>0</v>
      </c>
      <c r="AA23" s="124"/>
      <c r="AB23" s="134"/>
      <c r="AC23" s="135"/>
      <c r="AD23" s="136"/>
      <c r="CB23" s="195"/>
      <c r="CC23" s="195"/>
      <c r="CD23" s="195"/>
      <c r="CE23" s="195"/>
      <c r="CF23" s="196"/>
      <c r="CG23" s="196"/>
      <c r="CH23" s="196"/>
      <c r="CI23" s="196"/>
    </row>
    <row r="24" spans="1:87" s="194" customFormat="1" ht="14.45" hidden="1" customHeight="1" x14ac:dyDescent="0.2">
      <c r="A24" s="127">
        <v>441</v>
      </c>
      <c r="B24" s="127" t="s">
        <v>1043</v>
      </c>
      <c r="C24" s="110" t="str">
        <f t="shared" si="0"/>
        <v xml:space="preserve"> 886</v>
      </c>
      <c r="D24" s="112" t="s">
        <v>1043</v>
      </c>
      <c r="E24" s="110">
        <f t="shared" si="10"/>
        <v>0</v>
      </c>
      <c r="F24" s="113" t="s">
        <v>1029</v>
      </c>
      <c r="G24" s="113" t="s">
        <v>1040</v>
      </c>
      <c r="H24" s="113" t="s">
        <v>404</v>
      </c>
      <c r="I24" s="137">
        <f>L24</f>
        <v>80000</v>
      </c>
      <c r="J24" s="145">
        <f t="shared" si="1"/>
        <v>0</v>
      </c>
      <c r="K24" s="146" t="s">
        <v>97</v>
      </c>
      <c r="L24" s="147">
        <v>80000</v>
      </c>
      <c r="M24" s="138">
        <f>2000+200+600+1000+3000</f>
        <v>6800</v>
      </c>
      <c r="N24" s="117">
        <f t="shared" si="3"/>
        <v>86800</v>
      </c>
      <c r="O24" s="127">
        <v>441</v>
      </c>
      <c r="P24" s="127" t="s">
        <v>1043</v>
      </c>
      <c r="Q24" s="127">
        <v>86800</v>
      </c>
      <c r="R24" s="127">
        <f>N24-Q24</f>
        <v>0</v>
      </c>
      <c r="S24" s="119"/>
      <c r="T24" s="127" t="s">
        <v>1044</v>
      </c>
      <c r="U24" s="120"/>
      <c r="V24" s="121">
        <f t="shared" si="4"/>
        <v>86800</v>
      </c>
      <c r="W24" s="121">
        <f t="shared" si="5"/>
        <v>124000.00000000001</v>
      </c>
      <c r="X24" s="122">
        <f t="shared" si="6"/>
        <v>141714.28571428574</v>
      </c>
      <c r="Y24" s="123">
        <f t="shared" si="7"/>
        <v>0.12500000000000006</v>
      </c>
      <c r="Z24" s="122">
        <f t="shared" si="8"/>
        <v>141800</v>
      </c>
      <c r="AA24" s="124">
        <f t="shared" ref="AA24:AA31" si="13">(W24-N24)/W24</f>
        <v>0.3000000000000001</v>
      </c>
      <c r="AB24" s="134"/>
      <c r="AC24" s="135"/>
      <c r="AD24" s="136"/>
      <c r="CB24" s="195"/>
      <c r="CC24" s="195"/>
      <c r="CD24" s="195"/>
      <c r="CE24" s="195"/>
      <c r="CF24" s="196"/>
      <c r="CG24" s="196"/>
      <c r="CH24" s="196"/>
      <c r="CI24" s="196"/>
    </row>
    <row r="25" spans="1:87" s="194" customFormat="1" ht="14.45" hidden="1" customHeight="1" x14ac:dyDescent="0.2">
      <c r="A25" s="111">
        <v>442</v>
      </c>
      <c r="B25" s="127" t="s">
        <v>1045</v>
      </c>
      <c r="C25" s="110" t="str">
        <f t="shared" si="0"/>
        <v xml:space="preserve"> 754</v>
      </c>
      <c r="D25" s="112" t="s">
        <v>1045</v>
      </c>
      <c r="E25" s="110">
        <f t="shared" si="10"/>
        <v>0</v>
      </c>
      <c r="F25" s="113" t="s">
        <v>1011</v>
      </c>
      <c r="G25" s="113" t="s">
        <v>1040</v>
      </c>
      <c r="H25" s="113" t="s">
        <v>374</v>
      </c>
      <c r="I25" s="128">
        <v>70000</v>
      </c>
      <c r="J25" s="129">
        <v>7150</v>
      </c>
      <c r="K25" s="130" t="s">
        <v>94</v>
      </c>
      <c r="L25" s="131">
        <v>62850</v>
      </c>
      <c r="M25" s="131">
        <v>7150</v>
      </c>
      <c r="N25" s="133">
        <v>70000</v>
      </c>
      <c r="O25" s="111">
        <v>442</v>
      </c>
      <c r="P25" s="127" t="s">
        <v>1045</v>
      </c>
      <c r="Q25" s="127">
        <v>70000</v>
      </c>
      <c r="R25" s="127">
        <f>N25-Q25</f>
        <v>0</v>
      </c>
      <c r="S25" s="119"/>
      <c r="T25" s="127"/>
      <c r="U25" s="120">
        <v>3000</v>
      </c>
      <c r="V25" s="121">
        <f t="shared" si="4"/>
        <v>73000</v>
      </c>
      <c r="W25" s="121">
        <f t="shared" si="5"/>
        <v>104285.71428571429</v>
      </c>
      <c r="X25" s="122">
        <f t="shared" si="6"/>
        <v>119183.67346938777</v>
      </c>
      <c r="Y25" s="123">
        <f t="shared" si="7"/>
        <v>0.12500000000000006</v>
      </c>
      <c r="Z25" s="122">
        <f t="shared" si="8"/>
        <v>119200</v>
      </c>
      <c r="AA25" s="124">
        <f t="shared" si="13"/>
        <v>0.32876712328767127</v>
      </c>
      <c r="AB25" s="134">
        <v>102900</v>
      </c>
      <c r="AC25" s="135">
        <f>W25-AB25</f>
        <v>1385.7142857142899</v>
      </c>
      <c r="AD25" s="136">
        <f>AC25/AB25</f>
        <v>1.3466611134249658E-2</v>
      </c>
      <c r="CB25" s="195"/>
      <c r="CC25" s="195"/>
      <c r="CD25" s="195"/>
      <c r="CE25" s="195"/>
      <c r="CF25" s="196"/>
      <c r="CG25" s="196"/>
      <c r="CH25" s="196"/>
      <c r="CI25" s="196"/>
    </row>
    <row r="26" spans="1:87" s="194" customFormat="1" ht="14.45" hidden="1" customHeight="1" x14ac:dyDescent="0.2">
      <c r="A26" s="127">
        <v>443</v>
      </c>
      <c r="B26" s="127" t="s">
        <v>1046</v>
      </c>
      <c r="C26" s="110" t="str">
        <f t="shared" si="0"/>
        <v xml:space="preserve"> 698</v>
      </c>
      <c r="D26" s="112" t="s">
        <v>1046</v>
      </c>
      <c r="E26" s="110">
        <f t="shared" si="10"/>
        <v>0</v>
      </c>
      <c r="F26" s="113" t="s">
        <v>1029</v>
      </c>
      <c r="G26" s="113" t="s">
        <v>1040</v>
      </c>
      <c r="H26" s="113" t="s">
        <v>1047</v>
      </c>
      <c r="I26" s="137">
        <f>L26</f>
        <v>41500</v>
      </c>
      <c r="J26" s="145">
        <f t="shared" si="1"/>
        <v>0</v>
      </c>
      <c r="K26" s="146" t="s">
        <v>97</v>
      </c>
      <c r="L26" s="148">
        <v>41500</v>
      </c>
      <c r="M26" s="116">
        <f>2000+200+600+650+3000</f>
        <v>6450</v>
      </c>
      <c r="N26" s="117">
        <f t="shared" si="3"/>
        <v>47950</v>
      </c>
      <c r="O26" s="127">
        <v>443</v>
      </c>
      <c r="P26" s="127" t="s">
        <v>1046</v>
      </c>
      <c r="Q26" s="142"/>
      <c r="R26" s="142"/>
      <c r="S26" s="149"/>
      <c r="T26" s="127"/>
      <c r="U26" s="120"/>
      <c r="V26" s="121">
        <f t="shared" si="4"/>
        <v>47950</v>
      </c>
      <c r="W26" s="121">
        <f t="shared" si="5"/>
        <v>68500</v>
      </c>
      <c r="X26" s="122">
        <f t="shared" si="6"/>
        <v>78285.71428571429</v>
      </c>
      <c r="Y26" s="123">
        <f t="shared" si="7"/>
        <v>0.12500000000000006</v>
      </c>
      <c r="Z26" s="122">
        <f t="shared" si="8"/>
        <v>78300</v>
      </c>
      <c r="AA26" s="124">
        <f t="shared" si="13"/>
        <v>0.3</v>
      </c>
      <c r="AB26" s="134"/>
      <c r="AC26" s="135"/>
      <c r="AD26" s="136"/>
      <c r="CB26" s="195"/>
      <c r="CC26" s="195"/>
      <c r="CD26" s="195"/>
      <c r="CE26" s="195"/>
      <c r="CF26" s="196"/>
      <c r="CG26" s="196"/>
      <c r="CH26" s="196"/>
      <c r="CI26" s="196"/>
    </row>
    <row r="27" spans="1:87" s="194" customFormat="1" ht="14.45" hidden="1" customHeight="1" x14ac:dyDescent="0.2">
      <c r="A27" s="150">
        <v>444</v>
      </c>
      <c r="B27" s="111" t="s">
        <v>1048</v>
      </c>
      <c r="C27" s="110" t="str">
        <f t="shared" si="0"/>
        <v xml:space="preserve"> 812</v>
      </c>
      <c r="D27" s="112" t="s">
        <v>1048</v>
      </c>
      <c r="E27" s="110">
        <f t="shared" si="10"/>
        <v>0</v>
      </c>
      <c r="F27" s="113" t="s">
        <v>91</v>
      </c>
      <c r="G27" s="113" t="s">
        <v>1040</v>
      </c>
      <c r="H27" s="113" t="s">
        <v>416</v>
      </c>
      <c r="I27" s="137">
        <v>80000</v>
      </c>
      <c r="J27" s="115">
        <f t="shared" si="1"/>
        <v>7150</v>
      </c>
      <c r="K27" s="110" t="s">
        <v>94</v>
      </c>
      <c r="L27" s="116">
        <f>I27-M27</f>
        <v>72850</v>
      </c>
      <c r="M27" s="116">
        <v>7150</v>
      </c>
      <c r="N27" s="117">
        <f t="shared" si="3"/>
        <v>80000</v>
      </c>
      <c r="O27" s="150">
        <v>444</v>
      </c>
      <c r="P27" s="111" t="s">
        <v>1048</v>
      </c>
      <c r="Q27" s="111">
        <v>80000</v>
      </c>
      <c r="R27" s="127">
        <f>N27-Q27</f>
        <v>0</v>
      </c>
      <c r="S27" s="119"/>
      <c r="T27" s="127" t="s">
        <v>1049</v>
      </c>
      <c r="U27" s="120"/>
      <c r="V27" s="121">
        <f t="shared" si="4"/>
        <v>80000</v>
      </c>
      <c r="W27" s="121">
        <f t="shared" si="5"/>
        <v>114285.71428571429</v>
      </c>
      <c r="X27" s="122">
        <f t="shared" si="6"/>
        <v>130612.24489795919</v>
      </c>
      <c r="Y27" s="123">
        <f t="shared" si="7"/>
        <v>0.12499999999999999</v>
      </c>
      <c r="Z27" s="122">
        <f t="shared" si="8"/>
        <v>130700</v>
      </c>
      <c r="AA27" s="124">
        <f t="shared" si="13"/>
        <v>0.30000000000000004</v>
      </c>
      <c r="AB27" s="134"/>
      <c r="AC27" s="135"/>
      <c r="AD27" s="136"/>
      <c r="CB27" s="195"/>
      <c r="CC27" s="195"/>
      <c r="CD27" s="195"/>
      <c r="CE27" s="195"/>
      <c r="CF27" s="196"/>
      <c r="CG27" s="196"/>
      <c r="CH27" s="196"/>
      <c r="CI27" s="196"/>
    </row>
    <row r="28" spans="1:87" s="194" customFormat="1" ht="14.45" hidden="1" customHeight="1" x14ac:dyDescent="0.2">
      <c r="A28" s="150">
        <v>445</v>
      </c>
      <c r="B28" s="111" t="s">
        <v>1050</v>
      </c>
      <c r="C28" s="110" t="str">
        <f t="shared" si="0"/>
        <v xml:space="preserve"> 118</v>
      </c>
      <c r="D28" s="112" t="s">
        <v>1050</v>
      </c>
      <c r="E28" s="110">
        <f t="shared" si="10"/>
        <v>0</v>
      </c>
      <c r="F28" s="113" t="s">
        <v>91</v>
      </c>
      <c r="G28" s="113" t="s">
        <v>1040</v>
      </c>
      <c r="H28" s="113" t="s">
        <v>416</v>
      </c>
      <c r="I28" s="137">
        <v>85000</v>
      </c>
      <c r="J28" s="115">
        <f t="shared" si="1"/>
        <v>6550</v>
      </c>
      <c r="K28" s="110" t="s">
        <v>94</v>
      </c>
      <c r="L28" s="116">
        <f>I28-M28</f>
        <v>78450</v>
      </c>
      <c r="M28" s="116">
        <v>6550</v>
      </c>
      <c r="N28" s="117">
        <f t="shared" si="3"/>
        <v>85000</v>
      </c>
      <c r="O28" s="150">
        <v>445</v>
      </c>
      <c r="P28" s="111" t="s">
        <v>1050</v>
      </c>
      <c r="Q28" s="111">
        <v>85000</v>
      </c>
      <c r="R28" s="127">
        <f>N28-Q28</f>
        <v>0</v>
      </c>
      <c r="S28" s="119"/>
      <c r="T28" s="127" t="s">
        <v>1051</v>
      </c>
      <c r="U28" s="120"/>
      <c r="V28" s="121">
        <f t="shared" si="4"/>
        <v>85000</v>
      </c>
      <c r="W28" s="121">
        <f t="shared" si="5"/>
        <v>121428.57142857143</v>
      </c>
      <c r="X28" s="122">
        <f t="shared" si="6"/>
        <v>138775.51020408163</v>
      </c>
      <c r="Y28" s="123">
        <f t="shared" si="7"/>
        <v>0.12499999999999992</v>
      </c>
      <c r="Z28" s="122">
        <f t="shared" si="8"/>
        <v>138800</v>
      </c>
      <c r="AA28" s="124">
        <f t="shared" si="13"/>
        <v>0.30000000000000004</v>
      </c>
      <c r="AB28" s="134"/>
      <c r="AC28" s="135"/>
      <c r="AD28" s="136"/>
      <c r="CB28" s="195"/>
      <c r="CC28" s="195"/>
      <c r="CD28" s="195"/>
      <c r="CE28" s="195"/>
      <c r="CF28" s="196"/>
      <c r="CG28" s="196"/>
      <c r="CH28" s="196"/>
      <c r="CI28" s="196"/>
    </row>
    <row r="29" spans="1:87" s="194" customFormat="1" ht="14.45" hidden="1" customHeight="1" x14ac:dyDescent="0.2">
      <c r="A29" s="111">
        <v>446</v>
      </c>
      <c r="B29" s="127" t="s">
        <v>1052</v>
      </c>
      <c r="C29" s="110" t="str">
        <f t="shared" si="0"/>
        <v xml:space="preserve"> 929</v>
      </c>
      <c r="D29" s="112" t="s">
        <v>1052</v>
      </c>
      <c r="E29" s="110">
        <f t="shared" si="10"/>
        <v>0</v>
      </c>
      <c r="F29" s="113" t="s">
        <v>1029</v>
      </c>
      <c r="G29" s="113" t="s">
        <v>1040</v>
      </c>
      <c r="H29" s="113" t="s">
        <v>1053</v>
      </c>
      <c r="I29" s="137">
        <v>87500</v>
      </c>
      <c r="J29" s="115">
        <f t="shared" si="1"/>
        <v>7400</v>
      </c>
      <c r="K29" s="110" t="s">
        <v>94</v>
      </c>
      <c r="L29" s="116">
        <f>I29-M29</f>
        <v>80100</v>
      </c>
      <c r="M29" s="116">
        <f>2000+200+600+1000+3600</f>
        <v>7400</v>
      </c>
      <c r="N29" s="117">
        <f t="shared" si="3"/>
        <v>87500</v>
      </c>
      <c r="O29" s="111">
        <v>446</v>
      </c>
      <c r="P29" s="127" t="s">
        <v>1052</v>
      </c>
      <c r="Q29" s="127">
        <v>87500</v>
      </c>
      <c r="R29" s="127">
        <f>N29-Q29</f>
        <v>0</v>
      </c>
      <c r="S29" s="119"/>
      <c r="T29" s="127" t="s">
        <v>390</v>
      </c>
      <c r="U29" s="120"/>
      <c r="V29" s="121">
        <f t="shared" si="4"/>
        <v>87500</v>
      </c>
      <c r="W29" s="121">
        <f t="shared" si="5"/>
        <v>125000.00000000001</v>
      </c>
      <c r="X29" s="122">
        <f t="shared" si="6"/>
        <v>142857.14285714287</v>
      </c>
      <c r="Y29" s="123">
        <f t="shared" si="7"/>
        <v>0.12499999999999997</v>
      </c>
      <c r="Z29" s="122">
        <f t="shared" si="8"/>
        <v>142900</v>
      </c>
      <c r="AA29" s="124">
        <f t="shared" si="13"/>
        <v>0.3000000000000001</v>
      </c>
      <c r="AB29" s="134"/>
      <c r="AC29" s="135"/>
      <c r="AD29" s="136"/>
      <c r="CB29" s="195"/>
      <c r="CC29" s="195"/>
      <c r="CD29" s="195"/>
      <c r="CE29" s="195"/>
      <c r="CF29" s="196"/>
      <c r="CG29" s="196"/>
      <c r="CH29" s="196"/>
      <c r="CI29" s="196"/>
    </row>
    <row r="30" spans="1:87" s="194" customFormat="1" ht="14.45" hidden="1" customHeight="1" x14ac:dyDescent="0.2">
      <c r="A30" s="127">
        <v>447</v>
      </c>
      <c r="B30" s="127" t="s">
        <v>1054</v>
      </c>
      <c r="C30" s="110" t="str">
        <f t="shared" si="0"/>
        <v xml:space="preserve"> 463</v>
      </c>
      <c r="D30" s="112" t="s">
        <v>1054</v>
      </c>
      <c r="E30" s="110">
        <f t="shared" si="10"/>
        <v>0</v>
      </c>
      <c r="F30" s="113" t="s">
        <v>1011</v>
      </c>
      <c r="G30" s="113" t="s">
        <v>1040</v>
      </c>
      <c r="H30" s="113" t="s">
        <v>384</v>
      </c>
      <c r="I30" s="137">
        <f>L30</f>
        <v>49000</v>
      </c>
      <c r="J30" s="115">
        <f t="shared" si="1"/>
        <v>0</v>
      </c>
      <c r="K30" s="146" t="s">
        <v>97</v>
      </c>
      <c r="L30" s="147">
        <v>49000</v>
      </c>
      <c r="M30" s="138">
        <f>2000+2850+800+200+500</f>
        <v>6350</v>
      </c>
      <c r="N30" s="117">
        <f t="shared" si="3"/>
        <v>55350</v>
      </c>
      <c r="O30" s="127">
        <v>447</v>
      </c>
      <c r="P30" s="127" t="s">
        <v>1054</v>
      </c>
      <c r="Q30" s="127">
        <v>55350</v>
      </c>
      <c r="R30" s="127">
        <f>N30-Q30</f>
        <v>0</v>
      </c>
      <c r="S30" s="119"/>
      <c r="T30" s="127" t="s">
        <v>1055</v>
      </c>
      <c r="U30" s="120">
        <v>2000</v>
      </c>
      <c r="V30" s="121">
        <f t="shared" si="4"/>
        <v>57350</v>
      </c>
      <c r="W30" s="121">
        <f t="shared" si="5"/>
        <v>81928.571428571435</v>
      </c>
      <c r="X30" s="122">
        <f t="shared" si="6"/>
        <v>93632.653061224497</v>
      </c>
      <c r="Y30" s="123">
        <f t="shared" si="7"/>
        <v>0.125</v>
      </c>
      <c r="Z30" s="122">
        <f t="shared" si="8"/>
        <v>93700</v>
      </c>
      <c r="AA30" s="124">
        <f t="shared" si="13"/>
        <v>0.32441150828247606</v>
      </c>
      <c r="AB30" s="134">
        <v>79100</v>
      </c>
      <c r="AC30" s="135">
        <f>W30-AB30</f>
        <v>2828.5714285714348</v>
      </c>
      <c r="AD30" s="136">
        <f>AC30/AB30</f>
        <v>3.5759436517970096E-2</v>
      </c>
      <c r="CB30" s="195"/>
      <c r="CC30" s="195"/>
      <c r="CD30" s="195"/>
      <c r="CE30" s="195"/>
      <c r="CF30" s="196"/>
      <c r="CG30" s="196"/>
      <c r="CH30" s="196"/>
      <c r="CI30" s="196"/>
    </row>
    <row r="31" spans="1:87" s="194" customFormat="1" ht="14.45" hidden="1" customHeight="1" x14ac:dyDescent="0.2">
      <c r="A31" s="110">
        <v>448</v>
      </c>
      <c r="B31" s="111" t="s">
        <v>1056</v>
      </c>
      <c r="C31" s="110" t="str">
        <f t="shared" si="0"/>
        <v xml:space="preserve"> 321</v>
      </c>
      <c r="D31" s="112" t="s">
        <v>1056</v>
      </c>
      <c r="E31" s="110">
        <f t="shared" si="10"/>
        <v>0</v>
      </c>
      <c r="F31" s="113" t="s">
        <v>91</v>
      </c>
      <c r="G31" s="113" t="s">
        <v>1040</v>
      </c>
      <c r="H31" s="113" t="s">
        <v>463</v>
      </c>
      <c r="I31" s="137">
        <v>62000</v>
      </c>
      <c r="J31" s="115">
        <f t="shared" si="1"/>
        <v>6900</v>
      </c>
      <c r="K31" s="110" t="s">
        <v>94</v>
      </c>
      <c r="L31" s="116">
        <f>I31-M31</f>
        <v>55100</v>
      </c>
      <c r="M31" s="116">
        <v>6900</v>
      </c>
      <c r="N31" s="117">
        <f t="shared" si="3"/>
        <v>62000</v>
      </c>
      <c r="O31" s="110">
        <v>448</v>
      </c>
      <c r="P31" s="111" t="s">
        <v>1056</v>
      </c>
      <c r="Q31" s="111">
        <v>62000</v>
      </c>
      <c r="R31" s="127">
        <f>N31-Q31</f>
        <v>0</v>
      </c>
      <c r="S31" s="151"/>
      <c r="T31" s="127" t="s">
        <v>1027</v>
      </c>
      <c r="U31" s="120"/>
      <c r="V31" s="121">
        <f t="shared" si="4"/>
        <v>62000</v>
      </c>
      <c r="W31" s="121">
        <f t="shared" si="5"/>
        <v>88571.42857142858</v>
      </c>
      <c r="X31" s="122">
        <f t="shared" si="6"/>
        <v>101224.48979591837</v>
      </c>
      <c r="Y31" s="123">
        <f t="shared" si="7"/>
        <v>0.12499999999999996</v>
      </c>
      <c r="Z31" s="122">
        <f t="shared" si="8"/>
        <v>101300</v>
      </c>
      <c r="AA31" s="124">
        <f t="shared" si="13"/>
        <v>0.30000000000000004</v>
      </c>
      <c r="AB31" s="134"/>
      <c r="AC31" s="135"/>
      <c r="AD31" s="136"/>
      <c r="CB31" s="195"/>
      <c r="CC31" s="195"/>
      <c r="CD31" s="195"/>
      <c r="CE31" s="195"/>
      <c r="CF31" s="196"/>
      <c r="CG31" s="196"/>
      <c r="CH31" s="196"/>
      <c r="CI31" s="196"/>
    </row>
    <row r="32" spans="1:87" s="194" customFormat="1" ht="14.45" hidden="1" customHeight="1" x14ac:dyDescent="0.2">
      <c r="A32" s="127">
        <v>449</v>
      </c>
      <c r="B32" s="127" t="s">
        <v>1057</v>
      </c>
      <c r="C32" s="110" t="str">
        <f t="shared" si="0"/>
        <v xml:space="preserve"> 111</v>
      </c>
      <c r="D32" s="112" t="s">
        <v>1057</v>
      </c>
      <c r="E32" s="110">
        <f t="shared" si="10"/>
        <v>0</v>
      </c>
      <c r="F32" s="113" t="s">
        <v>1011</v>
      </c>
      <c r="G32" s="113" t="s">
        <v>1040</v>
      </c>
      <c r="H32" s="113" t="s">
        <v>374</v>
      </c>
      <c r="I32" s="137"/>
      <c r="J32" s="115">
        <f t="shared" si="1"/>
        <v>0</v>
      </c>
      <c r="K32" s="110" t="s">
        <v>94</v>
      </c>
      <c r="L32" s="116">
        <f>I32-M32</f>
        <v>0</v>
      </c>
      <c r="M32" s="116"/>
      <c r="N32" s="117">
        <f t="shared" si="3"/>
        <v>0</v>
      </c>
      <c r="O32" s="127">
        <v>449</v>
      </c>
      <c r="P32" s="127" t="s">
        <v>1057</v>
      </c>
      <c r="Q32" s="127"/>
      <c r="R32" s="127"/>
      <c r="S32" s="119"/>
      <c r="T32" s="127"/>
      <c r="U32" s="120"/>
      <c r="V32" s="121">
        <f t="shared" si="4"/>
        <v>0</v>
      </c>
      <c r="W32" s="121">
        <f t="shared" si="5"/>
        <v>0</v>
      </c>
      <c r="X32" s="122">
        <f t="shared" si="6"/>
        <v>0</v>
      </c>
      <c r="Y32" s="123"/>
      <c r="Z32" s="122">
        <f t="shared" si="8"/>
        <v>0</v>
      </c>
      <c r="AA32" s="124"/>
      <c r="AB32" s="134"/>
      <c r="AC32" s="135">
        <f>W32-AB32</f>
        <v>0</v>
      </c>
      <c r="AD32" s="136"/>
      <c r="CB32" s="195"/>
      <c r="CC32" s="195"/>
      <c r="CD32" s="195"/>
      <c r="CE32" s="195"/>
      <c r="CF32" s="196"/>
      <c r="CG32" s="196"/>
      <c r="CH32" s="196"/>
      <c r="CI32" s="196"/>
    </row>
    <row r="33" spans="1:87" s="194" customFormat="1" ht="14.45" hidden="1" customHeight="1" x14ac:dyDescent="0.2">
      <c r="A33" s="111">
        <v>450</v>
      </c>
      <c r="B33" s="127" t="s">
        <v>1058</v>
      </c>
      <c r="C33" s="110" t="str">
        <f t="shared" si="0"/>
        <v xml:space="preserve"> 121</v>
      </c>
      <c r="D33" s="112" t="s">
        <v>1058</v>
      </c>
      <c r="E33" s="110">
        <f t="shared" si="10"/>
        <v>0</v>
      </c>
      <c r="F33" s="113" t="s">
        <v>1011</v>
      </c>
      <c r="G33" s="113" t="s">
        <v>1040</v>
      </c>
      <c r="H33" s="113" t="s">
        <v>404</v>
      </c>
      <c r="I33" s="137">
        <f>L33</f>
        <v>65000</v>
      </c>
      <c r="J33" s="145">
        <f t="shared" si="1"/>
        <v>0</v>
      </c>
      <c r="K33" s="146" t="s">
        <v>97</v>
      </c>
      <c r="L33" s="147">
        <v>65000</v>
      </c>
      <c r="M33" s="138">
        <f>2000+200+600+1000+3000</f>
        <v>6800</v>
      </c>
      <c r="N33" s="117">
        <f t="shared" si="3"/>
        <v>71800</v>
      </c>
      <c r="O33" s="111">
        <v>450</v>
      </c>
      <c r="P33" s="127" t="s">
        <v>1058</v>
      </c>
      <c r="Q33" s="127">
        <v>71800</v>
      </c>
      <c r="R33" s="127">
        <f>N33-Q33</f>
        <v>0</v>
      </c>
      <c r="S33" s="119"/>
      <c r="T33" s="127" t="s">
        <v>1059</v>
      </c>
      <c r="U33" s="120">
        <v>-1000</v>
      </c>
      <c r="V33" s="121">
        <f t="shared" si="4"/>
        <v>70800</v>
      </c>
      <c r="W33" s="121">
        <f t="shared" si="5"/>
        <v>101142.85714285714</v>
      </c>
      <c r="X33" s="122">
        <f t="shared" si="6"/>
        <v>115591.83673469388</v>
      </c>
      <c r="Y33" s="123">
        <f t="shared" si="7"/>
        <v>0.12499999999999997</v>
      </c>
      <c r="Z33" s="122">
        <f t="shared" si="8"/>
        <v>115600</v>
      </c>
      <c r="AA33" s="124">
        <f t="shared" ref="AA33:AA74" si="14">(W33-N33)/W33</f>
        <v>0.29011299435028248</v>
      </c>
      <c r="AB33" s="134">
        <v>97213</v>
      </c>
      <c r="AC33" s="135">
        <f>W33-AB33</f>
        <v>3929.8571428571449</v>
      </c>
      <c r="AD33" s="136">
        <f>AC33/AB33</f>
        <v>4.0425222376196029E-2</v>
      </c>
      <c r="AE33" s="197">
        <f>AVERAGE(W33,W31,W30,W29,W28,W27,W26,W25,W24,W22)</f>
        <v>103778.57142857143</v>
      </c>
      <c r="AF33" s="209">
        <v>106313.66459627329</v>
      </c>
      <c r="AG33" s="205">
        <v>105603.17460317462</v>
      </c>
      <c r="AH33" s="205">
        <v>111661</v>
      </c>
      <c r="AI33" s="201">
        <f>(AF33-AG33)/AG33</f>
        <v>6.7279226762688021E-3</v>
      </c>
      <c r="AJ33" s="204">
        <v>102500</v>
      </c>
      <c r="AK33" s="202">
        <v>97162</v>
      </c>
      <c r="AL33" s="205">
        <f>70781/0.7</f>
        <v>101115.71428571429</v>
      </c>
      <c r="AM33" s="200">
        <v>81600</v>
      </c>
      <c r="AN33" s="203"/>
      <c r="AO33" s="204">
        <v>100222</v>
      </c>
      <c r="AP33" s="205">
        <f>72273/0.7</f>
        <v>103247.14285714287</v>
      </c>
      <c r="AQ33" s="200">
        <v>98727</v>
      </c>
      <c r="AR33" s="203">
        <v>119425</v>
      </c>
      <c r="AS33" s="204">
        <v>108810</v>
      </c>
      <c r="AT33" s="205">
        <f>76405/0.7</f>
        <v>109150</v>
      </c>
      <c r="AU33" s="205">
        <v>123300</v>
      </c>
      <c r="AV33" s="203">
        <v>110425</v>
      </c>
      <c r="AW33" s="204">
        <v>116156</v>
      </c>
      <c r="AX33" s="205">
        <f>71295/0.7</f>
        <v>101850</v>
      </c>
      <c r="AY33" s="200">
        <v>95850</v>
      </c>
      <c r="AZ33" s="206"/>
      <c r="BA33" s="203"/>
      <c r="BB33" s="203"/>
      <c r="BC33" s="200">
        <v>97841</v>
      </c>
      <c r="BD33" s="207"/>
      <c r="BE33" s="205">
        <v>116014</v>
      </c>
      <c r="BF33" s="200">
        <v>87319</v>
      </c>
      <c r="BG33" s="203"/>
      <c r="BH33" s="206"/>
      <c r="BI33" s="200">
        <f>63346/0.7</f>
        <v>90494.285714285725</v>
      </c>
      <c r="BJ33" s="200">
        <v>90714</v>
      </c>
      <c r="BK33" s="205">
        <v>119083</v>
      </c>
      <c r="BL33" s="204">
        <v>142899</v>
      </c>
      <c r="BM33" s="205">
        <f>71867/0.7</f>
        <v>102667.14285714287</v>
      </c>
      <c r="BN33" s="205">
        <v>119167</v>
      </c>
      <c r="BO33" s="203"/>
      <c r="BP33" s="206"/>
      <c r="BQ33" s="205">
        <f>73150/0.7</f>
        <v>104500</v>
      </c>
      <c r="BR33" s="200">
        <v>99423</v>
      </c>
      <c r="BS33" s="203"/>
      <c r="BT33" s="207"/>
      <c r="BU33" s="203"/>
      <c r="BV33" s="203"/>
      <c r="BW33" s="203"/>
      <c r="BX33" s="207"/>
      <c r="BY33" s="205">
        <f>82055/0.7</f>
        <v>117221.42857142858</v>
      </c>
      <c r="BZ33" s="203"/>
      <c r="CA33" s="208"/>
      <c r="CB33" s="177"/>
      <c r="CC33" s="177"/>
      <c r="CD33" s="177"/>
      <c r="CE33" s="177"/>
      <c r="CF33" s="196"/>
      <c r="CG33" s="196"/>
      <c r="CH33" s="196"/>
      <c r="CI33" s="196"/>
    </row>
    <row r="34" spans="1:87" s="194" customFormat="1" ht="14.45" hidden="1" customHeight="1" x14ac:dyDescent="0.2">
      <c r="A34" s="127">
        <v>451</v>
      </c>
      <c r="B34" s="127" t="s">
        <v>1060</v>
      </c>
      <c r="C34" s="110" t="str">
        <f t="shared" si="0"/>
        <v xml:space="preserve"> 216</v>
      </c>
      <c r="D34" s="112" t="s">
        <v>1060</v>
      </c>
      <c r="E34" s="110">
        <f t="shared" si="10"/>
        <v>0</v>
      </c>
      <c r="F34" s="113" t="s">
        <v>1011</v>
      </c>
      <c r="G34" s="113" t="s">
        <v>1061</v>
      </c>
      <c r="H34" s="113" t="s">
        <v>1062</v>
      </c>
      <c r="I34" s="128">
        <v>65000</v>
      </c>
      <c r="J34" s="139">
        <v>0</v>
      </c>
      <c r="K34" s="140" t="s">
        <v>97</v>
      </c>
      <c r="L34" s="141">
        <v>65000</v>
      </c>
      <c r="M34" s="132">
        <v>5800</v>
      </c>
      <c r="N34" s="133">
        <v>70800</v>
      </c>
      <c r="O34" s="127">
        <v>451</v>
      </c>
      <c r="P34" s="127" t="s">
        <v>1060</v>
      </c>
      <c r="Q34" s="127"/>
      <c r="R34" s="127"/>
      <c r="S34" s="119"/>
      <c r="T34" s="127"/>
      <c r="U34" s="120"/>
      <c r="V34" s="121">
        <f t="shared" si="4"/>
        <v>70800</v>
      </c>
      <c r="W34" s="121">
        <f t="shared" si="5"/>
        <v>101142.85714285714</v>
      </c>
      <c r="X34" s="122">
        <f t="shared" si="6"/>
        <v>115591.83673469388</v>
      </c>
      <c r="Y34" s="123">
        <f t="shared" si="7"/>
        <v>0.12499999999999997</v>
      </c>
      <c r="Z34" s="122">
        <f t="shared" si="8"/>
        <v>115600</v>
      </c>
      <c r="AA34" s="124">
        <f t="shared" si="14"/>
        <v>0.3</v>
      </c>
      <c r="AB34" s="134">
        <v>94850</v>
      </c>
      <c r="AC34" s="135">
        <f>W34-AB34</f>
        <v>6292.8571428571449</v>
      </c>
      <c r="AD34" s="136">
        <f>AC34/AB34</f>
        <v>6.6345357331124358E-2</v>
      </c>
      <c r="CB34" s="195"/>
      <c r="CC34" s="195"/>
      <c r="CD34" s="195"/>
      <c r="CE34" s="195"/>
      <c r="CF34" s="196"/>
      <c r="CG34" s="196"/>
      <c r="CH34" s="196"/>
      <c r="CI34" s="196"/>
    </row>
    <row r="35" spans="1:87" s="194" customFormat="1" ht="14.45" hidden="1" customHeight="1" x14ac:dyDescent="0.2">
      <c r="A35" s="111">
        <v>452</v>
      </c>
      <c r="B35" s="127" t="s">
        <v>1063</v>
      </c>
      <c r="C35" s="110" t="str">
        <f t="shared" si="0"/>
        <v/>
      </c>
      <c r="D35" s="112" t="s">
        <v>1063</v>
      </c>
      <c r="E35" s="110">
        <f t="shared" si="10"/>
        <v>0</v>
      </c>
      <c r="F35" s="113"/>
      <c r="G35" s="113" t="s">
        <v>1061</v>
      </c>
      <c r="H35" s="113"/>
      <c r="I35" s="137"/>
      <c r="J35" s="115">
        <f t="shared" si="1"/>
        <v>0</v>
      </c>
      <c r="K35" s="110" t="s">
        <v>94</v>
      </c>
      <c r="L35" s="116">
        <f>I35-M35</f>
        <v>0</v>
      </c>
      <c r="M35" s="116"/>
      <c r="N35" s="117">
        <f t="shared" si="3"/>
        <v>0</v>
      </c>
      <c r="O35" s="111">
        <v>452</v>
      </c>
      <c r="P35" s="127" t="s">
        <v>1063</v>
      </c>
      <c r="Q35" s="127"/>
      <c r="R35" s="127"/>
      <c r="S35" s="119"/>
      <c r="T35" s="127"/>
      <c r="U35" s="120"/>
      <c r="V35" s="121">
        <f t="shared" si="4"/>
        <v>0</v>
      </c>
      <c r="W35" s="121">
        <f t="shared" si="5"/>
        <v>0</v>
      </c>
      <c r="X35" s="122">
        <f t="shared" si="6"/>
        <v>0</v>
      </c>
      <c r="Y35" s="123" t="e">
        <f t="shared" si="7"/>
        <v>#DIV/0!</v>
      </c>
      <c r="Z35" s="122">
        <f t="shared" si="8"/>
        <v>0</v>
      </c>
      <c r="AA35" s="124" t="e">
        <f t="shared" si="14"/>
        <v>#DIV/0!</v>
      </c>
      <c r="AB35" s="134"/>
      <c r="AC35" s="135"/>
      <c r="AD35" s="136"/>
      <c r="CB35" s="195"/>
      <c r="CC35" s="195"/>
      <c r="CD35" s="195"/>
      <c r="CE35" s="195"/>
      <c r="CF35" s="196"/>
      <c r="CG35" s="196"/>
      <c r="CH35" s="196"/>
      <c r="CI35" s="196"/>
    </row>
    <row r="36" spans="1:87" s="194" customFormat="1" ht="14.45" hidden="1" customHeight="1" x14ac:dyDescent="0.2">
      <c r="A36" s="110">
        <v>453</v>
      </c>
      <c r="B36" s="111" t="s">
        <v>1064</v>
      </c>
      <c r="C36" s="110" t="str">
        <f t="shared" si="0"/>
        <v xml:space="preserve"> 930</v>
      </c>
      <c r="D36" s="112" t="s">
        <v>1064</v>
      </c>
      <c r="E36" s="110">
        <f t="shared" si="10"/>
        <v>0</v>
      </c>
      <c r="F36" s="113" t="s">
        <v>1011</v>
      </c>
      <c r="G36" s="113" t="s">
        <v>1061</v>
      </c>
      <c r="H36" s="113" t="s">
        <v>549</v>
      </c>
      <c r="I36" s="137">
        <v>42250</v>
      </c>
      <c r="J36" s="115">
        <f t="shared" si="1"/>
        <v>5400</v>
      </c>
      <c r="K36" s="110" t="s">
        <v>94</v>
      </c>
      <c r="L36" s="116">
        <f>I36-M36</f>
        <v>36850</v>
      </c>
      <c r="M36" s="116">
        <v>5400</v>
      </c>
      <c r="N36" s="117">
        <f t="shared" si="3"/>
        <v>42250</v>
      </c>
      <c r="O36" s="110">
        <v>453</v>
      </c>
      <c r="P36" s="111" t="s">
        <v>1064</v>
      </c>
      <c r="Q36" s="111">
        <v>42250</v>
      </c>
      <c r="R36" s="127">
        <f>N36-Q36</f>
        <v>0</v>
      </c>
      <c r="S36" s="119"/>
      <c r="T36" s="127" t="s">
        <v>1065</v>
      </c>
      <c r="U36" s="120">
        <v>2000</v>
      </c>
      <c r="V36" s="121">
        <f t="shared" si="4"/>
        <v>44250</v>
      </c>
      <c r="W36" s="121">
        <f t="shared" si="5"/>
        <v>63214.285714285717</v>
      </c>
      <c r="X36" s="122">
        <f t="shared" si="6"/>
        <v>72244.897959183683</v>
      </c>
      <c r="Y36" s="123">
        <f t="shared" si="7"/>
        <v>0.12500000000000008</v>
      </c>
      <c r="Z36" s="122">
        <f t="shared" si="8"/>
        <v>72300</v>
      </c>
      <c r="AA36" s="124">
        <f t="shared" si="14"/>
        <v>0.33163841807909605</v>
      </c>
      <c r="AB36" s="134">
        <v>61863</v>
      </c>
      <c r="AC36" s="135">
        <f>W36-AB36</f>
        <v>1351.2857142857174</v>
      </c>
      <c r="AD36" s="136">
        <f>AC36/AB36</f>
        <v>2.184319729540626E-2</v>
      </c>
      <c r="CB36" s="195"/>
      <c r="CC36" s="195"/>
      <c r="CD36" s="195"/>
      <c r="CE36" s="195"/>
      <c r="CF36" s="196"/>
      <c r="CG36" s="196"/>
      <c r="CH36" s="196"/>
      <c r="CI36" s="196"/>
    </row>
    <row r="37" spans="1:87" s="194" customFormat="1" ht="14.45" hidden="1" customHeight="1" x14ac:dyDescent="0.2">
      <c r="A37" s="110">
        <v>454</v>
      </c>
      <c r="B37" s="111" t="s">
        <v>1066</v>
      </c>
      <c r="C37" s="110" t="str">
        <f t="shared" si="0"/>
        <v xml:space="preserve"> 860</v>
      </c>
      <c r="D37" s="112" t="s">
        <v>1066</v>
      </c>
      <c r="E37" s="110">
        <f t="shared" si="10"/>
        <v>0</v>
      </c>
      <c r="F37" s="113" t="s">
        <v>1011</v>
      </c>
      <c r="G37" s="113" t="s">
        <v>1061</v>
      </c>
      <c r="H37" s="113" t="s">
        <v>549</v>
      </c>
      <c r="I37" s="114">
        <v>42250</v>
      </c>
      <c r="J37" s="115">
        <f t="shared" si="1"/>
        <v>5400</v>
      </c>
      <c r="K37" s="110" t="s">
        <v>94</v>
      </c>
      <c r="L37" s="116">
        <f>I37-M37</f>
        <v>36850</v>
      </c>
      <c r="M37" s="114">
        <v>5400</v>
      </c>
      <c r="N37" s="117">
        <f t="shared" si="3"/>
        <v>42250</v>
      </c>
      <c r="O37" s="110">
        <v>454</v>
      </c>
      <c r="P37" s="111" t="s">
        <v>1066</v>
      </c>
      <c r="Q37" s="111">
        <v>42250</v>
      </c>
      <c r="R37" s="127">
        <f>N37-Q37</f>
        <v>0</v>
      </c>
      <c r="S37" s="119"/>
      <c r="T37" s="127" t="s">
        <v>1065</v>
      </c>
      <c r="U37" s="120">
        <v>2000</v>
      </c>
      <c r="V37" s="121">
        <f t="shared" si="4"/>
        <v>44250</v>
      </c>
      <c r="W37" s="121">
        <f t="shared" si="5"/>
        <v>63214.285714285717</v>
      </c>
      <c r="X37" s="122">
        <f t="shared" si="6"/>
        <v>72244.897959183683</v>
      </c>
      <c r="Y37" s="123">
        <f t="shared" si="7"/>
        <v>0.12500000000000008</v>
      </c>
      <c r="Z37" s="122">
        <f t="shared" si="8"/>
        <v>72300</v>
      </c>
      <c r="AA37" s="124">
        <f t="shared" si="14"/>
        <v>0.33163841807909605</v>
      </c>
      <c r="AB37" s="134">
        <v>61863</v>
      </c>
      <c r="AC37" s="135">
        <f>W37-AB37</f>
        <v>1351.2857142857174</v>
      </c>
      <c r="AD37" s="136">
        <f>AC37/AB37</f>
        <v>2.184319729540626E-2</v>
      </c>
      <c r="CB37" s="195"/>
      <c r="CC37" s="195"/>
      <c r="CD37" s="195"/>
      <c r="CE37" s="195"/>
      <c r="CF37" s="196"/>
      <c r="CG37" s="196"/>
      <c r="CH37" s="196"/>
      <c r="CI37" s="196"/>
    </row>
    <row r="38" spans="1:87" s="194" customFormat="1" ht="14.45" hidden="1" customHeight="1" x14ac:dyDescent="0.2">
      <c r="A38" s="127">
        <v>455</v>
      </c>
      <c r="B38" s="127" t="s">
        <v>1067</v>
      </c>
      <c r="C38" s="110" t="str">
        <f t="shared" si="0"/>
        <v xml:space="preserve"> 659</v>
      </c>
      <c r="D38" s="112" t="s">
        <v>1067</v>
      </c>
      <c r="E38" s="110">
        <f t="shared" si="10"/>
        <v>0</v>
      </c>
      <c r="F38" s="113" t="s">
        <v>1011</v>
      </c>
      <c r="G38" s="113" t="s">
        <v>1061</v>
      </c>
      <c r="H38" s="113" t="s">
        <v>1068</v>
      </c>
      <c r="I38" s="152">
        <v>35000</v>
      </c>
      <c r="J38" s="153">
        <v>0</v>
      </c>
      <c r="K38" s="154" t="s">
        <v>87</v>
      </c>
      <c r="L38" s="155">
        <f>I38</f>
        <v>35000</v>
      </c>
      <c r="M38" s="156">
        <f>2000+1750+800+300+650</f>
        <v>5500</v>
      </c>
      <c r="N38" s="157">
        <f t="shared" si="3"/>
        <v>40500</v>
      </c>
      <c r="O38" s="127">
        <v>455</v>
      </c>
      <c r="P38" s="127" t="s">
        <v>1067</v>
      </c>
      <c r="Q38" s="127"/>
      <c r="R38" s="127"/>
      <c r="S38" s="158"/>
      <c r="T38" s="113" t="s">
        <v>1069</v>
      </c>
      <c r="U38" s="120">
        <v>2000</v>
      </c>
      <c r="V38" s="121">
        <f t="shared" si="4"/>
        <v>42500</v>
      </c>
      <c r="W38" s="121">
        <f t="shared" si="5"/>
        <v>60714.285714285717</v>
      </c>
      <c r="X38" s="122">
        <f t="shared" si="6"/>
        <v>69387.755102040814</v>
      </c>
      <c r="Y38" s="123">
        <f t="shared" si="7"/>
        <v>0.12499999999999992</v>
      </c>
      <c r="Z38" s="122">
        <f t="shared" si="8"/>
        <v>69400</v>
      </c>
      <c r="AA38" s="124">
        <f t="shared" si="14"/>
        <v>0.3329411764705883</v>
      </c>
      <c r="AB38" s="134">
        <v>59325</v>
      </c>
      <c r="AC38" s="135">
        <f>W38-AB38</f>
        <v>1389.2857142857174</v>
      </c>
      <c r="AD38" s="136">
        <f>AC38/AB38</f>
        <v>2.3418216844259879E-2</v>
      </c>
      <c r="CB38" s="195"/>
      <c r="CC38" s="195"/>
      <c r="CD38" s="195"/>
      <c r="CE38" s="195"/>
      <c r="CF38" s="196"/>
      <c r="CG38" s="196"/>
      <c r="CH38" s="196"/>
      <c r="CI38" s="196"/>
    </row>
    <row r="39" spans="1:87" s="194" customFormat="1" ht="14.45" hidden="1" customHeight="1" x14ac:dyDescent="0.2">
      <c r="A39" s="111">
        <v>456</v>
      </c>
      <c r="B39" s="127" t="s">
        <v>1070</v>
      </c>
      <c r="C39" s="110" t="str">
        <f t="shared" si="0"/>
        <v xml:space="preserve"> 431</v>
      </c>
      <c r="D39" s="112" t="s">
        <v>1070</v>
      </c>
      <c r="E39" s="110">
        <f t="shared" si="10"/>
        <v>0</v>
      </c>
      <c r="F39" s="113" t="s">
        <v>1011</v>
      </c>
      <c r="G39" s="113" t="s">
        <v>1061</v>
      </c>
      <c r="H39" s="113" t="s">
        <v>483</v>
      </c>
      <c r="I39" s="128">
        <v>48000</v>
      </c>
      <c r="J39" s="139">
        <v>0</v>
      </c>
      <c r="K39" s="140" t="s">
        <v>97</v>
      </c>
      <c r="L39" s="141">
        <v>48000</v>
      </c>
      <c r="M39" s="132">
        <v>5450</v>
      </c>
      <c r="N39" s="133">
        <v>53450</v>
      </c>
      <c r="O39" s="111">
        <v>456</v>
      </c>
      <c r="P39" s="127" t="s">
        <v>1070</v>
      </c>
      <c r="Q39" s="127">
        <v>48000</v>
      </c>
      <c r="R39" s="127">
        <f>N39-Q39</f>
        <v>5450</v>
      </c>
      <c r="S39" s="119"/>
      <c r="T39" s="127"/>
      <c r="U39" s="120">
        <v>-3000</v>
      </c>
      <c r="V39" s="121">
        <f t="shared" si="4"/>
        <v>50450</v>
      </c>
      <c r="W39" s="121">
        <f t="shared" si="5"/>
        <v>72071.42857142858</v>
      </c>
      <c r="X39" s="122">
        <f t="shared" si="6"/>
        <v>82367.346938775518</v>
      </c>
      <c r="Y39" s="123">
        <f t="shared" si="7"/>
        <v>0.12499999999999997</v>
      </c>
      <c r="Z39" s="122">
        <f t="shared" si="8"/>
        <v>82400</v>
      </c>
      <c r="AA39" s="124">
        <f t="shared" si="14"/>
        <v>0.258374628344896</v>
      </c>
      <c r="AB39" s="159">
        <v>65800</v>
      </c>
      <c r="AC39" s="159">
        <f>W39-AB39</f>
        <v>6271.4285714285797</v>
      </c>
      <c r="AD39" s="160">
        <f>AC39/AB39</f>
        <v>9.5310464611376586E-2</v>
      </c>
      <c r="CB39" s="195"/>
      <c r="CC39" s="195"/>
      <c r="CD39" s="195"/>
      <c r="CE39" s="195"/>
      <c r="CF39" s="196"/>
      <c r="CG39" s="196"/>
      <c r="CH39" s="196"/>
      <c r="CI39" s="196"/>
    </row>
    <row r="40" spans="1:87" s="194" customFormat="1" ht="14.45" hidden="1" customHeight="1" x14ac:dyDescent="0.2">
      <c r="A40" s="110">
        <v>457</v>
      </c>
      <c r="B40" s="111" t="s">
        <v>1071</v>
      </c>
      <c r="C40" s="110" t="str">
        <f t="shared" si="0"/>
        <v xml:space="preserve"> 928</v>
      </c>
      <c r="D40" s="112" t="s">
        <v>1071</v>
      </c>
      <c r="E40" s="110">
        <f t="shared" si="10"/>
        <v>0</v>
      </c>
      <c r="F40" s="113" t="s">
        <v>91</v>
      </c>
      <c r="G40" s="113" t="s">
        <v>1061</v>
      </c>
      <c r="H40" s="113" t="s">
        <v>549</v>
      </c>
      <c r="I40" s="114">
        <v>32500</v>
      </c>
      <c r="J40" s="115">
        <f t="shared" ref="J40:J82" si="15">I40-L40</f>
        <v>5900</v>
      </c>
      <c r="K40" s="110" t="s">
        <v>94</v>
      </c>
      <c r="L40" s="116">
        <f>I40-M40</f>
        <v>26600</v>
      </c>
      <c r="M40" s="114">
        <v>5900</v>
      </c>
      <c r="N40" s="117">
        <f t="shared" si="3"/>
        <v>32500</v>
      </c>
      <c r="O40" s="110">
        <v>457</v>
      </c>
      <c r="P40" s="111" t="s">
        <v>1071</v>
      </c>
      <c r="Q40" s="111">
        <v>32500</v>
      </c>
      <c r="R40" s="127">
        <f>N40-Q40</f>
        <v>0</v>
      </c>
      <c r="S40" s="119"/>
      <c r="T40" s="127" t="s">
        <v>1072</v>
      </c>
      <c r="U40" s="120"/>
      <c r="V40" s="121">
        <f t="shared" si="4"/>
        <v>32500</v>
      </c>
      <c r="W40" s="121">
        <f t="shared" si="5"/>
        <v>46428.571428571435</v>
      </c>
      <c r="X40" s="122">
        <f t="shared" si="6"/>
        <v>53061.224489795924</v>
      </c>
      <c r="Y40" s="123">
        <f t="shared" si="7"/>
        <v>0.12499999999999999</v>
      </c>
      <c r="Z40" s="122">
        <f t="shared" si="8"/>
        <v>53100</v>
      </c>
      <c r="AA40" s="124">
        <f t="shared" si="14"/>
        <v>0.3000000000000001</v>
      </c>
      <c r="AB40" s="134"/>
      <c r="AC40" s="135"/>
      <c r="AD40" s="136"/>
      <c r="CB40" s="195"/>
      <c r="CC40" s="195"/>
      <c r="CD40" s="195"/>
      <c r="CE40" s="195"/>
      <c r="CF40" s="196"/>
      <c r="CG40" s="196"/>
      <c r="CH40" s="196"/>
      <c r="CI40" s="196"/>
    </row>
    <row r="41" spans="1:87" s="194" customFormat="1" ht="14.45" customHeight="1" x14ac:dyDescent="0.2">
      <c r="A41" s="110">
        <v>458</v>
      </c>
      <c r="B41" s="111" t="s">
        <v>1073</v>
      </c>
      <c r="C41" s="110" t="str">
        <f t="shared" si="0"/>
        <v xml:space="preserve"> 101</v>
      </c>
      <c r="D41" s="112" t="s">
        <v>1073</v>
      </c>
      <c r="E41" s="110">
        <f t="shared" si="10"/>
        <v>0</v>
      </c>
      <c r="F41" s="113" t="s">
        <v>91</v>
      </c>
      <c r="G41" s="113" t="s">
        <v>1061</v>
      </c>
      <c r="H41" s="113" t="s">
        <v>553</v>
      </c>
      <c r="I41" s="137">
        <v>41900</v>
      </c>
      <c r="J41" s="115">
        <f t="shared" si="15"/>
        <v>5900</v>
      </c>
      <c r="K41" s="110" t="s">
        <v>94</v>
      </c>
      <c r="L41" s="116">
        <f>I41-M41</f>
        <v>36000</v>
      </c>
      <c r="M41" s="116">
        <v>5900</v>
      </c>
      <c r="N41" s="117">
        <f t="shared" si="3"/>
        <v>41900</v>
      </c>
      <c r="O41" s="110">
        <v>458</v>
      </c>
      <c r="P41" s="111" t="s">
        <v>1073</v>
      </c>
      <c r="Q41" s="111">
        <v>41900</v>
      </c>
      <c r="R41" s="111">
        <f>N41-Q41</f>
        <v>0</v>
      </c>
      <c r="S41" s="119"/>
      <c r="T41" s="127" t="s">
        <v>1072</v>
      </c>
      <c r="U41" s="120"/>
      <c r="V41" s="121">
        <f t="shared" si="4"/>
        <v>41900</v>
      </c>
      <c r="W41" s="121">
        <f t="shared" si="5"/>
        <v>59857.142857142862</v>
      </c>
      <c r="X41" s="122">
        <f t="shared" si="6"/>
        <v>68408.163265306124</v>
      </c>
      <c r="Y41" s="123">
        <f t="shared" si="7"/>
        <v>0.12499999999999994</v>
      </c>
      <c r="Z41" s="122">
        <f t="shared" si="8"/>
        <v>68500</v>
      </c>
      <c r="AA41" s="124">
        <f t="shared" si="14"/>
        <v>0.30000000000000004</v>
      </c>
      <c r="AB41" s="134"/>
      <c r="AC41" s="135"/>
      <c r="AD41" s="136"/>
      <c r="CB41" s="195" t="s">
        <v>1780</v>
      </c>
      <c r="CC41" s="218">
        <v>43420</v>
      </c>
      <c r="CD41" s="195"/>
      <c r="CE41" s="195"/>
      <c r="CF41" s="196"/>
      <c r="CG41" s="196"/>
      <c r="CH41" s="196"/>
      <c r="CI41" s="196"/>
    </row>
    <row r="42" spans="1:87" s="194" customFormat="1" ht="14.45" hidden="1" customHeight="1" x14ac:dyDescent="0.2">
      <c r="A42" s="127">
        <v>459</v>
      </c>
      <c r="B42" s="127" t="s">
        <v>1074</v>
      </c>
      <c r="C42" s="110" t="str">
        <f t="shared" si="0"/>
        <v xml:space="preserve"> 411</v>
      </c>
      <c r="D42" s="112" t="s">
        <v>1074</v>
      </c>
      <c r="E42" s="110">
        <f t="shared" si="10"/>
        <v>0</v>
      </c>
      <c r="F42" s="113" t="s">
        <v>1011</v>
      </c>
      <c r="G42" s="113" t="s">
        <v>1061</v>
      </c>
      <c r="H42" s="113" t="s">
        <v>568</v>
      </c>
      <c r="I42" s="114">
        <v>34000</v>
      </c>
      <c r="J42" s="153">
        <f t="shared" si="15"/>
        <v>0</v>
      </c>
      <c r="K42" s="154" t="s">
        <v>87</v>
      </c>
      <c r="L42" s="161">
        <f>I42</f>
        <v>34000</v>
      </c>
      <c r="M42" s="156">
        <f>2000+1750+800+200</f>
        <v>4750</v>
      </c>
      <c r="N42" s="153">
        <f>M42+L42</f>
        <v>38750</v>
      </c>
      <c r="O42" s="127">
        <v>459</v>
      </c>
      <c r="P42" s="127" t="s">
        <v>1074</v>
      </c>
      <c r="Q42" s="127"/>
      <c r="R42" s="127"/>
      <c r="S42" s="158"/>
      <c r="T42" s="113" t="s">
        <v>1075</v>
      </c>
      <c r="U42" s="120">
        <v>2000</v>
      </c>
      <c r="V42" s="121">
        <f t="shared" si="4"/>
        <v>40750</v>
      </c>
      <c r="W42" s="121">
        <f t="shared" si="5"/>
        <v>58214.285714285717</v>
      </c>
      <c r="X42" s="122">
        <f t="shared" si="6"/>
        <v>66530.612244897959</v>
      </c>
      <c r="Y42" s="123">
        <f t="shared" si="7"/>
        <v>0.12499999999999994</v>
      </c>
      <c r="Z42" s="122">
        <f t="shared" si="8"/>
        <v>66600</v>
      </c>
      <c r="AA42" s="124">
        <f t="shared" si="14"/>
        <v>0.33435582822085891</v>
      </c>
      <c r="AB42" s="134">
        <v>56788</v>
      </c>
      <c r="AC42" s="135">
        <f>W42-AB42</f>
        <v>1426.2857142857174</v>
      </c>
      <c r="AD42" s="136">
        <f>AC42/AB42</f>
        <v>2.5115970174785472E-2</v>
      </c>
      <c r="CB42" s="195"/>
      <c r="CC42" s="195"/>
      <c r="CD42" s="195"/>
      <c r="CE42" s="195"/>
      <c r="CF42" s="196"/>
      <c r="CG42" s="196"/>
      <c r="CH42" s="196"/>
      <c r="CI42" s="196"/>
    </row>
    <row r="43" spans="1:87" s="194" customFormat="1" ht="14.45" customHeight="1" x14ac:dyDescent="0.2">
      <c r="A43" s="110">
        <v>460</v>
      </c>
      <c r="B43" s="111" t="s">
        <v>1076</v>
      </c>
      <c r="C43" s="110" t="str">
        <f t="shared" si="0"/>
        <v xml:space="preserve"> 581</v>
      </c>
      <c r="D43" s="112" t="s">
        <v>1076</v>
      </c>
      <c r="E43" s="110">
        <f t="shared" si="10"/>
        <v>0</v>
      </c>
      <c r="F43" s="113" t="s">
        <v>91</v>
      </c>
      <c r="G43" s="113" t="s">
        <v>1061</v>
      </c>
      <c r="H43" s="113" t="s">
        <v>553</v>
      </c>
      <c r="I43" s="114">
        <v>41900</v>
      </c>
      <c r="J43" s="115">
        <f t="shared" si="15"/>
        <v>5900</v>
      </c>
      <c r="K43" s="110" t="s">
        <v>94</v>
      </c>
      <c r="L43" s="116">
        <f t="shared" ref="L43:L48" si="16">I43-M43</f>
        <v>36000</v>
      </c>
      <c r="M43" s="114">
        <v>5900</v>
      </c>
      <c r="N43" s="117">
        <f t="shared" ref="N43:N51" si="17">L43+M43</f>
        <v>41900</v>
      </c>
      <c r="O43" s="110">
        <v>460</v>
      </c>
      <c r="P43" s="111" t="s">
        <v>1076</v>
      </c>
      <c r="Q43" s="111">
        <v>41900</v>
      </c>
      <c r="R43" s="111">
        <f t="shared" ref="R43:R51" si="18">N43-Q43</f>
        <v>0</v>
      </c>
      <c r="S43" s="119"/>
      <c r="T43" s="127" t="s">
        <v>1072</v>
      </c>
      <c r="U43" s="120"/>
      <c r="V43" s="121">
        <f t="shared" si="4"/>
        <v>41900</v>
      </c>
      <c r="W43" s="121">
        <f t="shared" si="5"/>
        <v>59857.142857142862</v>
      </c>
      <c r="X43" s="122">
        <f t="shared" si="6"/>
        <v>68408.163265306124</v>
      </c>
      <c r="Y43" s="123">
        <f t="shared" si="7"/>
        <v>0.12499999999999994</v>
      </c>
      <c r="Z43" s="122">
        <f t="shared" si="8"/>
        <v>68500</v>
      </c>
      <c r="AA43" s="124">
        <f t="shared" si="14"/>
        <v>0.30000000000000004</v>
      </c>
      <c r="AB43" s="134"/>
      <c r="AC43" s="135"/>
      <c r="AD43" s="136"/>
      <c r="CB43" s="195" t="s">
        <v>1780</v>
      </c>
      <c r="CC43" s="218">
        <v>43420</v>
      </c>
      <c r="CD43" s="195"/>
      <c r="CE43" s="195"/>
      <c r="CF43" s="196"/>
      <c r="CG43" s="196"/>
      <c r="CH43" s="196"/>
      <c r="CI43" s="196"/>
    </row>
    <row r="44" spans="1:87" s="194" customFormat="1" ht="14.45" hidden="1" customHeight="1" x14ac:dyDescent="0.2">
      <c r="A44" s="127">
        <v>461</v>
      </c>
      <c r="B44" s="127" t="s">
        <v>1077</v>
      </c>
      <c r="C44" s="110" t="str">
        <f t="shared" si="0"/>
        <v xml:space="preserve"> 228</v>
      </c>
      <c r="D44" s="112" t="s">
        <v>1077</v>
      </c>
      <c r="E44" s="110">
        <f t="shared" si="10"/>
        <v>0</v>
      </c>
      <c r="F44" s="113" t="s">
        <v>1029</v>
      </c>
      <c r="G44" s="113" t="s">
        <v>1061</v>
      </c>
      <c r="H44" s="113" t="s">
        <v>361</v>
      </c>
      <c r="I44" s="137">
        <v>37900</v>
      </c>
      <c r="J44" s="115">
        <f t="shared" si="15"/>
        <v>4800</v>
      </c>
      <c r="K44" s="110" t="s">
        <v>94</v>
      </c>
      <c r="L44" s="116">
        <f t="shared" si="16"/>
        <v>33100</v>
      </c>
      <c r="M44" s="116">
        <f>2000+200+600+2000</f>
        <v>4800</v>
      </c>
      <c r="N44" s="117">
        <f t="shared" si="17"/>
        <v>37900</v>
      </c>
      <c r="O44" s="127">
        <v>461</v>
      </c>
      <c r="P44" s="127" t="s">
        <v>1077</v>
      </c>
      <c r="Q44" s="127">
        <v>37900</v>
      </c>
      <c r="R44" s="127">
        <f t="shared" si="18"/>
        <v>0</v>
      </c>
      <c r="S44" s="119"/>
      <c r="T44" s="127" t="s">
        <v>1078</v>
      </c>
      <c r="U44" s="120"/>
      <c r="V44" s="121">
        <f t="shared" si="4"/>
        <v>37900</v>
      </c>
      <c r="W44" s="121">
        <f t="shared" si="5"/>
        <v>54142.857142857145</v>
      </c>
      <c r="X44" s="122">
        <f t="shared" si="6"/>
        <v>61877.551020408166</v>
      </c>
      <c r="Y44" s="123">
        <f t="shared" si="7"/>
        <v>0.125</v>
      </c>
      <c r="Z44" s="122">
        <f t="shared" si="8"/>
        <v>61900</v>
      </c>
      <c r="AA44" s="124">
        <f t="shared" si="14"/>
        <v>0.30000000000000004</v>
      </c>
      <c r="AB44" s="134"/>
      <c r="AC44" s="135"/>
      <c r="AD44" s="136"/>
      <c r="CB44" s="195"/>
      <c r="CC44" s="195"/>
      <c r="CD44" s="195"/>
      <c r="CE44" s="195"/>
      <c r="CF44" s="196"/>
      <c r="CG44" s="196"/>
      <c r="CH44" s="196"/>
      <c r="CI44" s="196"/>
    </row>
    <row r="45" spans="1:87" s="194" customFormat="1" ht="14.45" hidden="1" customHeight="1" x14ac:dyDescent="0.2">
      <c r="A45" s="111">
        <v>462</v>
      </c>
      <c r="B45" s="127" t="s">
        <v>1079</v>
      </c>
      <c r="C45" s="110" t="str">
        <f t="shared" si="0"/>
        <v xml:space="preserve"> 792</v>
      </c>
      <c r="D45" s="112" t="s">
        <v>1079</v>
      </c>
      <c r="E45" s="110">
        <f t="shared" si="10"/>
        <v>0</v>
      </c>
      <c r="F45" s="113" t="s">
        <v>1029</v>
      </c>
      <c r="G45" s="113" t="s">
        <v>1061</v>
      </c>
      <c r="H45" s="113" t="s">
        <v>361</v>
      </c>
      <c r="I45" s="137">
        <v>37900</v>
      </c>
      <c r="J45" s="115">
        <f t="shared" si="15"/>
        <v>4800</v>
      </c>
      <c r="K45" s="110" t="s">
        <v>94</v>
      </c>
      <c r="L45" s="116">
        <f t="shared" si="16"/>
        <v>33100</v>
      </c>
      <c r="M45" s="116">
        <f>2000+200+600+2000</f>
        <v>4800</v>
      </c>
      <c r="N45" s="117">
        <f t="shared" si="17"/>
        <v>37900</v>
      </c>
      <c r="O45" s="111">
        <v>462</v>
      </c>
      <c r="P45" s="127" t="s">
        <v>1079</v>
      </c>
      <c r="Q45" s="127">
        <v>37900</v>
      </c>
      <c r="R45" s="127">
        <f t="shared" si="18"/>
        <v>0</v>
      </c>
      <c r="S45" s="119"/>
      <c r="T45" s="127" t="s">
        <v>1078</v>
      </c>
      <c r="U45" s="120"/>
      <c r="V45" s="121">
        <f t="shared" si="4"/>
        <v>37900</v>
      </c>
      <c r="W45" s="121">
        <f t="shared" si="5"/>
        <v>54142.857142857145</v>
      </c>
      <c r="X45" s="122">
        <f t="shared" si="6"/>
        <v>61877.551020408166</v>
      </c>
      <c r="Y45" s="123">
        <f t="shared" si="7"/>
        <v>0.125</v>
      </c>
      <c r="Z45" s="122">
        <f t="shared" si="8"/>
        <v>61900</v>
      </c>
      <c r="AA45" s="124">
        <f t="shared" si="14"/>
        <v>0.30000000000000004</v>
      </c>
      <c r="AB45" s="134"/>
      <c r="AC45" s="135"/>
      <c r="AD45" s="136"/>
      <c r="CB45" s="195"/>
      <c r="CC45" s="195"/>
      <c r="CD45" s="195"/>
      <c r="CE45" s="195"/>
      <c r="CF45" s="196"/>
      <c r="CG45" s="196"/>
      <c r="CH45" s="196"/>
      <c r="CI45" s="196"/>
    </row>
    <row r="46" spans="1:87" s="194" customFormat="1" ht="14.45" customHeight="1" x14ac:dyDescent="0.2">
      <c r="A46" s="110">
        <v>463</v>
      </c>
      <c r="B46" s="111" t="s">
        <v>1080</v>
      </c>
      <c r="C46" s="110" t="str">
        <f t="shared" si="0"/>
        <v xml:space="preserve"> 728</v>
      </c>
      <c r="D46" s="112" t="s">
        <v>1080</v>
      </c>
      <c r="E46" s="110">
        <f t="shared" si="10"/>
        <v>0</v>
      </c>
      <c r="F46" s="113" t="s">
        <v>91</v>
      </c>
      <c r="G46" s="113" t="s">
        <v>1061</v>
      </c>
      <c r="H46" s="113" t="s">
        <v>553</v>
      </c>
      <c r="I46" s="114">
        <v>39900</v>
      </c>
      <c r="J46" s="115">
        <f t="shared" si="15"/>
        <v>4900</v>
      </c>
      <c r="K46" s="110" t="s">
        <v>94</v>
      </c>
      <c r="L46" s="116">
        <f t="shared" si="16"/>
        <v>35000</v>
      </c>
      <c r="M46" s="114">
        <v>4900</v>
      </c>
      <c r="N46" s="117">
        <f t="shared" si="17"/>
        <v>39900</v>
      </c>
      <c r="O46" s="110">
        <v>463</v>
      </c>
      <c r="P46" s="111" t="s">
        <v>1080</v>
      </c>
      <c r="Q46" s="111">
        <v>39900</v>
      </c>
      <c r="R46" s="111">
        <f t="shared" si="18"/>
        <v>0</v>
      </c>
      <c r="S46" s="119"/>
      <c r="T46" s="127" t="s">
        <v>1081</v>
      </c>
      <c r="U46" s="120"/>
      <c r="V46" s="121">
        <f t="shared" si="4"/>
        <v>39900</v>
      </c>
      <c r="W46" s="121">
        <f t="shared" si="5"/>
        <v>57000</v>
      </c>
      <c r="X46" s="122">
        <f t="shared" si="6"/>
        <v>65142.857142857145</v>
      </c>
      <c r="Y46" s="123">
        <f t="shared" si="7"/>
        <v>0.12500000000000003</v>
      </c>
      <c r="Z46" s="122">
        <f t="shared" si="8"/>
        <v>65200</v>
      </c>
      <c r="AA46" s="124">
        <f t="shared" si="14"/>
        <v>0.3</v>
      </c>
      <c r="AB46" s="134"/>
      <c r="AC46" s="135"/>
      <c r="AD46" s="136"/>
      <c r="CB46" s="195" t="s">
        <v>1780</v>
      </c>
      <c r="CC46" s="218">
        <v>43420</v>
      </c>
      <c r="CD46" s="195"/>
      <c r="CE46" s="195"/>
      <c r="CF46" s="196"/>
      <c r="CG46" s="196"/>
      <c r="CH46" s="196"/>
      <c r="CI46" s="196"/>
    </row>
    <row r="47" spans="1:87" s="194" customFormat="1" ht="14.45" hidden="1" customHeight="1" x14ac:dyDescent="0.2">
      <c r="A47" s="162">
        <v>464</v>
      </c>
      <c r="B47" s="127" t="s">
        <v>1082</v>
      </c>
      <c r="C47" s="110" t="str">
        <f t="shared" si="0"/>
        <v xml:space="preserve"> 786</v>
      </c>
      <c r="D47" s="112" t="s">
        <v>1082</v>
      </c>
      <c r="E47" s="110">
        <f t="shared" si="10"/>
        <v>0</v>
      </c>
      <c r="F47" s="113" t="s">
        <v>1029</v>
      </c>
      <c r="G47" s="113" t="s">
        <v>1061</v>
      </c>
      <c r="H47" s="113" t="s">
        <v>361</v>
      </c>
      <c r="I47" s="137">
        <v>40900</v>
      </c>
      <c r="J47" s="115">
        <f t="shared" si="15"/>
        <v>5900</v>
      </c>
      <c r="K47" s="110" t="s">
        <v>94</v>
      </c>
      <c r="L47" s="116">
        <f t="shared" si="16"/>
        <v>35000</v>
      </c>
      <c r="M47" s="116">
        <f>2000+300+600+1000+2000</f>
        <v>5900</v>
      </c>
      <c r="N47" s="117">
        <f t="shared" si="17"/>
        <v>40900</v>
      </c>
      <c r="O47" s="162">
        <v>464</v>
      </c>
      <c r="P47" s="127" t="s">
        <v>1082</v>
      </c>
      <c r="Q47" s="127">
        <v>40900</v>
      </c>
      <c r="R47" s="127">
        <f t="shared" si="18"/>
        <v>0</v>
      </c>
      <c r="S47" s="119"/>
      <c r="T47" s="127"/>
      <c r="U47" s="120"/>
      <c r="V47" s="121">
        <f t="shared" si="4"/>
        <v>40900</v>
      </c>
      <c r="W47" s="121">
        <f t="shared" si="5"/>
        <v>58428.571428571435</v>
      </c>
      <c r="X47" s="122">
        <f t="shared" si="6"/>
        <v>66775.510204081642</v>
      </c>
      <c r="Y47" s="123">
        <f t="shared" si="7"/>
        <v>0.12500000000000003</v>
      </c>
      <c r="Z47" s="122">
        <f t="shared" si="8"/>
        <v>66800</v>
      </c>
      <c r="AA47" s="124">
        <f t="shared" si="14"/>
        <v>0.3000000000000001</v>
      </c>
      <c r="AB47" s="134"/>
      <c r="AC47" s="135"/>
      <c r="AD47" s="136"/>
      <c r="CB47" s="195"/>
      <c r="CC47" s="195"/>
      <c r="CD47" s="195"/>
      <c r="CE47" s="195"/>
      <c r="CF47" s="196"/>
      <c r="CG47" s="196"/>
      <c r="CH47" s="196"/>
      <c r="CI47" s="196"/>
    </row>
    <row r="48" spans="1:87" s="194" customFormat="1" ht="14.45" hidden="1" customHeight="1" x14ac:dyDescent="0.2">
      <c r="A48" s="110">
        <v>465</v>
      </c>
      <c r="B48" s="111" t="s">
        <v>1083</v>
      </c>
      <c r="C48" s="110" t="str">
        <f t="shared" si="0"/>
        <v xml:space="preserve"> 937</v>
      </c>
      <c r="D48" s="112" t="s">
        <v>1083</v>
      </c>
      <c r="E48" s="110">
        <f t="shared" si="10"/>
        <v>0</v>
      </c>
      <c r="F48" s="113" t="s">
        <v>91</v>
      </c>
      <c r="G48" s="113" t="s">
        <v>1061</v>
      </c>
      <c r="H48" s="113" t="s">
        <v>549</v>
      </c>
      <c r="I48" s="137">
        <v>32500</v>
      </c>
      <c r="J48" s="115">
        <f t="shared" si="15"/>
        <v>4900</v>
      </c>
      <c r="K48" s="110" t="s">
        <v>94</v>
      </c>
      <c r="L48" s="116">
        <f t="shared" si="16"/>
        <v>27600</v>
      </c>
      <c r="M48" s="116">
        <v>4900</v>
      </c>
      <c r="N48" s="117">
        <f t="shared" si="17"/>
        <v>32500</v>
      </c>
      <c r="O48" s="110">
        <v>465</v>
      </c>
      <c r="P48" s="111" t="s">
        <v>1083</v>
      </c>
      <c r="Q48" s="111">
        <v>32500</v>
      </c>
      <c r="R48" s="111">
        <f t="shared" si="18"/>
        <v>0</v>
      </c>
      <c r="S48" s="119"/>
      <c r="T48" s="127" t="s">
        <v>1081</v>
      </c>
      <c r="U48" s="120"/>
      <c r="V48" s="121">
        <f t="shared" si="4"/>
        <v>32500</v>
      </c>
      <c r="W48" s="121">
        <f t="shared" si="5"/>
        <v>46428.571428571435</v>
      </c>
      <c r="X48" s="122">
        <f t="shared" si="6"/>
        <v>53061.224489795924</v>
      </c>
      <c r="Y48" s="123">
        <f t="shared" si="7"/>
        <v>0.12499999999999999</v>
      </c>
      <c r="Z48" s="122">
        <f t="shared" si="8"/>
        <v>53100</v>
      </c>
      <c r="AA48" s="124">
        <f t="shared" si="14"/>
        <v>0.3000000000000001</v>
      </c>
      <c r="AB48" s="134"/>
      <c r="AC48" s="135"/>
      <c r="AD48" s="136"/>
      <c r="AE48" s="197">
        <f>AVERAGE(W48,W47,W46,W45,W44,W43,W42,W41,W40,W39,W38,W37,W36,W34)</f>
        <v>61061.224489795917</v>
      </c>
      <c r="AF48" s="209">
        <v>61952.38095238094</v>
      </c>
      <c r="AG48" s="205">
        <v>71761.904761904749</v>
      </c>
      <c r="AH48" s="205">
        <v>75068</v>
      </c>
      <c r="AI48" s="201">
        <f>(AF48-AG48)/AG48</f>
        <v>-0.13669542136695423</v>
      </c>
      <c r="AJ48" s="202">
        <v>45900</v>
      </c>
      <c r="AK48" s="200">
        <v>38040</v>
      </c>
      <c r="AL48" s="200">
        <f>32828/0.7</f>
        <v>46897.142857142862</v>
      </c>
      <c r="AM48" s="200">
        <v>54166</v>
      </c>
      <c r="AN48" s="203"/>
      <c r="AO48" s="202">
        <v>46247</v>
      </c>
      <c r="AP48" s="200">
        <f>39392/0.7</f>
        <v>56274.285714285717</v>
      </c>
      <c r="AQ48" s="200">
        <v>51781</v>
      </c>
      <c r="AR48" s="205">
        <v>69204</v>
      </c>
      <c r="AS48" s="204">
        <v>77456</v>
      </c>
      <c r="AT48" s="205">
        <f>46935/0.7</f>
        <v>67050</v>
      </c>
      <c r="AU48" s="205">
        <v>67050</v>
      </c>
      <c r="AV48" s="203"/>
      <c r="AW48" s="204">
        <v>67185</v>
      </c>
      <c r="AX48" s="205">
        <f>47880/0.7</f>
        <v>68400</v>
      </c>
      <c r="AY48" s="203"/>
      <c r="AZ48" s="207"/>
      <c r="BA48" s="203"/>
      <c r="BB48" s="203"/>
      <c r="BC48" s="200">
        <v>53985</v>
      </c>
      <c r="BD48" s="202">
        <v>51435</v>
      </c>
      <c r="BE48" s="205">
        <v>62968</v>
      </c>
      <c r="BF48" s="200">
        <v>57576</v>
      </c>
      <c r="BG48" s="203"/>
      <c r="BH48" s="206"/>
      <c r="BI48" s="200">
        <f>35968/0.7</f>
        <v>51382.857142857145</v>
      </c>
      <c r="BJ48" s="200">
        <v>46286</v>
      </c>
      <c r="BK48" s="205">
        <v>76864</v>
      </c>
      <c r="BL48" s="204">
        <v>72499</v>
      </c>
      <c r="BM48" s="205">
        <f>46706/0.7</f>
        <v>66722.857142857145</v>
      </c>
      <c r="BN48" s="200">
        <v>57667</v>
      </c>
      <c r="BO48" s="203"/>
      <c r="BP48" s="206"/>
      <c r="BQ48" s="205">
        <f>47083/0.7</f>
        <v>67261.42857142858</v>
      </c>
      <c r="BR48" s="205">
        <v>61841</v>
      </c>
      <c r="BS48" s="203"/>
      <c r="BT48" s="207"/>
      <c r="BU48" s="203"/>
      <c r="BV48" s="203"/>
      <c r="BW48" s="203"/>
      <c r="BX48" s="207"/>
      <c r="BY48" s="205">
        <f>45101/0.7</f>
        <v>64430.000000000007</v>
      </c>
      <c r="BZ48" s="205">
        <v>67417</v>
      </c>
      <c r="CA48" s="208"/>
      <c r="CB48" s="177"/>
      <c r="CC48" s="177"/>
      <c r="CD48" s="177"/>
      <c r="CE48" s="177"/>
      <c r="CF48" s="196"/>
      <c r="CG48" s="196"/>
      <c r="CH48" s="196"/>
      <c r="CI48" s="196"/>
    </row>
    <row r="49" spans="1:87" s="194" customFormat="1" ht="14.45" hidden="1" customHeight="1" x14ac:dyDescent="0.2">
      <c r="A49" s="111">
        <v>466</v>
      </c>
      <c r="B49" s="127" t="s">
        <v>1084</v>
      </c>
      <c r="C49" s="110" t="str">
        <f t="shared" si="0"/>
        <v xml:space="preserve"> 549</v>
      </c>
      <c r="D49" s="112" t="s">
        <v>1084</v>
      </c>
      <c r="E49" s="110">
        <f t="shared" si="10"/>
        <v>0</v>
      </c>
      <c r="F49" s="113" t="s">
        <v>1029</v>
      </c>
      <c r="G49" s="113" t="s">
        <v>1085</v>
      </c>
      <c r="H49" s="113" t="s">
        <v>775</v>
      </c>
      <c r="I49" s="128">
        <v>71250</v>
      </c>
      <c r="J49" s="129">
        <v>0</v>
      </c>
      <c r="K49" s="140" t="s">
        <v>97</v>
      </c>
      <c r="L49" s="141">
        <v>71250</v>
      </c>
      <c r="M49" s="132">
        <v>8900</v>
      </c>
      <c r="N49" s="133">
        <v>80150</v>
      </c>
      <c r="O49" s="111">
        <v>466</v>
      </c>
      <c r="P49" s="127" t="s">
        <v>1086</v>
      </c>
      <c r="Q49" s="127">
        <v>80150</v>
      </c>
      <c r="R49" s="111">
        <f t="shared" si="18"/>
        <v>0</v>
      </c>
      <c r="S49" s="119"/>
      <c r="T49" s="127"/>
      <c r="U49" s="120"/>
      <c r="V49" s="121">
        <f t="shared" si="4"/>
        <v>80150</v>
      </c>
      <c r="W49" s="121">
        <f t="shared" si="5"/>
        <v>114500</v>
      </c>
      <c r="X49" s="122">
        <f t="shared" si="6"/>
        <v>130857.14285714286</v>
      </c>
      <c r="Y49" s="123">
        <f t="shared" si="7"/>
        <v>0.12499999999999999</v>
      </c>
      <c r="Z49" s="122">
        <f t="shared" si="8"/>
        <v>130900</v>
      </c>
      <c r="AA49" s="124">
        <f t="shared" si="14"/>
        <v>0.3</v>
      </c>
      <c r="AB49" s="134"/>
      <c r="AC49" s="135"/>
      <c r="AD49" s="136"/>
      <c r="CB49" s="195"/>
      <c r="CC49" s="195"/>
      <c r="CD49" s="195"/>
      <c r="CE49" s="195"/>
      <c r="CF49" s="196"/>
      <c r="CG49" s="196"/>
      <c r="CH49" s="196"/>
      <c r="CI49" s="196"/>
    </row>
    <row r="50" spans="1:87" s="194" customFormat="1" ht="14.45" hidden="1" customHeight="1" x14ac:dyDescent="0.2">
      <c r="A50" s="163">
        <v>467</v>
      </c>
      <c r="B50" s="127" t="s">
        <v>1087</v>
      </c>
      <c r="C50" s="110" t="str">
        <f t="shared" si="0"/>
        <v xml:space="preserve"> 919</v>
      </c>
      <c r="D50" s="112" t="s">
        <v>1087</v>
      </c>
      <c r="E50" s="110">
        <f t="shared" si="10"/>
        <v>0</v>
      </c>
      <c r="F50" s="113" t="s">
        <v>1011</v>
      </c>
      <c r="G50" s="113" t="s">
        <v>1085</v>
      </c>
      <c r="H50" s="113" t="s">
        <v>775</v>
      </c>
      <c r="I50" s="137">
        <f>L50</f>
        <v>77750</v>
      </c>
      <c r="J50" s="115">
        <f t="shared" si="15"/>
        <v>0</v>
      </c>
      <c r="K50" s="146" t="s">
        <v>97</v>
      </c>
      <c r="L50" s="147">
        <v>77750</v>
      </c>
      <c r="M50" s="138">
        <f>2000+600+200+250+650+3600+450</f>
        <v>7750</v>
      </c>
      <c r="N50" s="117">
        <f t="shared" si="17"/>
        <v>85500</v>
      </c>
      <c r="O50" s="163">
        <v>467</v>
      </c>
      <c r="P50" s="127" t="s">
        <v>1087</v>
      </c>
      <c r="Q50" s="127">
        <v>85500</v>
      </c>
      <c r="R50" s="111">
        <f t="shared" si="18"/>
        <v>0</v>
      </c>
      <c r="S50" s="164"/>
      <c r="T50" s="127" t="s">
        <v>1088</v>
      </c>
      <c r="U50" s="120"/>
      <c r="V50" s="121">
        <f t="shared" si="4"/>
        <v>85500</v>
      </c>
      <c r="W50" s="121">
        <f t="shared" si="5"/>
        <v>122142.85714285714</v>
      </c>
      <c r="X50" s="122">
        <f t="shared" si="6"/>
        <v>139591.83673469388</v>
      </c>
      <c r="Y50" s="123">
        <f t="shared" si="7"/>
        <v>0.12499999999999997</v>
      </c>
      <c r="Z50" s="122">
        <f t="shared" si="8"/>
        <v>139600</v>
      </c>
      <c r="AA50" s="124">
        <f t="shared" si="14"/>
        <v>0.3</v>
      </c>
      <c r="AB50" s="134">
        <v>118388</v>
      </c>
      <c r="AC50" s="135">
        <f t="shared" ref="AC50:AC55" si="19">W50-AB50</f>
        <v>3754.8571428571449</v>
      </c>
      <c r="AD50" s="136">
        <f t="shared" ref="AD50:AD55" si="20">AC50/AB50</f>
        <v>3.1716534977000582E-2</v>
      </c>
      <c r="CB50" s="195"/>
      <c r="CC50" s="195"/>
      <c r="CD50" s="195"/>
      <c r="CE50" s="195"/>
      <c r="CF50" s="196"/>
      <c r="CG50" s="196"/>
      <c r="CH50" s="196"/>
      <c r="CI50" s="196"/>
    </row>
    <row r="51" spans="1:87" s="194" customFormat="1" ht="14.45" hidden="1" customHeight="1" x14ac:dyDescent="0.2">
      <c r="A51" s="162">
        <v>468</v>
      </c>
      <c r="B51" s="127" t="s">
        <v>1089</v>
      </c>
      <c r="C51" s="110" t="str">
        <f t="shared" si="0"/>
        <v xml:space="preserve"> 141</v>
      </c>
      <c r="D51" s="112" t="s">
        <v>1089</v>
      </c>
      <c r="E51" s="110">
        <f t="shared" si="10"/>
        <v>0</v>
      </c>
      <c r="F51" s="113" t="s">
        <v>1011</v>
      </c>
      <c r="G51" s="113" t="s">
        <v>1085</v>
      </c>
      <c r="H51" s="113" t="s">
        <v>775</v>
      </c>
      <c r="I51" s="137">
        <f>L51</f>
        <v>77750</v>
      </c>
      <c r="J51" s="115">
        <f t="shared" si="15"/>
        <v>0</v>
      </c>
      <c r="K51" s="146" t="s">
        <v>97</v>
      </c>
      <c r="L51" s="147">
        <v>77750</v>
      </c>
      <c r="M51" s="138">
        <f>2000+600+200+250+650+3600+450</f>
        <v>7750</v>
      </c>
      <c r="N51" s="117">
        <f t="shared" si="17"/>
        <v>85500</v>
      </c>
      <c r="O51" s="162">
        <v>468</v>
      </c>
      <c r="P51" s="127" t="s">
        <v>1089</v>
      </c>
      <c r="Q51" s="127">
        <v>85500</v>
      </c>
      <c r="R51" s="127">
        <f t="shared" si="18"/>
        <v>0</v>
      </c>
      <c r="S51" s="164"/>
      <c r="T51" s="127" t="s">
        <v>1090</v>
      </c>
      <c r="U51" s="120"/>
      <c r="V51" s="121">
        <f t="shared" si="4"/>
        <v>85500</v>
      </c>
      <c r="W51" s="121">
        <f t="shared" si="5"/>
        <v>122142.85714285714</v>
      </c>
      <c r="X51" s="122">
        <f t="shared" si="6"/>
        <v>139591.83673469388</v>
      </c>
      <c r="Y51" s="123">
        <f t="shared" si="7"/>
        <v>0.12499999999999997</v>
      </c>
      <c r="Z51" s="122">
        <f t="shared" si="8"/>
        <v>139600</v>
      </c>
      <c r="AA51" s="124">
        <f t="shared" si="14"/>
        <v>0.3</v>
      </c>
      <c r="AB51" s="134">
        <v>118388</v>
      </c>
      <c r="AC51" s="135">
        <f t="shared" si="19"/>
        <v>3754.8571428571449</v>
      </c>
      <c r="AD51" s="136">
        <f t="shared" si="20"/>
        <v>3.1716534977000582E-2</v>
      </c>
      <c r="CB51" s="195"/>
      <c r="CC51" s="195"/>
      <c r="CD51" s="195"/>
      <c r="CE51" s="195"/>
      <c r="CF51" s="196"/>
      <c r="CG51" s="196"/>
      <c r="CH51" s="196"/>
      <c r="CI51" s="196"/>
    </row>
    <row r="52" spans="1:87" s="194" customFormat="1" ht="14.45" hidden="1" customHeight="1" x14ac:dyDescent="0.2">
      <c r="A52" s="127">
        <v>469</v>
      </c>
      <c r="B52" s="127" t="s">
        <v>1091</v>
      </c>
      <c r="C52" s="110" t="str">
        <f t="shared" si="0"/>
        <v xml:space="preserve"> 598</v>
      </c>
      <c r="D52" s="112" t="s">
        <v>1091</v>
      </c>
      <c r="E52" s="110">
        <f t="shared" si="10"/>
        <v>0</v>
      </c>
      <c r="F52" s="113" t="s">
        <v>1011</v>
      </c>
      <c r="G52" s="113" t="s">
        <v>1085</v>
      </c>
      <c r="H52" s="113" t="s">
        <v>520</v>
      </c>
      <c r="I52" s="114">
        <v>72000</v>
      </c>
      <c r="J52" s="115">
        <f t="shared" si="15"/>
        <v>0</v>
      </c>
      <c r="K52" s="154" t="s">
        <v>87</v>
      </c>
      <c r="L52" s="155">
        <f>I52</f>
        <v>72000</v>
      </c>
      <c r="M52" s="156">
        <f>2000+3450+800+200+250+400</f>
        <v>7100</v>
      </c>
      <c r="N52" s="156">
        <f>M52+L52</f>
        <v>79100</v>
      </c>
      <c r="O52" s="127">
        <v>469</v>
      </c>
      <c r="P52" s="127" t="s">
        <v>1091</v>
      </c>
      <c r="Q52" s="142"/>
      <c r="R52" s="142"/>
      <c r="S52" s="165"/>
      <c r="T52" s="166" t="s">
        <v>1092</v>
      </c>
      <c r="U52" s="120">
        <v>6000</v>
      </c>
      <c r="V52" s="121">
        <f t="shared" si="4"/>
        <v>85100</v>
      </c>
      <c r="W52" s="121">
        <f t="shared" si="5"/>
        <v>121571.42857142858</v>
      </c>
      <c r="X52" s="122">
        <f t="shared" si="6"/>
        <v>138938.77551020408</v>
      </c>
      <c r="Y52" s="123">
        <f t="shared" si="7"/>
        <v>0.12499999999999994</v>
      </c>
      <c r="Z52" s="122">
        <f t="shared" si="8"/>
        <v>139000</v>
      </c>
      <c r="AA52" s="124">
        <f t="shared" si="14"/>
        <v>0.34935370152761464</v>
      </c>
      <c r="AB52" s="159">
        <v>120225</v>
      </c>
      <c r="AC52" s="159">
        <f t="shared" si="19"/>
        <v>1346.4285714285797</v>
      </c>
      <c r="AD52" s="160">
        <f t="shared" si="20"/>
        <v>1.1199239521136035E-2</v>
      </c>
      <c r="CB52" s="195"/>
      <c r="CC52" s="195"/>
      <c r="CD52" s="195"/>
      <c r="CE52" s="195"/>
      <c r="CF52" s="196"/>
      <c r="CG52" s="196"/>
      <c r="CH52" s="196"/>
      <c r="CI52" s="196"/>
    </row>
    <row r="53" spans="1:87" s="194" customFormat="1" ht="14.45" hidden="1" customHeight="1" x14ac:dyDescent="0.2">
      <c r="A53" s="162">
        <v>470</v>
      </c>
      <c r="B53" s="127" t="s">
        <v>1093</v>
      </c>
      <c r="C53" s="110" t="str">
        <f t="shared" si="0"/>
        <v xml:space="preserve"> 510</v>
      </c>
      <c r="D53" s="112" t="s">
        <v>1093</v>
      </c>
      <c r="E53" s="110">
        <f t="shared" si="10"/>
        <v>0</v>
      </c>
      <c r="F53" s="113" t="s">
        <v>1011</v>
      </c>
      <c r="G53" s="113" t="s">
        <v>1085</v>
      </c>
      <c r="H53" s="113" t="s">
        <v>775</v>
      </c>
      <c r="I53" s="137">
        <f>L53</f>
        <v>65250</v>
      </c>
      <c r="J53" s="115">
        <f t="shared" si="15"/>
        <v>0</v>
      </c>
      <c r="K53" s="146" t="s">
        <v>97</v>
      </c>
      <c r="L53" s="147">
        <v>65250</v>
      </c>
      <c r="M53" s="138">
        <f>2000+600+200+250+800+3600+450</f>
        <v>7900</v>
      </c>
      <c r="N53" s="117">
        <f t="shared" ref="N53:N77" si="21">L53+M53</f>
        <v>73150</v>
      </c>
      <c r="O53" s="162">
        <v>470</v>
      </c>
      <c r="P53" s="127" t="s">
        <v>1093</v>
      </c>
      <c r="Q53" s="127">
        <v>73150</v>
      </c>
      <c r="R53" s="127">
        <f>N53-Q53</f>
        <v>0</v>
      </c>
      <c r="S53" s="164"/>
      <c r="T53" s="127" t="s">
        <v>1094</v>
      </c>
      <c r="U53" s="120"/>
      <c r="V53" s="121">
        <f t="shared" si="4"/>
        <v>73150</v>
      </c>
      <c r="W53" s="121">
        <f t="shared" si="5"/>
        <v>104500</v>
      </c>
      <c r="X53" s="122">
        <f t="shared" si="6"/>
        <v>119428.57142857143</v>
      </c>
      <c r="Y53" s="123">
        <f t="shared" si="7"/>
        <v>0.12500000000000006</v>
      </c>
      <c r="Z53" s="122">
        <f t="shared" si="8"/>
        <v>119500</v>
      </c>
      <c r="AA53" s="124">
        <f t="shared" si="14"/>
        <v>0.3</v>
      </c>
      <c r="AB53" s="134">
        <v>96513</v>
      </c>
      <c r="AC53" s="135">
        <f t="shared" si="19"/>
        <v>7987</v>
      </c>
      <c r="AD53" s="136">
        <f t="shared" si="20"/>
        <v>8.2755690943189006E-2</v>
      </c>
      <c r="CB53" s="195"/>
      <c r="CC53" s="195"/>
      <c r="CD53" s="195"/>
      <c r="CE53" s="195"/>
      <c r="CF53" s="196"/>
      <c r="CG53" s="196"/>
      <c r="CH53" s="196"/>
      <c r="CI53" s="196"/>
    </row>
    <row r="54" spans="1:87" s="194" customFormat="1" ht="14.45" hidden="1" customHeight="1" x14ac:dyDescent="0.2">
      <c r="A54" s="127">
        <v>471</v>
      </c>
      <c r="B54" s="127" t="s">
        <v>1095</v>
      </c>
      <c r="C54" s="110" t="str">
        <f t="shared" si="0"/>
        <v xml:space="preserve"> 267</v>
      </c>
      <c r="D54" s="112" t="s">
        <v>1095</v>
      </c>
      <c r="E54" s="110">
        <f t="shared" si="10"/>
        <v>0</v>
      </c>
      <c r="F54" s="113" t="s">
        <v>1011</v>
      </c>
      <c r="G54" s="113" t="s">
        <v>1085</v>
      </c>
      <c r="H54" s="113" t="s">
        <v>1096</v>
      </c>
      <c r="I54" s="128">
        <v>68000</v>
      </c>
      <c r="J54" s="139">
        <v>0</v>
      </c>
      <c r="K54" s="140" t="s">
        <v>97</v>
      </c>
      <c r="L54" s="141">
        <v>68000</v>
      </c>
      <c r="M54" s="132">
        <v>7200</v>
      </c>
      <c r="N54" s="133">
        <v>75200</v>
      </c>
      <c r="O54" s="127">
        <v>471</v>
      </c>
      <c r="P54" s="127" t="s">
        <v>1095</v>
      </c>
      <c r="Q54" s="127">
        <v>75200</v>
      </c>
      <c r="R54" s="127">
        <f>N54-Q54</f>
        <v>0</v>
      </c>
      <c r="S54" s="119"/>
      <c r="T54" s="127"/>
      <c r="U54" s="120">
        <v>-3000</v>
      </c>
      <c r="V54" s="121">
        <f t="shared" si="4"/>
        <v>72200</v>
      </c>
      <c r="W54" s="121">
        <f t="shared" si="5"/>
        <v>103142.85714285714</v>
      </c>
      <c r="X54" s="122">
        <f t="shared" si="6"/>
        <v>117877.55102040817</v>
      </c>
      <c r="Y54" s="123">
        <f t="shared" si="7"/>
        <v>0.125</v>
      </c>
      <c r="Z54" s="122">
        <f t="shared" si="8"/>
        <v>117900</v>
      </c>
      <c r="AA54" s="124">
        <f t="shared" si="14"/>
        <v>0.2709141274238227</v>
      </c>
      <c r="AB54" s="159">
        <v>95725</v>
      </c>
      <c r="AC54" s="159">
        <f t="shared" si="19"/>
        <v>7417.8571428571449</v>
      </c>
      <c r="AD54" s="160">
        <f t="shared" si="20"/>
        <v>7.7491325597880856E-2</v>
      </c>
      <c r="CB54" s="195"/>
      <c r="CC54" s="195"/>
      <c r="CD54" s="195"/>
      <c r="CE54" s="195"/>
      <c r="CF54" s="196"/>
      <c r="CG54" s="196"/>
      <c r="CH54" s="196"/>
      <c r="CI54" s="196"/>
    </row>
    <row r="55" spans="1:87" s="194" customFormat="1" ht="14.45" hidden="1" customHeight="1" x14ac:dyDescent="0.2">
      <c r="A55" s="162">
        <v>472</v>
      </c>
      <c r="B55" s="127" t="s">
        <v>1097</v>
      </c>
      <c r="C55" s="110" t="str">
        <f t="shared" si="0"/>
        <v xml:space="preserve"> 319</v>
      </c>
      <c r="D55" s="112" t="s">
        <v>1097</v>
      </c>
      <c r="E55" s="110">
        <f t="shared" si="10"/>
        <v>0</v>
      </c>
      <c r="F55" s="113" t="s">
        <v>1011</v>
      </c>
      <c r="G55" s="113" t="s">
        <v>1085</v>
      </c>
      <c r="H55" s="113" t="s">
        <v>775</v>
      </c>
      <c r="I55" s="137">
        <f>L55</f>
        <v>67750</v>
      </c>
      <c r="J55" s="115">
        <f t="shared" si="15"/>
        <v>0</v>
      </c>
      <c r="K55" s="146" t="s">
        <v>97</v>
      </c>
      <c r="L55" s="147">
        <v>67750</v>
      </c>
      <c r="M55" s="138">
        <f>2000+600+200+250+700+3600+450</f>
        <v>7800</v>
      </c>
      <c r="N55" s="117">
        <f t="shared" si="21"/>
        <v>75550</v>
      </c>
      <c r="O55" s="162">
        <v>472</v>
      </c>
      <c r="P55" s="127" t="s">
        <v>1097</v>
      </c>
      <c r="Q55" s="127">
        <v>75150</v>
      </c>
      <c r="R55" s="127">
        <f>N55-Q55</f>
        <v>400</v>
      </c>
      <c r="S55" s="164"/>
      <c r="T55" s="127" t="s">
        <v>1098</v>
      </c>
      <c r="U55" s="120"/>
      <c r="V55" s="121">
        <f t="shared" si="4"/>
        <v>75550</v>
      </c>
      <c r="W55" s="121">
        <f t="shared" si="5"/>
        <v>107928.57142857143</v>
      </c>
      <c r="X55" s="122">
        <f t="shared" si="6"/>
        <v>123346.93877551021</v>
      </c>
      <c r="Y55" s="123">
        <f t="shared" si="7"/>
        <v>0.12499999999999997</v>
      </c>
      <c r="Z55" s="122">
        <f t="shared" si="8"/>
        <v>123400</v>
      </c>
      <c r="AA55" s="124">
        <f t="shared" si="14"/>
        <v>0.30000000000000004</v>
      </c>
      <c r="AB55" s="134">
        <v>102900</v>
      </c>
      <c r="AC55" s="135">
        <f t="shared" si="19"/>
        <v>5028.5714285714348</v>
      </c>
      <c r="AD55" s="136">
        <f t="shared" si="20"/>
        <v>4.886852700263785E-2</v>
      </c>
      <c r="CB55" s="195"/>
      <c r="CC55" s="195"/>
      <c r="CD55" s="195"/>
      <c r="CE55" s="195"/>
      <c r="CF55" s="196"/>
      <c r="CG55" s="196"/>
      <c r="CH55" s="196"/>
      <c r="CI55" s="196"/>
    </row>
    <row r="56" spans="1:87" s="194" customFormat="1" ht="14.45" hidden="1" customHeight="1" x14ac:dyDescent="0.2">
      <c r="A56" s="127">
        <v>473</v>
      </c>
      <c r="B56" s="127" t="s">
        <v>1099</v>
      </c>
      <c r="C56" s="110" t="str">
        <f t="shared" si="0"/>
        <v xml:space="preserve"> 669</v>
      </c>
      <c r="D56" s="112" t="s">
        <v>1099</v>
      </c>
      <c r="E56" s="110">
        <f t="shared" si="10"/>
        <v>0</v>
      </c>
      <c r="F56" s="113" t="s">
        <v>1029</v>
      </c>
      <c r="G56" s="113" t="s">
        <v>1085</v>
      </c>
      <c r="H56" s="113" t="s">
        <v>1100</v>
      </c>
      <c r="I56" s="137">
        <f>L56</f>
        <v>69000</v>
      </c>
      <c r="J56" s="145">
        <f t="shared" si="15"/>
        <v>0</v>
      </c>
      <c r="K56" s="146" t="s">
        <v>97</v>
      </c>
      <c r="L56" s="147">
        <v>69000</v>
      </c>
      <c r="M56" s="138">
        <f>2000+200+250+600+1000+3600+450</f>
        <v>8100</v>
      </c>
      <c r="N56" s="117">
        <f t="shared" si="21"/>
        <v>77100</v>
      </c>
      <c r="O56" s="127">
        <v>473</v>
      </c>
      <c r="P56" s="127" t="s">
        <v>1099</v>
      </c>
      <c r="Q56" s="127"/>
      <c r="R56" s="127"/>
      <c r="S56" s="119"/>
      <c r="T56" s="127" t="s">
        <v>1101</v>
      </c>
      <c r="U56" s="120"/>
      <c r="V56" s="121">
        <f t="shared" si="4"/>
        <v>77100</v>
      </c>
      <c r="W56" s="121">
        <f t="shared" si="5"/>
        <v>110142.85714285714</v>
      </c>
      <c r="X56" s="122">
        <f t="shared" si="6"/>
        <v>125877.55102040817</v>
      </c>
      <c r="Y56" s="123">
        <f t="shared" si="7"/>
        <v>0.125</v>
      </c>
      <c r="Z56" s="122">
        <f t="shared" si="8"/>
        <v>125900</v>
      </c>
      <c r="AA56" s="124">
        <f t="shared" si="14"/>
        <v>0.3</v>
      </c>
      <c r="AB56" s="134"/>
      <c r="AC56" s="135"/>
      <c r="AD56" s="136"/>
      <c r="CB56" s="195"/>
      <c r="CC56" s="195"/>
      <c r="CD56" s="195"/>
      <c r="CE56" s="195"/>
      <c r="CF56" s="196"/>
      <c r="CG56" s="196"/>
      <c r="CH56" s="196"/>
      <c r="CI56" s="196"/>
    </row>
    <row r="57" spans="1:87" s="194" customFormat="1" ht="14.45" hidden="1" customHeight="1" x14ac:dyDescent="0.2">
      <c r="A57" s="162">
        <v>474</v>
      </c>
      <c r="B57" s="127" t="s">
        <v>1102</v>
      </c>
      <c r="C57" s="110" t="str">
        <f t="shared" si="0"/>
        <v xml:space="preserve"> 380</v>
      </c>
      <c r="D57" s="112" t="s">
        <v>1102</v>
      </c>
      <c r="E57" s="110">
        <f t="shared" si="10"/>
        <v>0</v>
      </c>
      <c r="F57" s="113" t="s">
        <v>1011</v>
      </c>
      <c r="G57" s="113" t="s">
        <v>1085</v>
      </c>
      <c r="H57" s="113" t="s">
        <v>775</v>
      </c>
      <c r="I57" s="137">
        <f>L57</f>
        <v>63250</v>
      </c>
      <c r="J57" s="115">
        <f t="shared" si="15"/>
        <v>0</v>
      </c>
      <c r="K57" s="146" t="s">
        <v>97</v>
      </c>
      <c r="L57" s="147">
        <v>63250</v>
      </c>
      <c r="M57" s="138">
        <f>2000+600+200+250+800+3600+450</f>
        <v>7900</v>
      </c>
      <c r="N57" s="117">
        <f t="shared" si="21"/>
        <v>71150</v>
      </c>
      <c r="O57" s="162">
        <v>474</v>
      </c>
      <c r="P57" s="127" t="s">
        <v>1102</v>
      </c>
      <c r="Q57" s="127">
        <v>71150</v>
      </c>
      <c r="R57" s="127">
        <f>N57-Q57</f>
        <v>0</v>
      </c>
      <c r="S57" s="164"/>
      <c r="T57" s="127" t="s">
        <v>1103</v>
      </c>
      <c r="U57" s="120">
        <v>-2000</v>
      </c>
      <c r="V57" s="121">
        <f t="shared" si="4"/>
        <v>69150</v>
      </c>
      <c r="W57" s="121">
        <f t="shared" si="5"/>
        <v>98785.71428571429</v>
      </c>
      <c r="X57" s="122">
        <f t="shared" si="6"/>
        <v>112897.95918367348</v>
      </c>
      <c r="Y57" s="123">
        <f t="shared" si="7"/>
        <v>0.12500000000000003</v>
      </c>
      <c r="Z57" s="122">
        <f t="shared" si="8"/>
        <v>112900</v>
      </c>
      <c r="AA57" s="124">
        <f t="shared" si="14"/>
        <v>0.27975415762834421</v>
      </c>
      <c r="AB57" s="159">
        <v>94325</v>
      </c>
      <c r="AC57" s="159">
        <f>W57-AB57</f>
        <v>4460.7142857142899</v>
      </c>
      <c r="AD57" s="160">
        <f>AC57/AB57</f>
        <v>4.729090151830681E-2</v>
      </c>
      <c r="CB57" s="195"/>
      <c r="CC57" s="195"/>
      <c r="CD57" s="195"/>
      <c r="CE57" s="195"/>
      <c r="CF57" s="196"/>
      <c r="CG57" s="196"/>
      <c r="CH57" s="196"/>
      <c r="CI57" s="196"/>
    </row>
    <row r="58" spans="1:87" s="194" customFormat="1" ht="14.45" hidden="1" customHeight="1" x14ac:dyDescent="0.2">
      <c r="A58" s="163">
        <v>475</v>
      </c>
      <c r="B58" s="127" t="s">
        <v>1104</v>
      </c>
      <c r="C58" s="110" t="str">
        <f t="shared" si="0"/>
        <v xml:space="preserve"> 667</v>
      </c>
      <c r="D58" s="112" t="s">
        <v>1104</v>
      </c>
      <c r="E58" s="110">
        <f t="shared" si="10"/>
        <v>0</v>
      </c>
      <c r="F58" s="113" t="s">
        <v>1011</v>
      </c>
      <c r="G58" s="113" t="s">
        <v>1085</v>
      </c>
      <c r="H58" s="113" t="s">
        <v>775</v>
      </c>
      <c r="I58" s="137">
        <f>L58</f>
        <v>77750</v>
      </c>
      <c r="J58" s="115">
        <f t="shared" si="15"/>
        <v>0</v>
      </c>
      <c r="K58" s="146" t="s">
        <v>97</v>
      </c>
      <c r="L58" s="147">
        <v>77750</v>
      </c>
      <c r="M58" s="138">
        <f>2000+600+200+250+650+3600+450</f>
        <v>7750</v>
      </c>
      <c r="N58" s="117">
        <f t="shared" si="21"/>
        <v>85500</v>
      </c>
      <c r="O58" s="163">
        <v>475</v>
      </c>
      <c r="P58" s="127" t="s">
        <v>1104</v>
      </c>
      <c r="Q58" s="127">
        <v>85500</v>
      </c>
      <c r="R58" s="127">
        <f>N58-Q58</f>
        <v>0</v>
      </c>
      <c r="S58" s="164"/>
      <c r="T58" s="127" t="s">
        <v>776</v>
      </c>
      <c r="U58" s="120">
        <v>-4000</v>
      </c>
      <c r="V58" s="121">
        <f t="shared" si="4"/>
        <v>81500</v>
      </c>
      <c r="W58" s="121">
        <f t="shared" si="5"/>
        <v>116428.57142857143</v>
      </c>
      <c r="X58" s="122">
        <f t="shared" si="6"/>
        <v>133061.22448979592</v>
      </c>
      <c r="Y58" s="123">
        <f t="shared" si="7"/>
        <v>0.12499999999999994</v>
      </c>
      <c r="Z58" s="122">
        <f t="shared" si="8"/>
        <v>133100</v>
      </c>
      <c r="AA58" s="124">
        <f t="shared" si="14"/>
        <v>0.26564417177914113</v>
      </c>
      <c r="AB58" s="159">
        <v>111300</v>
      </c>
      <c r="AC58" s="159">
        <f>W58-AB58</f>
        <v>5128.5714285714348</v>
      </c>
      <c r="AD58" s="160">
        <f>AC58/AB58</f>
        <v>4.6078808882043437E-2</v>
      </c>
      <c r="CB58" s="195"/>
      <c r="CC58" s="195"/>
      <c r="CD58" s="195"/>
      <c r="CE58" s="195"/>
      <c r="CF58" s="196"/>
      <c r="CG58" s="196"/>
      <c r="CH58" s="196"/>
      <c r="CI58" s="196"/>
    </row>
    <row r="59" spans="1:87" s="194" customFormat="1" ht="14.45" customHeight="1" x14ac:dyDescent="0.2">
      <c r="A59" s="111">
        <v>476</v>
      </c>
      <c r="B59" s="127" t="s">
        <v>1105</v>
      </c>
      <c r="C59" s="110" t="str">
        <f t="shared" si="0"/>
        <v xml:space="preserve"> 765</v>
      </c>
      <c r="D59" s="112" t="s">
        <v>1105</v>
      </c>
      <c r="E59" s="110">
        <f t="shared" si="10"/>
        <v>0</v>
      </c>
      <c r="F59" s="113" t="s">
        <v>1029</v>
      </c>
      <c r="G59" s="113" t="s">
        <v>1085</v>
      </c>
      <c r="H59" s="113" t="s">
        <v>818</v>
      </c>
      <c r="I59" s="137">
        <f>L59</f>
        <v>68000</v>
      </c>
      <c r="J59" s="145">
        <f t="shared" si="15"/>
        <v>0</v>
      </c>
      <c r="K59" s="146" t="s">
        <v>97</v>
      </c>
      <c r="L59" s="147">
        <v>68000</v>
      </c>
      <c r="M59" s="138">
        <f>2000+200+250+600+1000+3600+450</f>
        <v>8100</v>
      </c>
      <c r="N59" s="117">
        <f t="shared" si="21"/>
        <v>76100</v>
      </c>
      <c r="O59" s="111">
        <v>476</v>
      </c>
      <c r="P59" s="127" t="s">
        <v>1105</v>
      </c>
      <c r="Q59" s="127"/>
      <c r="R59" s="127"/>
      <c r="S59" s="165"/>
      <c r="T59" s="167" t="s">
        <v>820</v>
      </c>
      <c r="U59" s="120"/>
      <c r="V59" s="121">
        <f t="shared" si="4"/>
        <v>76100</v>
      </c>
      <c r="W59" s="121">
        <f t="shared" si="5"/>
        <v>108714.28571428572</v>
      </c>
      <c r="X59" s="122">
        <f t="shared" si="6"/>
        <v>124244.89795918368</v>
      </c>
      <c r="Y59" s="123">
        <f t="shared" si="7"/>
        <v>0.12499999999999999</v>
      </c>
      <c r="Z59" s="122">
        <f t="shared" si="8"/>
        <v>124300</v>
      </c>
      <c r="AA59" s="124">
        <f t="shared" si="14"/>
        <v>0.30000000000000004</v>
      </c>
      <c r="AB59" s="134"/>
      <c r="AC59" s="135"/>
      <c r="AD59" s="136"/>
      <c r="CB59" s="195" t="s">
        <v>1780</v>
      </c>
      <c r="CC59" s="218">
        <v>43420</v>
      </c>
      <c r="CD59" s="195"/>
      <c r="CE59" s="195"/>
      <c r="CF59" s="196"/>
      <c r="CG59" s="196"/>
      <c r="CH59" s="196"/>
      <c r="CI59" s="196"/>
    </row>
    <row r="60" spans="1:87" s="194" customFormat="1" ht="14.45" hidden="1" customHeight="1" x14ac:dyDescent="0.2">
      <c r="A60" s="127">
        <v>477</v>
      </c>
      <c r="B60" s="127" t="s">
        <v>1106</v>
      </c>
      <c r="C60" s="110" t="str">
        <f t="shared" si="0"/>
        <v xml:space="preserve"> 666</v>
      </c>
      <c r="D60" s="112" t="s">
        <v>1106</v>
      </c>
      <c r="E60" s="110">
        <f t="shared" si="10"/>
        <v>0</v>
      </c>
      <c r="F60" s="113" t="s">
        <v>1029</v>
      </c>
      <c r="G60" s="113" t="s">
        <v>1085</v>
      </c>
      <c r="H60" s="113" t="s">
        <v>520</v>
      </c>
      <c r="I60" s="137"/>
      <c r="J60" s="115">
        <f t="shared" si="15"/>
        <v>0</v>
      </c>
      <c r="K60" s="110" t="s">
        <v>94</v>
      </c>
      <c r="L60" s="116">
        <f>I60-M60</f>
        <v>0</v>
      </c>
      <c r="M60" s="116"/>
      <c r="N60" s="117">
        <f t="shared" si="21"/>
        <v>0</v>
      </c>
      <c r="O60" s="127">
        <v>477</v>
      </c>
      <c r="P60" s="127" t="s">
        <v>1107</v>
      </c>
      <c r="Q60" s="127"/>
      <c r="R60" s="127"/>
      <c r="S60" s="119"/>
      <c r="T60" s="127"/>
      <c r="U60" s="120"/>
      <c r="V60" s="121">
        <f t="shared" si="4"/>
        <v>0</v>
      </c>
      <c r="W60" s="121">
        <f t="shared" si="5"/>
        <v>0</v>
      </c>
      <c r="X60" s="122">
        <f t="shared" si="6"/>
        <v>0</v>
      </c>
      <c r="Y60" s="123" t="e">
        <f t="shared" si="7"/>
        <v>#DIV/0!</v>
      </c>
      <c r="Z60" s="122">
        <f t="shared" si="8"/>
        <v>0</v>
      </c>
      <c r="AA60" s="124" t="e">
        <f t="shared" si="14"/>
        <v>#DIV/0!</v>
      </c>
      <c r="AB60" s="134"/>
      <c r="AC60" s="135"/>
      <c r="AD60" s="136"/>
      <c r="CB60" s="195"/>
      <c r="CC60" s="195"/>
      <c r="CD60" s="195"/>
      <c r="CE60" s="195"/>
      <c r="CF60" s="196"/>
      <c r="CG60" s="196"/>
      <c r="CH60" s="196"/>
      <c r="CI60" s="196"/>
    </row>
    <row r="61" spans="1:87" s="194" customFormat="1" ht="14.45" hidden="1" customHeight="1" x14ac:dyDescent="0.2">
      <c r="A61" s="162">
        <v>478</v>
      </c>
      <c r="B61" s="127" t="s">
        <v>1108</v>
      </c>
      <c r="C61" s="110" t="str">
        <f t="shared" si="0"/>
        <v xml:space="preserve"> 386</v>
      </c>
      <c r="D61" s="112" t="s">
        <v>1108</v>
      </c>
      <c r="E61" s="110">
        <f t="shared" si="10"/>
        <v>0</v>
      </c>
      <c r="F61" s="113" t="s">
        <v>1011</v>
      </c>
      <c r="G61" s="113" t="s">
        <v>1085</v>
      </c>
      <c r="H61" s="113" t="s">
        <v>775</v>
      </c>
      <c r="I61" s="137">
        <f>L61</f>
        <v>69250</v>
      </c>
      <c r="J61" s="115">
        <f t="shared" si="15"/>
        <v>0</v>
      </c>
      <c r="K61" s="146" t="s">
        <v>97</v>
      </c>
      <c r="L61" s="147">
        <v>69250</v>
      </c>
      <c r="M61" s="138">
        <f>2000+600+200+250+400+800+3600+450</f>
        <v>8300</v>
      </c>
      <c r="N61" s="117">
        <f t="shared" si="21"/>
        <v>77550</v>
      </c>
      <c r="O61" s="162">
        <v>478</v>
      </c>
      <c r="P61" s="127" t="s">
        <v>1108</v>
      </c>
      <c r="Q61" s="127">
        <v>77550</v>
      </c>
      <c r="R61" s="127">
        <f>N61-Q61</f>
        <v>0</v>
      </c>
      <c r="S61" s="164"/>
      <c r="T61" s="127" t="s">
        <v>1109</v>
      </c>
      <c r="U61" s="120"/>
      <c r="V61" s="121">
        <f t="shared" si="4"/>
        <v>77550</v>
      </c>
      <c r="W61" s="121">
        <f t="shared" si="5"/>
        <v>110785.71428571429</v>
      </c>
      <c r="X61" s="122">
        <f t="shared" si="6"/>
        <v>126612.24489795919</v>
      </c>
      <c r="Y61" s="123">
        <f t="shared" si="7"/>
        <v>0.12499999999999999</v>
      </c>
      <c r="Z61" s="122">
        <f t="shared" si="8"/>
        <v>126700</v>
      </c>
      <c r="AA61" s="124">
        <f t="shared" si="14"/>
        <v>0.30000000000000004</v>
      </c>
      <c r="AB61" s="134">
        <v>108500</v>
      </c>
      <c r="AC61" s="135">
        <f>W61-AB61</f>
        <v>2285.7142857142899</v>
      </c>
      <c r="AD61" s="136">
        <f>AC61/AB61</f>
        <v>2.1066491112574099E-2</v>
      </c>
      <c r="CB61" s="195"/>
      <c r="CC61" s="195"/>
      <c r="CD61" s="195"/>
      <c r="CE61" s="195"/>
      <c r="CF61" s="196"/>
      <c r="CG61" s="196"/>
      <c r="CH61" s="196"/>
      <c r="CI61" s="196"/>
    </row>
    <row r="62" spans="1:87" s="194" customFormat="1" ht="14.45" hidden="1" customHeight="1" x14ac:dyDescent="0.2">
      <c r="A62" s="127">
        <v>479</v>
      </c>
      <c r="B62" s="127" t="s">
        <v>1110</v>
      </c>
      <c r="C62" s="110" t="str">
        <f t="shared" si="0"/>
        <v xml:space="preserve"> 388</v>
      </c>
      <c r="D62" s="112" t="s">
        <v>1110</v>
      </c>
      <c r="E62" s="110">
        <f t="shared" si="10"/>
        <v>0</v>
      </c>
      <c r="F62" s="113" t="s">
        <v>1029</v>
      </c>
      <c r="G62" s="113" t="s">
        <v>1085</v>
      </c>
      <c r="H62" s="113" t="s">
        <v>780</v>
      </c>
      <c r="I62" s="137">
        <f>L62</f>
        <v>75000</v>
      </c>
      <c r="J62" s="115">
        <f t="shared" si="15"/>
        <v>0</v>
      </c>
      <c r="K62" s="146" t="s">
        <v>97</v>
      </c>
      <c r="L62" s="147">
        <v>75000</v>
      </c>
      <c r="M62" s="138">
        <f>2000+200+250+600+1000+3600</f>
        <v>7650</v>
      </c>
      <c r="N62" s="117">
        <f t="shared" si="21"/>
        <v>82650</v>
      </c>
      <c r="O62" s="127">
        <v>479</v>
      </c>
      <c r="P62" s="127" t="s">
        <v>1110</v>
      </c>
      <c r="Q62" s="127">
        <v>82650</v>
      </c>
      <c r="R62" s="127">
        <f>N62-Q62</f>
        <v>0</v>
      </c>
      <c r="S62" s="119"/>
      <c r="T62" s="127" t="s">
        <v>1111</v>
      </c>
      <c r="U62" s="120"/>
      <c r="V62" s="121">
        <f t="shared" si="4"/>
        <v>82650</v>
      </c>
      <c r="W62" s="121">
        <f t="shared" si="5"/>
        <v>118071.42857142858</v>
      </c>
      <c r="X62" s="122">
        <f t="shared" si="6"/>
        <v>134938.77551020408</v>
      </c>
      <c r="Y62" s="123">
        <f t="shared" si="7"/>
        <v>0.12499999999999994</v>
      </c>
      <c r="Z62" s="122">
        <f t="shared" si="8"/>
        <v>135000</v>
      </c>
      <c r="AA62" s="124">
        <f t="shared" si="14"/>
        <v>0.30000000000000004</v>
      </c>
      <c r="AB62" s="134"/>
      <c r="AC62" s="135"/>
      <c r="AD62" s="136"/>
      <c r="CB62" s="195"/>
      <c r="CC62" s="195"/>
      <c r="CD62" s="195"/>
      <c r="CE62" s="195"/>
      <c r="CF62" s="196"/>
      <c r="CG62" s="196"/>
      <c r="CH62" s="196"/>
      <c r="CI62" s="196"/>
    </row>
    <row r="63" spans="1:87" s="194" customFormat="1" ht="14.45" customHeight="1" x14ac:dyDescent="0.2">
      <c r="A63" s="162">
        <v>480</v>
      </c>
      <c r="B63" s="127" t="s">
        <v>1112</v>
      </c>
      <c r="C63" s="110" t="str">
        <f t="shared" si="0"/>
        <v xml:space="preserve"> 427</v>
      </c>
      <c r="D63" s="112" t="s">
        <v>1112</v>
      </c>
      <c r="E63" s="110">
        <f t="shared" si="10"/>
        <v>0</v>
      </c>
      <c r="F63" s="113" t="s">
        <v>1029</v>
      </c>
      <c r="G63" s="113" t="s">
        <v>1085</v>
      </c>
      <c r="H63" s="113" t="s">
        <v>775</v>
      </c>
      <c r="I63" s="137">
        <f>L63</f>
        <v>62750</v>
      </c>
      <c r="J63" s="115">
        <f t="shared" si="15"/>
        <v>0</v>
      </c>
      <c r="K63" s="146" t="s">
        <v>97</v>
      </c>
      <c r="L63" s="147">
        <v>62750</v>
      </c>
      <c r="M63" s="138">
        <f>2000+200+250+600+400+3600+450</f>
        <v>7500</v>
      </c>
      <c r="N63" s="117">
        <f t="shared" si="21"/>
        <v>70250</v>
      </c>
      <c r="O63" s="162">
        <v>480</v>
      </c>
      <c r="P63" s="127" t="s">
        <v>1112</v>
      </c>
      <c r="Q63" s="127">
        <v>70250</v>
      </c>
      <c r="R63" s="127">
        <f>N63-Q63</f>
        <v>0</v>
      </c>
      <c r="S63" s="164"/>
      <c r="T63" s="127" t="s">
        <v>1113</v>
      </c>
      <c r="U63" s="120"/>
      <c r="V63" s="121">
        <f t="shared" si="4"/>
        <v>70250</v>
      </c>
      <c r="W63" s="121">
        <f t="shared" si="5"/>
        <v>100357.14285714287</v>
      </c>
      <c r="X63" s="122">
        <f t="shared" si="6"/>
        <v>114693.87755102043</v>
      </c>
      <c r="Y63" s="123">
        <f t="shared" si="7"/>
        <v>0.12500000000000006</v>
      </c>
      <c r="Z63" s="122">
        <f t="shared" si="8"/>
        <v>114700</v>
      </c>
      <c r="AA63" s="124">
        <f t="shared" si="14"/>
        <v>0.3000000000000001</v>
      </c>
      <c r="AB63" s="134"/>
      <c r="AC63" s="135"/>
      <c r="AD63" s="136"/>
      <c r="CB63" s="195" t="s">
        <v>1780</v>
      </c>
      <c r="CC63" s="218">
        <v>43428</v>
      </c>
      <c r="CD63" s="195"/>
      <c r="CE63" s="195"/>
      <c r="CF63" s="196"/>
      <c r="CG63" s="196"/>
      <c r="CH63" s="196"/>
      <c r="CI63" s="196"/>
    </row>
    <row r="64" spans="1:87" s="194" customFormat="1" ht="14.45" hidden="1" customHeight="1" x14ac:dyDescent="0.2">
      <c r="A64" s="127">
        <v>481</v>
      </c>
      <c r="B64" s="127" t="s">
        <v>1114</v>
      </c>
      <c r="C64" s="110" t="str">
        <f t="shared" si="0"/>
        <v xml:space="preserve"> 409</v>
      </c>
      <c r="D64" s="112" t="s">
        <v>1114</v>
      </c>
      <c r="E64" s="110">
        <f t="shared" si="10"/>
        <v>0</v>
      </c>
      <c r="F64" s="113" t="s">
        <v>1029</v>
      </c>
      <c r="G64" s="113" t="s">
        <v>1085</v>
      </c>
      <c r="H64" s="113" t="s">
        <v>1115</v>
      </c>
      <c r="I64" s="137"/>
      <c r="J64" s="115">
        <f t="shared" si="15"/>
        <v>0</v>
      </c>
      <c r="K64" s="110" t="s">
        <v>94</v>
      </c>
      <c r="L64" s="116">
        <f>I64-M64</f>
        <v>0</v>
      </c>
      <c r="M64" s="116"/>
      <c r="N64" s="117">
        <f t="shared" si="21"/>
        <v>0</v>
      </c>
      <c r="O64" s="127">
        <v>481</v>
      </c>
      <c r="P64" s="127" t="s">
        <v>1114</v>
      </c>
      <c r="Q64" s="127"/>
      <c r="R64" s="127"/>
      <c r="S64" s="119"/>
      <c r="T64" s="127"/>
      <c r="U64" s="120"/>
      <c r="V64" s="121">
        <f t="shared" si="4"/>
        <v>0</v>
      </c>
      <c r="W64" s="121">
        <f t="shared" si="5"/>
        <v>0</v>
      </c>
      <c r="X64" s="122">
        <f t="shared" si="6"/>
        <v>0</v>
      </c>
      <c r="Y64" s="123" t="e">
        <f t="shared" si="7"/>
        <v>#DIV/0!</v>
      </c>
      <c r="Z64" s="122">
        <f t="shared" si="8"/>
        <v>0</v>
      </c>
      <c r="AA64" s="124" t="e">
        <f t="shared" si="14"/>
        <v>#DIV/0!</v>
      </c>
      <c r="AB64" s="134"/>
      <c r="AC64" s="135"/>
      <c r="AD64" s="136"/>
      <c r="CB64" s="195"/>
      <c r="CC64" s="195"/>
      <c r="CD64" s="195"/>
      <c r="CE64" s="195"/>
      <c r="CF64" s="196"/>
      <c r="CG64" s="196"/>
      <c r="CH64" s="196"/>
      <c r="CI64" s="196"/>
    </row>
    <row r="65" spans="1:87" s="194" customFormat="1" ht="14.45" hidden="1" customHeight="1" x14ac:dyDescent="0.2">
      <c r="A65" s="111">
        <v>482</v>
      </c>
      <c r="B65" s="127" t="s">
        <v>1116</v>
      </c>
      <c r="C65" s="110" t="str">
        <f t="shared" si="0"/>
        <v xml:space="preserve"> 641</v>
      </c>
      <c r="D65" s="112" t="s">
        <v>1116</v>
      </c>
      <c r="E65" s="110">
        <f t="shared" si="10"/>
        <v>0</v>
      </c>
      <c r="F65" s="113" t="s">
        <v>1029</v>
      </c>
      <c r="G65" s="113" t="s">
        <v>1085</v>
      </c>
      <c r="H65" s="113" t="s">
        <v>1100</v>
      </c>
      <c r="I65" s="137">
        <f t="shared" ref="I65:I71" si="22">L65</f>
        <v>69000</v>
      </c>
      <c r="J65" s="145">
        <f t="shared" si="15"/>
        <v>0</v>
      </c>
      <c r="K65" s="146" t="s">
        <v>97</v>
      </c>
      <c r="L65" s="147">
        <v>69000</v>
      </c>
      <c r="M65" s="138">
        <f>2000+200+250+600+1000+3600+450</f>
        <v>8100</v>
      </c>
      <c r="N65" s="117">
        <f t="shared" si="21"/>
        <v>77100</v>
      </c>
      <c r="O65" s="111">
        <v>482</v>
      </c>
      <c r="P65" s="127" t="s">
        <v>1116</v>
      </c>
      <c r="Q65" s="127">
        <v>77100</v>
      </c>
      <c r="R65" s="127">
        <f t="shared" ref="R65:R73" si="23">N65-Q65</f>
        <v>0</v>
      </c>
      <c r="S65" s="119"/>
      <c r="T65" s="127" t="s">
        <v>1101</v>
      </c>
      <c r="U65" s="120"/>
      <c r="V65" s="121">
        <f t="shared" si="4"/>
        <v>77100</v>
      </c>
      <c r="W65" s="121">
        <f t="shared" si="5"/>
        <v>110142.85714285714</v>
      </c>
      <c r="X65" s="122">
        <f t="shared" si="6"/>
        <v>125877.55102040817</v>
      </c>
      <c r="Y65" s="123">
        <f t="shared" si="7"/>
        <v>0.125</v>
      </c>
      <c r="Z65" s="122">
        <f t="shared" si="8"/>
        <v>125900</v>
      </c>
      <c r="AA65" s="124">
        <f t="shared" si="14"/>
        <v>0.3</v>
      </c>
      <c r="AB65" s="134"/>
      <c r="AC65" s="135"/>
      <c r="AD65" s="136"/>
      <c r="CB65" s="195"/>
      <c r="CC65" s="195"/>
      <c r="CD65" s="195"/>
      <c r="CE65" s="195"/>
      <c r="CF65" s="196"/>
      <c r="CG65" s="196"/>
      <c r="CH65" s="196"/>
      <c r="CI65" s="196"/>
    </row>
    <row r="66" spans="1:87" s="194" customFormat="1" ht="14.45" hidden="1" customHeight="1" x14ac:dyDescent="0.2">
      <c r="A66" s="127">
        <v>483</v>
      </c>
      <c r="B66" s="127" t="s">
        <v>1117</v>
      </c>
      <c r="C66" s="110" t="str">
        <f t="shared" si="0"/>
        <v xml:space="preserve"> 100</v>
      </c>
      <c r="D66" s="112" t="s">
        <v>1117</v>
      </c>
      <c r="E66" s="110">
        <f t="shared" si="10"/>
        <v>0</v>
      </c>
      <c r="F66" s="113" t="s">
        <v>1029</v>
      </c>
      <c r="G66" s="113" t="s">
        <v>1085</v>
      </c>
      <c r="H66" s="113" t="s">
        <v>1100</v>
      </c>
      <c r="I66" s="128">
        <v>71750</v>
      </c>
      <c r="J66" s="139">
        <v>0</v>
      </c>
      <c r="K66" s="140" t="s">
        <v>97</v>
      </c>
      <c r="L66" s="141">
        <v>71750</v>
      </c>
      <c r="M66" s="132">
        <v>8100</v>
      </c>
      <c r="N66" s="133">
        <v>79850</v>
      </c>
      <c r="O66" s="127">
        <v>483</v>
      </c>
      <c r="P66" s="127" t="s">
        <v>1117</v>
      </c>
      <c r="Q66" s="127">
        <v>79850</v>
      </c>
      <c r="R66" s="127">
        <f t="shared" si="23"/>
        <v>0</v>
      </c>
      <c r="S66" s="119"/>
      <c r="T66" s="127"/>
      <c r="U66" s="120"/>
      <c r="V66" s="121">
        <f t="shared" si="4"/>
        <v>79850</v>
      </c>
      <c r="W66" s="121">
        <f t="shared" si="5"/>
        <v>114071.42857142858</v>
      </c>
      <c r="X66" s="122">
        <f t="shared" si="6"/>
        <v>130367.34693877552</v>
      </c>
      <c r="Y66" s="123">
        <f t="shared" si="7"/>
        <v>0.12499999999999999</v>
      </c>
      <c r="Z66" s="122">
        <f t="shared" si="8"/>
        <v>130400</v>
      </c>
      <c r="AA66" s="124">
        <f t="shared" si="14"/>
        <v>0.30000000000000004</v>
      </c>
      <c r="AB66" s="134"/>
      <c r="AC66" s="135"/>
      <c r="AD66" s="136"/>
      <c r="CB66" s="195"/>
      <c r="CC66" s="195"/>
      <c r="CD66" s="195"/>
      <c r="CE66" s="195"/>
      <c r="CF66" s="196"/>
      <c r="CG66" s="196"/>
      <c r="CH66" s="196"/>
      <c r="CI66" s="196"/>
    </row>
    <row r="67" spans="1:87" s="194" customFormat="1" ht="14.45" hidden="1" customHeight="1" x14ac:dyDescent="0.2">
      <c r="A67" s="111">
        <v>484</v>
      </c>
      <c r="B67" s="127" t="s">
        <v>1118</v>
      </c>
      <c r="C67" s="110" t="str">
        <f t="shared" si="0"/>
        <v xml:space="preserve"> 539</v>
      </c>
      <c r="D67" s="112" t="s">
        <v>1118</v>
      </c>
      <c r="E67" s="110">
        <f t="shared" si="10"/>
        <v>0</v>
      </c>
      <c r="F67" s="113" t="s">
        <v>1029</v>
      </c>
      <c r="G67" s="113" t="s">
        <v>1085</v>
      </c>
      <c r="H67" s="113" t="s">
        <v>1100</v>
      </c>
      <c r="I67" s="137">
        <f t="shared" si="22"/>
        <v>69000</v>
      </c>
      <c r="J67" s="145">
        <f t="shared" si="15"/>
        <v>0</v>
      </c>
      <c r="K67" s="146" t="s">
        <v>97</v>
      </c>
      <c r="L67" s="147">
        <v>69000</v>
      </c>
      <c r="M67" s="138">
        <f>2000+200+250+600+1000+3600+450</f>
        <v>8100</v>
      </c>
      <c r="N67" s="117">
        <f t="shared" si="21"/>
        <v>77100</v>
      </c>
      <c r="O67" s="111">
        <v>484</v>
      </c>
      <c r="P67" s="127" t="s">
        <v>1118</v>
      </c>
      <c r="Q67" s="127">
        <v>77100</v>
      </c>
      <c r="R67" s="127">
        <f t="shared" si="23"/>
        <v>0</v>
      </c>
      <c r="S67" s="119"/>
      <c r="T67" s="127" t="s">
        <v>1101</v>
      </c>
      <c r="U67" s="120"/>
      <c r="V67" s="121">
        <f t="shared" si="4"/>
        <v>77100</v>
      </c>
      <c r="W67" s="121">
        <f t="shared" si="5"/>
        <v>110142.85714285714</v>
      </c>
      <c r="X67" s="122">
        <f t="shared" si="6"/>
        <v>125877.55102040817</v>
      </c>
      <c r="Y67" s="123">
        <f t="shared" si="7"/>
        <v>0.125</v>
      </c>
      <c r="Z67" s="122">
        <f t="shared" si="8"/>
        <v>125900</v>
      </c>
      <c r="AA67" s="124">
        <f t="shared" si="14"/>
        <v>0.3</v>
      </c>
      <c r="AB67" s="134"/>
      <c r="AC67" s="135"/>
      <c r="AD67" s="136"/>
      <c r="CB67" s="195"/>
      <c r="CC67" s="195"/>
      <c r="CD67" s="195"/>
      <c r="CE67" s="195"/>
      <c r="CF67" s="196"/>
      <c r="CG67" s="196"/>
      <c r="CH67" s="196"/>
      <c r="CI67" s="196"/>
    </row>
    <row r="68" spans="1:87" s="194" customFormat="1" ht="14.45" hidden="1" customHeight="1" x14ac:dyDescent="0.2">
      <c r="A68" s="127">
        <v>485</v>
      </c>
      <c r="B68" s="127" t="s">
        <v>1119</v>
      </c>
      <c r="C68" s="110" t="str">
        <f t="shared" ref="C68:C96" si="24">REPLACE(B68,1,3, )</f>
        <v xml:space="preserve"> 415</v>
      </c>
      <c r="D68" s="112" t="s">
        <v>1119</v>
      </c>
      <c r="E68" s="110">
        <f t="shared" si="10"/>
        <v>0</v>
      </c>
      <c r="F68" s="113" t="s">
        <v>1029</v>
      </c>
      <c r="G68" s="113" t="s">
        <v>1085</v>
      </c>
      <c r="H68" s="113" t="s">
        <v>1100</v>
      </c>
      <c r="I68" s="137">
        <f t="shared" si="22"/>
        <v>69000</v>
      </c>
      <c r="J68" s="145">
        <f t="shared" si="15"/>
        <v>0</v>
      </c>
      <c r="K68" s="146" t="s">
        <v>97</v>
      </c>
      <c r="L68" s="147">
        <v>69000</v>
      </c>
      <c r="M68" s="138">
        <f>2000+200+250+600+1000+3600+450</f>
        <v>8100</v>
      </c>
      <c r="N68" s="117">
        <f t="shared" si="21"/>
        <v>77100</v>
      </c>
      <c r="O68" s="127">
        <v>485</v>
      </c>
      <c r="P68" s="127" t="s">
        <v>1119</v>
      </c>
      <c r="Q68" s="127">
        <v>77100</v>
      </c>
      <c r="R68" s="127">
        <f t="shared" si="23"/>
        <v>0</v>
      </c>
      <c r="S68" s="119"/>
      <c r="T68" s="127" t="s">
        <v>1101</v>
      </c>
      <c r="U68" s="120"/>
      <c r="V68" s="121">
        <f t="shared" ref="V68:V96" si="25">U68+N68</f>
        <v>77100</v>
      </c>
      <c r="W68" s="121">
        <f t="shared" ref="W68:W96" si="26">V68/0.7</f>
        <v>110142.85714285714</v>
      </c>
      <c r="X68" s="122">
        <f t="shared" ref="X68:X96" si="27">W68/0.875</f>
        <v>125877.55102040817</v>
      </c>
      <c r="Y68" s="123">
        <f t="shared" ref="Y68:Y96" si="28">(X68-W68)/X68</f>
        <v>0.125</v>
      </c>
      <c r="Z68" s="122">
        <f t="shared" ref="Z68:Z96" si="29">(ROUNDUP((X68/100),0))*100</f>
        <v>125900</v>
      </c>
      <c r="AA68" s="124">
        <f t="shared" si="14"/>
        <v>0.3</v>
      </c>
      <c r="AB68" s="134"/>
      <c r="AC68" s="135"/>
      <c r="AD68" s="136"/>
      <c r="CB68" s="195"/>
      <c r="CC68" s="195"/>
      <c r="CD68" s="195"/>
      <c r="CE68" s="195"/>
      <c r="CF68" s="196"/>
      <c r="CG68" s="196"/>
      <c r="CH68" s="196"/>
      <c r="CI68" s="196"/>
    </row>
    <row r="69" spans="1:87" s="194" customFormat="1" ht="14.45" hidden="1" customHeight="1" x14ac:dyDescent="0.2">
      <c r="A69" s="162">
        <v>486</v>
      </c>
      <c r="B69" s="127" t="s">
        <v>1120</v>
      </c>
      <c r="C69" s="110" t="str">
        <f t="shared" si="24"/>
        <v xml:space="preserve"> 537</v>
      </c>
      <c r="D69" s="112" t="s">
        <v>1120</v>
      </c>
      <c r="E69" s="110">
        <f t="shared" si="10"/>
        <v>0</v>
      </c>
      <c r="F69" s="113" t="s">
        <v>1011</v>
      </c>
      <c r="G69" s="113" t="s">
        <v>1085</v>
      </c>
      <c r="H69" s="113" t="s">
        <v>775</v>
      </c>
      <c r="I69" s="137">
        <f t="shared" si="22"/>
        <v>71750</v>
      </c>
      <c r="J69" s="145">
        <f t="shared" si="15"/>
        <v>0</v>
      </c>
      <c r="K69" s="146" t="s">
        <v>97</v>
      </c>
      <c r="L69" s="147">
        <v>71750</v>
      </c>
      <c r="M69" s="138">
        <f>2000+600+200+250+3600+450</f>
        <v>7100</v>
      </c>
      <c r="N69" s="117">
        <f t="shared" si="21"/>
        <v>78850</v>
      </c>
      <c r="O69" s="162">
        <v>486</v>
      </c>
      <c r="P69" s="127" t="s">
        <v>1120</v>
      </c>
      <c r="Q69" s="127">
        <v>78850</v>
      </c>
      <c r="R69" s="127">
        <f t="shared" si="23"/>
        <v>0</v>
      </c>
      <c r="S69" s="164"/>
      <c r="T69" s="127" t="s">
        <v>811</v>
      </c>
      <c r="U69" s="120">
        <v>-2000</v>
      </c>
      <c r="V69" s="121">
        <f t="shared" si="25"/>
        <v>76850</v>
      </c>
      <c r="W69" s="121">
        <f t="shared" si="26"/>
        <v>109785.71428571429</v>
      </c>
      <c r="X69" s="122">
        <f t="shared" si="27"/>
        <v>125469.38775510204</v>
      </c>
      <c r="Y69" s="123">
        <f t="shared" si="28"/>
        <v>0.12499999999999997</v>
      </c>
      <c r="Z69" s="122">
        <f t="shared" si="29"/>
        <v>125500</v>
      </c>
      <c r="AA69" s="124">
        <f t="shared" si="14"/>
        <v>0.28178269355888097</v>
      </c>
      <c r="AB69" s="159">
        <v>104650</v>
      </c>
      <c r="AC69" s="159">
        <f>W69-AB69</f>
        <v>5135.7142857142899</v>
      </c>
      <c r="AD69" s="136">
        <f>AC69/AB69</f>
        <v>4.9075148454030479E-2</v>
      </c>
      <c r="CB69" s="195"/>
      <c r="CC69" s="195"/>
      <c r="CD69" s="195"/>
      <c r="CE69" s="195"/>
      <c r="CF69" s="196"/>
      <c r="CG69" s="196"/>
      <c r="CH69" s="196"/>
      <c r="CI69" s="196"/>
    </row>
    <row r="70" spans="1:87" s="194" customFormat="1" ht="14.45" hidden="1" customHeight="1" x14ac:dyDescent="0.2">
      <c r="A70" s="163">
        <v>487</v>
      </c>
      <c r="B70" s="127" t="s">
        <v>1121</v>
      </c>
      <c r="C70" s="110" t="str">
        <f t="shared" si="24"/>
        <v xml:space="preserve"> 535</v>
      </c>
      <c r="D70" s="112" t="s">
        <v>1121</v>
      </c>
      <c r="E70" s="110">
        <f t="shared" ref="E70:E96" si="30">IF(B70=D70,0,1)</f>
        <v>0</v>
      </c>
      <c r="F70" s="113" t="s">
        <v>1029</v>
      </c>
      <c r="G70" s="113" t="s">
        <v>1122</v>
      </c>
      <c r="H70" s="113" t="s">
        <v>775</v>
      </c>
      <c r="I70" s="137">
        <f t="shared" si="22"/>
        <v>35000</v>
      </c>
      <c r="J70" s="145">
        <f t="shared" si="15"/>
        <v>0</v>
      </c>
      <c r="K70" s="146" t="s">
        <v>97</v>
      </c>
      <c r="L70" s="147">
        <v>35000</v>
      </c>
      <c r="M70" s="138">
        <f>2000+600+200+250+650+2500</f>
        <v>6200</v>
      </c>
      <c r="N70" s="117">
        <f t="shared" si="21"/>
        <v>41200</v>
      </c>
      <c r="O70" s="163">
        <v>487</v>
      </c>
      <c r="P70" s="127" t="s">
        <v>1121</v>
      </c>
      <c r="Q70" s="127">
        <v>41200</v>
      </c>
      <c r="R70" s="127">
        <f t="shared" si="23"/>
        <v>0</v>
      </c>
      <c r="S70" s="164"/>
      <c r="T70" s="127" t="s">
        <v>1123</v>
      </c>
      <c r="U70" s="120"/>
      <c r="V70" s="121">
        <f t="shared" si="25"/>
        <v>41200</v>
      </c>
      <c r="W70" s="121">
        <f t="shared" si="26"/>
        <v>58857.142857142862</v>
      </c>
      <c r="X70" s="122">
        <f t="shared" si="27"/>
        <v>67265.306122448979</v>
      </c>
      <c r="Y70" s="123">
        <f t="shared" si="28"/>
        <v>0.12499999999999992</v>
      </c>
      <c r="Z70" s="122">
        <f t="shared" si="29"/>
        <v>67300</v>
      </c>
      <c r="AA70" s="124">
        <f t="shared" si="14"/>
        <v>0.30000000000000004</v>
      </c>
      <c r="AB70" s="134"/>
      <c r="AC70" s="135"/>
      <c r="AD70" s="136"/>
      <c r="CB70" s="195"/>
      <c r="CC70" s="195"/>
      <c r="CD70" s="195"/>
      <c r="CE70" s="195"/>
      <c r="CF70" s="196"/>
      <c r="CG70" s="196"/>
      <c r="CH70" s="196"/>
      <c r="CI70" s="196"/>
    </row>
    <row r="71" spans="1:87" s="194" customFormat="1" ht="14.45" hidden="1" customHeight="1" x14ac:dyDescent="0.2">
      <c r="A71" s="162">
        <v>488</v>
      </c>
      <c r="B71" s="127" t="s">
        <v>1124</v>
      </c>
      <c r="C71" s="110" t="str">
        <f t="shared" si="24"/>
        <v xml:space="preserve"> 817</v>
      </c>
      <c r="D71" s="112" t="s">
        <v>1124</v>
      </c>
      <c r="E71" s="110">
        <f t="shared" si="30"/>
        <v>0</v>
      </c>
      <c r="F71" s="113" t="s">
        <v>1029</v>
      </c>
      <c r="G71" s="113" t="s">
        <v>1122</v>
      </c>
      <c r="H71" s="113" t="s">
        <v>775</v>
      </c>
      <c r="I71" s="137">
        <f t="shared" si="22"/>
        <v>60200</v>
      </c>
      <c r="J71" s="145">
        <f t="shared" si="15"/>
        <v>0</v>
      </c>
      <c r="K71" s="146" t="s">
        <v>97</v>
      </c>
      <c r="L71" s="147">
        <v>60200</v>
      </c>
      <c r="M71" s="138">
        <f>2000+600+400+250+650+3000+450</f>
        <v>7350</v>
      </c>
      <c r="N71" s="117">
        <f t="shared" si="21"/>
        <v>67550</v>
      </c>
      <c r="O71" s="162">
        <v>488</v>
      </c>
      <c r="P71" s="127" t="s">
        <v>1124</v>
      </c>
      <c r="Q71" s="127">
        <v>67250</v>
      </c>
      <c r="R71" s="127">
        <f t="shared" si="23"/>
        <v>300</v>
      </c>
      <c r="S71" s="164"/>
      <c r="T71" s="127" t="s">
        <v>1125</v>
      </c>
      <c r="U71" s="120"/>
      <c r="V71" s="121">
        <f t="shared" si="25"/>
        <v>67550</v>
      </c>
      <c r="W71" s="121">
        <f t="shared" si="26"/>
        <v>96500</v>
      </c>
      <c r="X71" s="122">
        <f t="shared" si="27"/>
        <v>110285.71428571429</v>
      </c>
      <c r="Y71" s="123">
        <f t="shared" si="28"/>
        <v>0.12500000000000003</v>
      </c>
      <c r="Z71" s="122">
        <f t="shared" si="29"/>
        <v>110300</v>
      </c>
      <c r="AA71" s="124">
        <f t="shared" si="14"/>
        <v>0.3</v>
      </c>
      <c r="AB71" s="134"/>
      <c r="AC71" s="135"/>
      <c r="AD71" s="136"/>
      <c r="CB71" s="195"/>
      <c r="CC71" s="195"/>
      <c r="CD71" s="195"/>
      <c r="CE71" s="195"/>
      <c r="CF71" s="196"/>
      <c r="CG71" s="196"/>
      <c r="CH71" s="196"/>
      <c r="CI71" s="196"/>
    </row>
    <row r="72" spans="1:87" s="194" customFormat="1" ht="14.45" hidden="1" customHeight="1" x14ac:dyDescent="0.2">
      <c r="A72" s="127">
        <v>489</v>
      </c>
      <c r="B72" s="127" t="s">
        <v>1126</v>
      </c>
      <c r="C72" s="110" t="str">
        <f t="shared" si="24"/>
        <v xml:space="preserve"> 748</v>
      </c>
      <c r="D72" s="112" t="s">
        <v>1126</v>
      </c>
      <c r="E72" s="110">
        <f t="shared" si="30"/>
        <v>0</v>
      </c>
      <c r="F72" s="113" t="s">
        <v>1029</v>
      </c>
      <c r="G72" s="113" t="s">
        <v>1122</v>
      </c>
      <c r="H72" s="113" t="s">
        <v>534</v>
      </c>
      <c r="I72" s="128">
        <v>35000</v>
      </c>
      <c r="J72" s="129">
        <v>6450</v>
      </c>
      <c r="K72" s="130" t="s">
        <v>94</v>
      </c>
      <c r="L72" s="131">
        <v>28550</v>
      </c>
      <c r="M72" s="131">
        <v>6450</v>
      </c>
      <c r="N72" s="133">
        <v>35000</v>
      </c>
      <c r="O72" s="127">
        <v>489</v>
      </c>
      <c r="P72" s="127" t="s">
        <v>1126</v>
      </c>
      <c r="Q72" s="127">
        <v>35000</v>
      </c>
      <c r="R72" s="127">
        <f t="shared" si="23"/>
        <v>0</v>
      </c>
      <c r="S72" s="119"/>
      <c r="T72" s="127"/>
      <c r="U72" s="120"/>
      <c r="V72" s="121">
        <f t="shared" si="25"/>
        <v>35000</v>
      </c>
      <c r="W72" s="121">
        <f t="shared" si="26"/>
        <v>50000</v>
      </c>
      <c r="X72" s="122">
        <f t="shared" si="27"/>
        <v>57142.857142857145</v>
      </c>
      <c r="Y72" s="123">
        <f t="shared" si="28"/>
        <v>0.12500000000000003</v>
      </c>
      <c r="Z72" s="122">
        <f t="shared" si="29"/>
        <v>57200</v>
      </c>
      <c r="AA72" s="124">
        <f t="shared" si="14"/>
        <v>0.3</v>
      </c>
      <c r="AB72" s="134"/>
      <c r="AC72" s="135"/>
      <c r="AD72" s="136"/>
      <c r="CB72" s="195"/>
      <c r="CC72" s="195"/>
      <c r="CD72" s="195"/>
      <c r="CE72" s="195"/>
      <c r="CF72" s="196"/>
      <c r="CG72" s="196"/>
      <c r="CH72" s="196"/>
      <c r="CI72" s="196"/>
    </row>
    <row r="73" spans="1:87" s="194" customFormat="1" ht="14.45" hidden="1" customHeight="1" x14ac:dyDescent="0.2">
      <c r="A73" s="111">
        <v>490</v>
      </c>
      <c r="B73" s="127" t="s">
        <v>1127</v>
      </c>
      <c r="C73" s="110" t="str">
        <f t="shared" si="24"/>
        <v xml:space="preserve"> 398</v>
      </c>
      <c r="D73" s="112" t="s">
        <v>1127</v>
      </c>
      <c r="E73" s="110">
        <f t="shared" si="30"/>
        <v>0</v>
      </c>
      <c r="F73" s="113" t="s">
        <v>1029</v>
      </c>
      <c r="G73" s="113" t="s">
        <v>1085</v>
      </c>
      <c r="H73" s="113" t="s">
        <v>1047</v>
      </c>
      <c r="I73" s="137">
        <f>L73</f>
        <v>65000</v>
      </c>
      <c r="J73" s="145">
        <f t="shared" si="15"/>
        <v>0</v>
      </c>
      <c r="K73" s="146" t="s">
        <v>97</v>
      </c>
      <c r="L73" s="148">
        <v>65000</v>
      </c>
      <c r="M73" s="116">
        <f>2000+250+250+600+1000+3600</f>
        <v>7700</v>
      </c>
      <c r="N73" s="117">
        <f t="shared" si="21"/>
        <v>72700</v>
      </c>
      <c r="O73" s="111">
        <v>490</v>
      </c>
      <c r="P73" s="127" t="s">
        <v>1127</v>
      </c>
      <c r="Q73" s="127">
        <v>72700</v>
      </c>
      <c r="R73" s="127">
        <f t="shared" si="23"/>
        <v>0</v>
      </c>
      <c r="S73" s="149"/>
      <c r="T73" s="127"/>
      <c r="U73" s="120"/>
      <c r="V73" s="121">
        <f t="shared" si="25"/>
        <v>72700</v>
      </c>
      <c r="W73" s="121">
        <f t="shared" si="26"/>
        <v>103857.14285714287</v>
      </c>
      <c r="X73" s="122">
        <f t="shared" si="27"/>
        <v>118693.87755102043</v>
      </c>
      <c r="Y73" s="123">
        <f t="shared" si="28"/>
        <v>0.12500000000000006</v>
      </c>
      <c r="Z73" s="122">
        <f t="shared" si="29"/>
        <v>118700</v>
      </c>
      <c r="AA73" s="124">
        <f t="shared" si="14"/>
        <v>0.3000000000000001</v>
      </c>
      <c r="AB73" s="134"/>
      <c r="AC73" s="135"/>
      <c r="AD73" s="136"/>
      <c r="CB73" s="195"/>
      <c r="CC73" s="195"/>
      <c r="CD73" s="195"/>
      <c r="CE73" s="195"/>
      <c r="CF73" s="196"/>
      <c r="CG73" s="196"/>
      <c r="CH73" s="196"/>
      <c r="CI73" s="196"/>
    </row>
    <row r="74" spans="1:87" s="194" customFormat="1" ht="14.45" hidden="1" customHeight="1" x14ac:dyDescent="0.2">
      <c r="A74" s="127">
        <v>491</v>
      </c>
      <c r="B74" s="127" t="s">
        <v>1128</v>
      </c>
      <c r="C74" s="110" t="str">
        <f t="shared" si="24"/>
        <v xml:space="preserve"> 893</v>
      </c>
      <c r="D74" s="112" t="s">
        <v>1128</v>
      </c>
      <c r="E74" s="110">
        <f t="shared" si="30"/>
        <v>0</v>
      </c>
      <c r="F74" s="113" t="s">
        <v>1011</v>
      </c>
      <c r="G74" s="113" t="s">
        <v>1122</v>
      </c>
      <c r="H74" s="113" t="s">
        <v>1129</v>
      </c>
      <c r="I74" s="152">
        <v>27000</v>
      </c>
      <c r="J74" s="153">
        <f t="shared" si="15"/>
        <v>0</v>
      </c>
      <c r="K74" s="168" t="s">
        <v>97</v>
      </c>
      <c r="L74" s="169">
        <f>I74</f>
        <v>27000</v>
      </c>
      <c r="M74" s="170">
        <f>2000+2850+800+200+250+800</f>
        <v>6900</v>
      </c>
      <c r="N74" s="153">
        <f t="shared" si="21"/>
        <v>33900</v>
      </c>
      <c r="O74" s="127">
        <v>491</v>
      </c>
      <c r="P74" s="127" t="s">
        <v>1128</v>
      </c>
      <c r="Q74" s="127"/>
      <c r="R74" s="127"/>
      <c r="S74" s="158"/>
      <c r="T74" s="166" t="s">
        <v>1130</v>
      </c>
      <c r="U74" s="120">
        <v>7000</v>
      </c>
      <c r="V74" s="121">
        <f t="shared" si="25"/>
        <v>40900</v>
      </c>
      <c r="W74" s="121">
        <f t="shared" si="26"/>
        <v>58428.571428571435</v>
      </c>
      <c r="X74" s="122">
        <f t="shared" si="27"/>
        <v>66775.510204081642</v>
      </c>
      <c r="Y74" s="123">
        <f t="shared" si="28"/>
        <v>0.12500000000000003</v>
      </c>
      <c r="Z74" s="122">
        <f t="shared" si="29"/>
        <v>66800</v>
      </c>
      <c r="AA74" s="124">
        <f t="shared" si="14"/>
        <v>0.41980440097799515</v>
      </c>
      <c r="AB74" s="134">
        <v>57750</v>
      </c>
      <c r="AC74" s="135">
        <f>W74-AB74</f>
        <v>678.57142857143481</v>
      </c>
      <c r="AD74" s="136">
        <f>AC74/AB74</f>
        <v>1.1750154607297572E-2</v>
      </c>
      <c r="CB74" s="195"/>
      <c r="CC74" s="195"/>
      <c r="CD74" s="195"/>
      <c r="CE74" s="195"/>
      <c r="CF74" s="196"/>
      <c r="CG74" s="196"/>
      <c r="CH74" s="196"/>
      <c r="CI74" s="196"/>
    </row>
    <row r="75" spans="1:87" s="194" customFormat="1" ht="14.45" hidden="1" customHeight="1" x14ac:dyDescent="0.2">
      <c r="A75" s="111">
        <v>492</v>
      </c>
      <c r="B75" s="127" t="s">
        <v>1131</v>
      </c>
      <c r="C75" s="110" t="str">
        <f t="shared" si="24"/>
        <v xml:space="preserve"> 579</v>
      </c>
      <c r="D75" s="112" t="s">
        <v>1131</v>
      </c>
      <c r="E75" s="110">
        <f t="shared" si="30"/>
        <v>0</v>
      </c>
      <c r="F75" s="113" t="s">
        <v>1029</v>
      </c>
      <c r="G75" s="113" t="s">
        <v>1122</v>
      </c>
      <c r="H75" s="113" t="s">
        <v>1017</v>
      </c>
      <c r="I75" s="137"/>
      <c r="J75" s="115">
        <f t="shared" si="15"/>
        <v>0</v>
      </c>
      <c r="K75" s="110" t="s">
        <v>94</v>
      </c>
      <c r="L75" s="116">
        <f>I75-M75</f>
        <v>0</v>
      </c>
      <c r="M75" s="116"/>
      <c r="N75" s="117">
        <f t="shared" si="21"/>
        <v>0</v>
      </c>
      <c r="O75" s="111">
        <v>492</v>
      </c>
      <c r="P75" s="127" t="s">
        <v>1131</v>
      </c>
      <c r="Q75" s="127"/>
      <c r="R75" s="127"/>
      <c r="S75" s="119"/>
      <c r="T75" s="127"/>
      <c r="U75" s="120"/>
      <c r="V75" s="121">
        <f t="shared" si="25"/>
        <v>0</v>
      </c>
      <c r="W75" s="121">
        <f t="shared" si="26"/>
        <v>0</v>
      </c>
      <c r="X75" s="122">
        <f t="shared" si="27"/>
        <v>0</v>
      </c>
      <c r="Y75" s="123"/>
      <c r="Z75" s="122">
        <f t="shared" si="29"/>
        <v>0</v>
      </c>
      <c r="AA75" s="124"/>
      <c r="AB75" s="134"/>
      <c r="AC75" s="135"/>
      <c r="AD75" s="136"/>
      <c r="AE75" s="197">
        <f>AVERAGE(W74,W72,W71,W70)</f>
        <v>65946.428571428565</v>
      </c>
      <c r="AF75" s="209">
        <v>74547.619047619039</v>
      </c>
      <c r="AG75" s="205">
        <v>71621.428571428565</v>
      </c>
      <c r="AH75" s="205">
        <v>71571</v>
      </c>
      <c r="AI75" s="201">
        <f>(AF75-AG75)/AG75</f>
        <v>4.0856354509491002E-2</v>
      </c>
      <c r="AJ75" s="204">
        <v>85200</v>
      </c>
      <c r="AK75" s="204">
        <v>78472</v>
      </c>
      <c r="AL75" s="205">
        <f>50867/0.7</f>
        <v>72667.142857142855</v>
      </c>
      <c r="AM75" s="205">
        <v>65753</v>
      </c>
      <c r="AN75" s="203"/>
      <c r="AO75" s="204">
        <v>71056</v>
      </c>
      <c r="AP75" s="205">
        <f>49725/0.7</f>
        <v>71035.71428571429</v>
      </c>
      <c r="AQ75" s="199">
        <v>62050</v>
      </c>
      <c r="AR75" s="205">
        <v>83158</v>
      </c>
      <c r="AS75" s="204">
        <v>83790</v>
      </c>
      <c r="AT75" s="205">
        <f>54101/0.7</f>
        <v>77287.142857142855</v>
      </c>
      <c r="AU75" s="205">
        <v>77288</v>
      </c>
      <c r="AV75" s="205">
        <v>79730</v>
      </c>
      <c r="AW75" s="204">
        <v>69675</v>
      </c>
      <c r="AX75" s="205">
        <f>45413/0.7</f>
        <v>64875.71428571429</v>
      </c>
      <c r="AY75" s="205">
        <v>64875</v>
      </c>
      <c r="AZ75" s="206"/>
      <c r="BA75" s="203"/>
      <c r="BB75" s="203"/>
      <c r="BC75" s="205">
        <v>75600</v>
      </c>
      <c r="BD75" s="204">
        <v>74574</v>
      </c>
      <c r="BE75" s="205">
        <v>77088</v>
      </c>
      <c r="BF75" s="199">
        <v>63050</v>
      </c>
      <c r="BG75" s="203"/>
      <c r="BH75" s="206"/>
      <c r="BI75" s="200">
        <f>40460/0.7</f>
        <v>57800.000000000007</v>
      </c>
      <c r="BJ75" s="200">
        <v>57800</v>
      </c>
      <c r="BK75" s="203"/>
      <c r="BL75" s="207"/>
      <c r="BM75" s="205">
        <f>64925/0.7</f>
        <v>92750</v>
      </c>
      <c r="BN75" s="205">
        <v>77500</v>
      </c>
      <c r="BO75" s="203"/>
      <c r="BP75" s="207"/>
      <c r="BQ75" s="205">
        <f>55794/0.7</f>
        <v>79705.71428571429</v>
      </c>
      <c r="BR75" s="203"/>
      <c r="BS75" s="203"/>
      <c r="BT75" s="207"/>
      <c r="BU75" s="203"/>
      <c r="BV75" s="203"/>
      <c r="BW75" s="203"/>
      <c r="BX75" s="207"/>
      <c r="BY75" s="205">
        <f>49261/0.7</f>
        <v>70372.857142857145</v>
      </c>
      <c r="BZ75" s="203"/>
      <c r="CA75" s="208"/>
      <c r="CB75" s="177"/>
      <c r="CC75" s="177"/>
      <c r="CD75" s="177"/>
      <c r="CE75" s="177"/>
      <c r="CF75" s="196"/>
      <c r="CG75" s="196"/>
      <c r="CH75" s="196"/>
      <c r="CI75" s="196"/>
    </row>
    <row r="76" spans="1:87" s="194" customFormat="1" ht="14.45" hidden="1" customHeight="1" x14ac:dyDescent="0.2">
      <c r="A76" s="163">
        <v>493</v>
      </c>
      <c r="B76" s="127" t="s">
        <v>1132</v>
      </c>
      <c r="C76" s="110" t="str">
        <f t="shared" si="24"/>
        <v xml:space="preserve"> 753</v>
      </c>
      <c r="D76" s="112" t="s">
        <v>1132</v>
      </c>
      <c r="E76" s="110">
        <f t="shared" si="30"/>
        <v>0</v>
      </c>
      <c r="F76" s="113" t="s">
        <v>1029</v>
      </c>
      <c r="G76" s="113" t="s">
        <v>1133</v>
      </c>
      <c r="H76" s="113" t="s">
        <v>775</v>
      </c>
      <c r="I76" s="137">
        <f>L76</f>
        <v>74250</v>
      </c>
      <c r="J76" s="145">
        <f t="shared" si="15"/>
        <v>0</v>
      </c>
      <c r="K76" s="146" t="s">
        <v>97</v>
      </c>
      <c r="L76" s="147">
        <v>74250</v>
      </c>
      <c r="M76" s="138">
        <f>2000+600+200+250+1000+3600</f>
        <v>7650</v>
      </c>
      <c r="N76" s="117">
        <f t="shared" si="21"/>
        <v>81900</v>
      </c>
      <c r="O76" s="163">
        <v>493</v>
      </c>
      <c r="P76" s="127" t="s">
        <v>1132</v>
      </c>
      <c r="Q76" s="127">
        <v>81900</v>
      </c>
      <c r="R76" s="127">
        <f>N76-Q76</f>
        <v>0</v>
      </c>
      <c r="S76" s="164"/>
      <c r="T76" s="127" t="s">
        <v>1134</v>
      </c>
      <c r="U76" s="120"/>
      <c r="V76" s="121">
        <f t="shared" si="25"/>
        <v>81900</v>
      </c>
      <c r="W76" s="121">
        <f t="shared" si="26"/>
        <v>117000.00000000001</v>
      </c>
      <c r="X76" s="122">
        <f t="shared" si="27"/>
        <v>133714.28571428574</v>
      </c>
      <c r="Y76" s="123">
        <f t="shared" si="28"/>
        <v>0.12500000000000006</v>
      </c>
      <c r="Z76" s="122">
        <f t="shared" si="29"/>
        <v>133800</v>
      </c>
      <c r="AA76" s="124">
        <f t="shared" ref="AA76:AA96" si="31">(W76-N76)/W76</f>
        <v>0.3000000000000001</v>
      </c>
      <c r="AB76" s="134"/>
      <c r="AC76" s="135"/>
      <c r="AD76" s="136"/>
      <c r="AE76" s="197">
        <f>W76</f>
        <v>117000.00000000001</v>
      </c>
      <c r="AF76" s="210">
        <v>109809.52380952383</v>
      </c>
      <c r="AG76" s="200">
        <v>104071.42857142858</v>
      </c>
      <c r="AH76" s="200">
        <v>100571</v>
      </c>
      <c r="AI76" s="201">
        <f>(AF76-AG76)/AG76</f>
        <v>5.5136124456646202E-2</v>
      </c>
      <c r="AJ76" s="207"/>
      <c r="AK76" s="207"/>
      <c r="AL76" s="203"/>
      <c r="AM76" s="203"/>
      <c r="AN76" s="203"/>
      <c r="AO76" s="207"/>
      <c r="AP76" s="203"/>
      <c r="AQ76" s="200">
        <v>91800</v>
      </c>
      <c r="AR76" s="203"/>
      <c r="AS76" s="207"/>
      <c r="AT76" s="203"/>
      <c r="AU76" s="203"/>
      <c r="AV76" s="203"/>
      <c r="AW76" s="207"/>
      <c r="AX76" s="203"/>
      <c r="AY76" s="203"/>
      <c r="AZ76" s="207"/>
      <c r="BA76" s="203"/>
      <c r="BB76" s="203"/>
      <c r="BC76" s="200">
        <v>103320</v>
      </c>
      <c r="BD76" s="202">
        <v>87660</v>
      </c>
      <c r="BE76" s="200">
        <v>83363</v>
      </c>
      <c r="BF76" s="200">
        <v>81649</v>
      </c>
      <c r="BG76" s="203"/>
      <c r="BH76" s="206"/>
      <c r="BI76" s="200">
        <f>63368/0.7</f>
        <v>90525.71428571429</v>
      </c>
      <c r="BJ76" s="200">
        <v>90526</v>
      </c>
      <c r="BK76" s="203"/>
      <c r="BL76" s="207"/>
      <c r="BM76" s="203"/>
      <c r="BN76" s="203"/>
      <c r="BO76" s="203"/>
      <c r="BP76" s="207"/>
      <c r="BQ76" s="203"/>
      <c r="BR76" s="203"/>
      <c r="BS76" s="203"/>
      <c r="BT76" s="207"/>
      <c r="BU76" s="203"/>
      <c r="BV76" s="203"/>
      <c r="BW76" s="203"/>
      <c r="BX76" s="207"/>
      <c r="BY76" s="203"/>
      <c r="BZ76" s="205">
        <v>120960</v>
      </c>
      <c r="CA76" s="208"/>
      <c r="CB76" s="177"/>
      <c r="CC76" s="177"/>
      <c r="CD76" s="177"/>
      <c r="CE76" s="177"/>
      <c r="CF76" s="196"/>
      <c r="CG76" s="196"/>
      <c r="CH76" s="196"/>
      <c r="CI76" s="196"/>
    </row>
    <row r="77" spans="1:87" s="194" customFormat="1" ht="14.45" hidden="1" customHeight="1" x14ac:dyDescent="0.2">
      <c r="A77" s="162">
        <v>494</v>
      </c>
      <c r="B77" s="127" t="s">
        <v>1135</v>
      </c>
      <c r="C77" s="110" t="str">
        <f t="shared" si="24"/>
        <v xml:space="preserve"> 053</v>
      </c>
      <c r="D77" s="112" t="s">
        <v>1135</v>
      </c>
      <c r="E77" s="110">
        <f t="shared" si="30"/>
        <v>0</v>
      </c>
      <c r="F77" s="113" t="s">
        <v>1011</v>
      </c>
      <c r="G77" s="113" t="s">
        <v>1136</v>
      </c>
      <c r="H77" s="113" t="s">
        <v>775</v>
      </c>
      <c r="I77" s="137">
        <f>L77</f>
        <v>74250</v>
      </c>
      <c r="J77" s="145">
        <f t="shared" si="15"/>
        <v>0</v>
      </c>
      <c r="K77" s="146" t="s">
        <v>97</v>
      </c>
      <c r="L77" s="147">
        <v>74250</v>
      </c>
      <c r="M77" s="138">
        <f>2000+600+200+250+3600</f>
        <v>6650</v>
      </c>
      <c r="N77" s="117">
        <f t="shared" si="21"/>
        <v>80900</v>
      </c>
      <c r="O77" s="162">
        <v>494</v>
      </c>
      <c r="P77" s="127" t="s">
        <v>1135</v>
      </c>
      <c r="Q77" s="127">
        <v>80900</v>
      </c>
      <c r="R77" s="127">
        <f>N77-Q77</f>
        <v>0</v>
      </c>
      <c r="S77" s="164"/>
      <c r="T77" s="127" t="s">
        <v>1137</v>
      </c>
      <c r="U77" s="120"/>
      <c r="V77" s="121">
        <f t="shared" si="25"/>
        <v>80900</v>
      </c>
      <c r="W77" s="121">
        <f t="shared" si="26"/>
        <v>115571.42857142858</v>
      </c>
      <c r="X77" s="122">
        <f t="shared" si="27"/>
        <v>132081.63265306124</v>
      </c>
      <c r="Y77" s="123">
        <f t="shared" si="28"/>
        <v>0.12500000000000006</v>
      </c>
      <c r="Z77" s="122">
        <f t="shared" si="29"/>
        <v>132100</v>
      </c>
      <c r="AA77" s="124">
        <f t="shared" si="31"/>
        <v>0.30000000000000004</v>
      </c>
      <c r="AB77" s="134">
        <v>107450</v>
      </c>
      <c r="AC77" s="135">
        <f>W77-AB77</f>
        <v>8121.4285714285797</v>
      </c>
      <c r="AD77" s="136">
        <f>AC77/AB77</f>
        <v>7.5583327793658256E-2</v>
      </c>
      <c r="AE77" s="197">
        <f>W77</f>
        <v>115571.42857142858</v>
      </c>
      <c r="AF77" s="210">
        <v>109809.52380952383</v>
      </c>
      <c r="AG77" s="200">
        <v>104071.42857142858</v>
      </c>
      <c r="AH77" s="200">
        <v>100571</v>
      </c>
      <c r="AI77" s="201">
        <f>(AF77-AG77)/AG77</f>
        <v>5.5136124456646202E-2</v>
      </c>
      <c r="AJ77" s="207"/>
      <c r="AK77" s="207"/>
      <c r="AL77" s="203"/>
      <c r="AM77" s="203"/>
      <c r="AN77" s="203"/>
      <c r="AO77" s="207"/>
      <c r="AP77" s="203"/>
      <c r="AQ77" s="200">
        <v>91800</v>
      </c>
      <c r="AR77" s="203"/>
      <c r="AS77" s="207"/>
      <c r="AT77" s="203"/>
      <c r="AU77" s="203"/>
      <c r="AV77" s="203"/>
      <c r="AW77" s="207"/>
      <c r="AX77" s="203"/>
      <c r="AY77" s="203"/>
      <c r="AZ77" s="207"/>
      <c r="BA77" s="203"/>
      <c r="BB77" s="203"/>
      <c r="BC77" s="200">
        <v>103320</v>
      </c>
      <c r="BD77" s="202">
        <v>87660</v>
      </c>
      <c r="BE77" s="200">
        <v>83363</v>
      </c>
      <c r="BF77" s="200">
        <v>81649</v>
      </c>
      <c r="BG77" s="203"/>
      <c r="BH77" s="206"/>
      <c r="BI77" s="200">
        <f>63368/0.7</f>
        <v>90525.71428571429</v>
      </c>
      <c r="BJ77" s="200">
        <v>90526</v>
      </c>
      <c r="BK77" s="203"/>
      <c r="BL77" s="207"/>
      <c r="BM77" s="203"/>
      <c r="BN77" s="203"/>
      <c r="BO77" s="203"/>
      <c r="BP77" s="207"/>
      <c r="BQ77" s="203"/>
      <c r="BR77" s="203"/>
      <c r="BS77" s="203"/>
      <c r="BT77" s="207"/>
      <c r="BU77" s="203"/>
      <c r="BV77" s="203"/>
      <c r="BW77" s="203"/>
      <c r="BX77" s="207"/>
      <c r="BY77" s="203"/>
      <c r="BZ77" s="211">
        <v>120960</v>
      </c>
      <c r="CA77" s="208"/>
      <c r="CB77" s="177"/>
      <c r="CC77" s="177"/>
      <c r="CD77" s="177"/>
      <c r="CE77" s="177"/>
      <c r="CF77" s="196"/>
      <c r="CG77" s="196"/>
      <c r="CH77" s="196"/>
      <c r="CI77" s="196"/>
    </row>
    <row r="78" spans="1:87" s="194" customFormat="1" ht="14.45" hidden="1" customHeight="1" x14ac:dyDescent="0.2">
      <c r="A78" s="127">
        <v>495</v>
      </c>
      <c r="B78" s="127" t="s">
        <v>1138</v>
      </c>
      <c r="C78" s="110" t="str">
        <f t="shared" si="24"/>
        <v xml:space="preserve"> 308</v>
      </c>
      <c r="D78" s="112" t="s">
        <v>1138</v>
      </c>
      <c r="E78" s="110">
        <f t="shared" si="30"/>
        <v>0</v>
      </c>
      <c r="F78" s="113" t="s">
        <v>1011</v>
      </c>
      <c r="G78" s="113" t="s">
        <v>1085</v>
      </c>
      <c r="H78" s="113" t="s">
        <v>1129</v>
      </c>
      <c r="I78" s="152">
        <v>97100</v>
      </c>
      <c r="J78" s="153">
        <f t="shared" si="15"/>
        <v>0</v>
      </c>
      <c r="K78" s="168" t="s">
        <v>97</v>
      </c>
      <c r="L78" s="169">
        <f>I78</f>
        <v>97100</v>
      </c>
      <c r="M78" s="170">
        <f>2000+800+200+250</f>
        <v>3250</v>
      </c>
      <c r="N78" s="153">
        <f>M78+L78</f>
        <v>100350</v>
      </c>
      <c r="O78" s="127">
        <v>495</v>
      </c>
      <c r="P78" s="127" t="s">
        <v>1138</v>
      </c>
      <c r="Q78" s="127"/>
      <c r="R78" s="127"/>
      <c r="S78" s="158"/>
      <c r="T78" s="113" t="s">
        <v>1139</v>
      </c>
      <c r="U78" s="120">
        <v>6000</v>
      </c>
      <c r="V78" s="121">
        <f t="shared" si="25"/>
        <v>106350</v>
      </c>
      <c r="W78" s="121">
        <f t="shared" si="26"/>
        <v>151928.57142857145</v>
      </c>
      <c r="X78" s="122">
        <f t="shared" si="27"/>
        <v>173632.65306122453</v>
      </c>
      <c r="Y78" s="123">
        <f t="shared" si="28"/>
        <v>0.12500000000000006</v>
      </c>
      <c r="Z78" s="122">
        <f t="shared" si="29"/>
        <v>173700</v>
      </c>
      <c r="AA78" s="124">
        <f t="shared" si="31"/>
        <v>0.33949224259520461</v>
      </c>
      <c r="AB78" s="159">
        <v>150500</v>
      </c>
      <c r="AC78" s="159">
        <f>W78-AB78</f>
        <v>1428.5714285714494</v>
      </c>
      <c r="AD78" s="160">
        <f>AC78/AB78</f>
        <v>9.4921689606076373E-3</v>
      </c>
      <c r="AE78" s="197">
        <f>AVERAGE(W78,W73,W69,W68,W67,W66,W65,W63,W62,W61,W59,W58,W57,W56,W55,W54,W53,W52,W51,W50,W49)</f>
        <v>112823.1292517007</v>
      </c>
      <c r="AF78" s="210">
        <v>107627.23214285716</v>
      </c>
      <c r="AG78" s="200">
        <v>98186.411149825799</v>
      </c>
      <c r="AH78" s="212"/>
      <c r="AI78" s="201">
        <f>(AF78-AG78)/AG78</f>
        <v>9.6152012100995402E-2</v>
      </c>
      <c r="AJ78" s="213">
        <v>105700</v>
      </c>
      <c r="AK78" s="202">
        <v>97912</v>
      </c>
      <c r="AL78" s="200">
        <f>66577/0.7</f>
        <v>95110</v>
      </c>
      <c r="AM78" s="200">
        <v>89818</v>
      </c>
      <c r="AN78" s="203"/>
      <c r="AO78" s="202">
        <v>98283</v>
      </c>
      <c r="AP78" s="200">
        <f>68282/0.7</f>
        <v>97545.71428571429</v>
      </c>
      <c r="AQ78" s="200">
        <v>89027</v>
      </c>
      <c r="AR78" s="199">
        <v>108800</v>
      </c>
      <c r="AS78" s="204">
        <v>120496</v>
      </c>
      <c r="AT78" s="205">
        <f>78581/0.7</f>
        <v>112258.57142857143</v>
      </c>
      <c r="AU78" s="205">
        <v>112761</v>
      </c>
      <c r="AV78" s="205">
        <v>118837</v>
      </c>
      <c r="AW78" s="202">
        <v>107602</v>
      </c>
      <c r="AX78" s="200">
        <f>71626/0.7</f>
        <v>102322.85714285714</v>
      </c>
      <c r="AY78" s="200">
        <v>102738</v>
      </c>
      <c r="AZ78" s="206"/>
      <c r="BA78" s="203"/>
      <c r="BB78" s="203"/>
      <c r="BC78" s="200">
        <v>99171</v>
      </c>
      <c r="BD78" s="202">
        <v>104436</v>
      </c>
      <c r="BE78" s="200">
        <v>94861</v>
      </c>
      <c r="BF78" s="200">
        <v>93196</v>
      </c>
      <c r="BG78" s="203"/>
      <c r="BH78" s="206"/>
      <c r="BI78" s="200">
        <f>54180/0.7</f>
        <v>77400</v>
      </c>
      <c r="BJ78" s="200">
        <v>76146</v>
      </c>
      <c r="BK78" s="203">
        <v>120804</v>
      </c>
      <c r="BL78" s="204">
        <v>119227</v>
      </c>
      <c r="BM78" s="200">
        <f>73312/0.7</f>
        <v>104731.42857142858</v>
      </c>
      <c r="BN78" s="200">
        <v>94078</v>
      </c>
      <c r="BO78" s="203"/>
      <c r="BP78" s="207"/>
      <c r="BQ78" s="200">
        <f>70767/0.7</f>
        <v>101095.71428571429</v>
      </c>
      <c r="BR78" s="200">
        <v>95804</v>
      </c>
      <c r="BS78" s="203"/>
      <c r="BT78" s="207"/>
      <c r="BU78" s="203"/>
      <c r="BV78" s="203"/>
      <c r="BW78" s="203"/>
      <c r="BX78" s="207"/>
      <c r="BY78" s="200">
        <f>70785/0.7</f>
        <v>101121.42857142858</v>
      </c>
      <c r="BZ78" s="200">
        <v>106293</v>
      </c>
      <c r="CA78" s="208"/>
      <c r="CB78" s="177"/>
      <c r="CC78" s="177"/>
      <c r="CD78" s="177"/>
      <c r="CE78" s="177"/>
      <c r="CF78" s="196"/>
      <c r="CG78" s="196"/>
      <c r="CH78" s="196"/>
      <c r="CI78" s="196"/>
    </row>
    <row r="79" spans="1:87" s="194" customFormat="1" ht="14.45" hidden="1" customHeight="1" x14ac:dyDescent="0.2">
      <c r="A79" s="111">
        <v>496</v>
      </c>
      <c r="B79" s="127" t="s">
        <v>1140</v>
      </c>
      <c r="C79" s="110" t="str">
        <f t="shared" si="24"/>
        <v xml:space="preserve"> 567</v>
      </c>
      <c r="D79" s="112" t="s">
        <v>1140</v>
      </c>
      <c r="E79" s="110">
        <f t="shared" si="30"/>
        <v>0</v>
      </c>
      <c r="F79" s="113" t="s">
        <v>1011</v>
      </c>
      <c r="G79" s="113" t="s">
        <v>1141</v>
      </c>
      <c r="H79" s="113" t="s">
        <v>888</v>
      </c>
      <c r="I79" s="137">
        <v>30000</v>
      </c>
      <c r="J79" s="115">
        <f t="shared" si="15"/>
        <v>4450</v>
      </c>
      <c r="K79" s="110" t="s">
        <v>94</v>
      </c>
      <c r="L79" s="116">
        <f>I79-M79</f>
        <v>25550</v>
      </c>
      <c r="M79" s="116">
        <f>2000+200+600+1650</f>
        <v>4450</v>
      </c>
      <c r="N79" s="117">
        <f>L79+M79</f>
        <v>30000</v>
      </c>
      <c r="O79" s="111">
        <v>496</v>
      </c>
      <c r="P79" s="127" t="s">
        <v>1140</v>
      </c>
      <c r="Q79" s="127">
        <v>30000</v>
      </c>
      <c r="R79" s="127">
        <f>N79-Q79</f>
        <v>0</v>
      </c>
      <c r="S79" s="119"/>
      <c r="T79" s="127" t="s">
        <v>880</v>
      </c>
      <c r="U79" s="120"/>
      <c r="V79" s="121">
        <f t="shared" si="25"/>
        <v>30000</v>
      </c>
      <c r="W79" s="121">
        <f t="shared" si="26"/>
        <v>42857.142857142862</v>
      </c>
      <c r="X79" s="122">
        <f t="shared" si="27"/>
        <v>48979.591836734697</v>
      </c>
      <c r="Y79" s="123">
        <f t="shared" si="28"/>
        <v>0.12499999999999994</v>
      </c>
      <c r="Z79" s="122">
        <f t="shared" si="29"/>
        <v>49000</v>
      </c>
      <c r="AA79" s="124">
        <f t="shared" si="31"/>
        <v>0.3000000000000001</v>
      </c>
      <c r="AB79" s="134">
        <v>44638</v>
      </c>
      <c r="AC79" s="135">
        <f>W79-AB79</f>
        <v>-1780.8571428571377</v>
      </c>
      <c r="AD79" s="136">
        <f>AC79/AB79</f>
        <v>-3.9895540634820953E-2</v>
      </c>
      <c r="CB79" s="195"/>
      <c r="CC79" s="195"/>
      <c r="CD79" s="195"/>
      <c r="CE79" s="195"/>
      <c r="CF79" s="196"/>
      <c r="CG79" s="196"/>
      <c r="CH79" s="196"/>
      <c r="CI79" s="196"/>
    </row>
    <row r="80" spans="1:87" s="194" customFormat="1" ht="14.45" hidden="1" customHeight="1" x14ac:dyDescent="0.2">
      <c r="A80" s="127">
        <v>497</v>
      </c>
      <c r="B80" s="127" t="s">
        <v>1142</v>
      </c>
      <c r="C80" s="110" t="str">
        <f t="shared" si="24"/>
        <v xml:space="preserve"> 160</v>
      </c>
      <c r="D80" s="112" t="s">
        <v>1142</v>
      </c>
      <c r="E80" s="110">
        <f t="shared" si="30"/>
        <v>0</v>
      </c>
      <c r="F80" s="113" t="s">
        <v>1011</v>
      </c>
      <c r="G80" s="113" t="s">
        <v>1141</v>
      </c>
      <c r="H80" s="113" t="s">
        <v>568</v>
      </c>
      <c r="I80" s="114">
        <v>25000</v>
      </c>
      <c r="J80" s="153">
        <f t="shared" si="15"/>
        <v>0</v>
      </c>
      <c r="K80" s="154" t="s">
        <v>87</v>
      </c>
      <c r="L80" s="161">
        <f>I80</f>
        <v>25000</v>
      </c>
      <c r="M80" s="156">
        <f>2000+1600+800+200</f>
        <v>4600</v>
      </c>
      <c r="N80" s="153">
        <f>M80+L80</f>
        <v>29600</v>
      </c>
      <c r="O80" s="127">
        <v>497</v>
      </c>
      <c r="P80" s="127" t="s">
        <v>1142</v>
      </c>
      <c r="Q80" s="127"/>
      <c r="R80" s="127"/>
      <c r="S80" s="158"/>
      <c r="T80" s="113" t="s">
        <v>897</v>
      </c>
      <c r="U80" s="120"/>
      <c r="V80" s="121">
        <f t="shared" si="25"/>
        <v>29600</v>
      </c>
      <c r="W80" s="121">
        <f t="shared" si="26"/>
        <v>42285.71428571429</v>
      </c>
      <c r="X80" s="122">
        <f t="shared" si="27"/>
        <v>48326.530612244904</v>
      </c>
      <c r="Y80" s="123">
        <f t="shared" si="28"/>
        <v>0.12500000000000003</v>
      </c>
      <c r="Z80" s="122">
        <f t="shared" si="29"/>
        <v>48400</v>
      </c>
      <c r="AA80" s="124">
        <f t="shared" si="31"/>
        <v>0.30000000000000004</v>
      </c>
      <c r="AB80" s="134">
        <v>50925</v>
      </c>
      <c r="AC80" s="135">
        <f>W80-AB80</f>
        <v>-8639.2857142857101</v>
      </c>
      <c r="AD80" s="136">
        <f>AC80/AB80</f>
        <v>-0.16964724033943465</v>
      </c>
      <c r="CB80" s="195"/>
      <c r="CC80" s="195"/>
      <c r="CD80" s="195"/>
      <c r="CE80" s="195"/>
      <c r="CF80" s="196"/>
      <c r="CG80" s="196"/>
      <c r="CH80" s="196"/>
      <c r="CI80" s="196"/>
    </row>
    <row r="81" spans="1:87" s="194" customFormat="1" ht="14.45" hidden="1" customHeight="1" x14ac:dyDescent="0.2">
      <c r="A81" s="111">
        <v>498</v>
      </c>
      <c r="B81" s="127" t="s">
        <v>1143</v>
      </c>
      <c r="C81" s="110" t="str">
        <f t="shared" si="24"/>
        <v xml:space="preserve"> 552</v>
      </c>
      <c r="D81" s="112" t="s">
        <v>1143</v>
      </c>
      <c r="E81" s="110">
        <f t="shared" si="30"/>
        <v>0</v>
      </c>
      <c r="F81" s="113" t="s">
        <v>1029</v>
      </c>
      <c r="G81" s="113" t="s">
        <v>1141</v>
      </c>
      <c r="H81" s="113" t="s">
        <v>879</v>
      </c>
      <c r="I81" s="137">
        <v>29500</v>
      </c>
      <c r="J81" s="115">
        <f t="shared" si="15"/>
        <v>4450</v>
      </c>
      <c r="K81" s="110" t="s">
        <v>94</v>
      </c>
      <c r="L81" s="116">
        <f>I81-M81</f>
        <v>25050</v>
      </c>
      <c r="M81" s="116">
        <f>2000+200+600+1650</f>
        <v>4450</v>
      </c>
      <c r="N81" s="117">
        <f t="shared" ref="N81:N94" si="32">L81+M81</f>
        <v>29500</v>
      </c>
      <c r="O81" s="111">
        <v>498</v>
      </c>
      <c r="P81" s="127" t="s">
        <v>1143</v>
      </c>
      <c r="Q81" s="127">
        <v>29500</v>
      </c>
      <c r="R81" s="127">
        <f>N81-Q81</f>
        <v>0</v>
      </c>
      <c r="S81" s="119"/>
      <c r="T81" s="127" t="s">
        <v>1144</v>
      </c>
      <c r="U81" s="120"/>
      <c r="V81" s="121">
        <f t="shared" si="25"/>
        <v>29500</v>
      </c>
      <c r="W81" s="121">
        <f t="shared" si="26"/>
        <v>42142.857142857145</v>
      </c>
      <c r="X81" s="122">
        <f t="shared" si="27"/>
        <v>48163.265306122448</v>
      </c>
      <c r="Y81" s="123">
        <f t="shared" si="28"/>
        <v>0.12499999999999994</v>
      </c>
      <c r="Z81" s="122">
        <f t="shared" si="29"/>
        <v>48200</v>
      </c>
      <c r="AA81" s="124">
        <f t="shared" si="31"/>
        <v>0.30000000000000004</v>
      </c>
      <c r="AB81" s="134"/>
      <c r="AC81" s="135"/>
      <c r="AD81" s="136"/>
      <c r="CB81" s="195"/>
      <c r="CC81" s="195"/>
      <c r="CD81" s="195"/>
      <c r="CE81" s="195"/>
      <c r="CF81" s="196"/>
      <c r="CG81" s="196"/>
      <c r="CH81" s="196"/>
      <c r="CI81" s="196"/>
    </row>
    <row r="82" spans="1:87" s="194" customFormat="1" ht="14.45" hidden="1" customHeight="1" x14ac:dyDescent="0.2">
      <c r="A82" s="127">
        <v>499</v>
      </c>
      <c r="B82" s="127" t="s">
        <v>1145</v>
      </c>
      <c r="C82" s="110" t="str">
        <f t="shared" si="24"/>
        <v xml:space="preserve"> 456</v>
      </c>
      <c r="D82" s="112" t="s">
        <v>1145</v>
      </c>
      <c r="E82" s="110">
        <f t="shared" si="30"/>
        <v>0</v>
      </c>
      <c r="F82" s="113" t="s">
        <v>1011</v>
      </c>
      <c r="G82" s="113" t="s">
        <v>1141</v>
      </c>
      <c r="H82" s="113" t="s">
        <v>907</v>
      </c>
      <c r="I82" s="152">
        <v>27500</v>
      </c>
      <c r="J82" s="153">
        <f t="shared" si="15"/>
        <v>4600</v>
      </c>
      <c r="K82" s="154" t="s">
        <v>106</v>
      </c>
      <c r="L82" s="156">
        <f>I82-M82</f>
        <v>22900</v>
      </c>
      <c r="M82" s="156">
        <f>2000+1600+800+200</f>
        <v>4600</v>
      </c>
      <c r="N82" s="157">
        <f t="shared" si="32"/>
        <v>27500</v>
      </c>
      <c r="O82" s="127">
        <v>499</v>
      </c>
      <c r="P82" s="127" t="s">
        <v>1145</v>
      </c>
      <c r="Q82" s="127"/>
      <c r="R82" s="127"/>
      <c r="S82" s="158"/>
      <c r="T82" s="113" t="s">
        <v>897</v>
      </c>
      <c r="U82" s="120"/>
      <c r="V82" s="121">
        <f t="shared" si="25"/>
        <v>27500</v>
      </c>
      <c r="W82" s="121">
        <f t="shared" si="26"/>
        <v>39285.71428571429</v>
      </c>
      <c r="X82" s="122">
        <f t="shared" si="27"/>
        <v>44897.959183673476</v>
      </c>
      <c r="Y82" s="123">
        <f t="shared" si="28"/>
        <v>0.12500000000000003</v>
      </c>
      <c r="Z82" s="122">
        <f t="shared" si="29"/>
        <v>44900</v>
      </c>
      <c r="AA82" s="124">
        <f t="shared" si="31"/>
        <v>0.3000000000000001</v>
      </c>
      <c r="AB82" s="134">
        <v>46463</v>
      </c>
      <c r="AC82" s="135">
        <f>W82-AB82</f>
        <v>-7177.2857142857101</v>
      </c>
      <c r="AD82" s="136">
        <f>AC82/AB82</f>
        <v>-0.15447314452974861</v>
      </c>
      <c r="CB82" s="195"/>
      <c r="CC82" s="195"/>
      <c r="CD82" s="195"/>
      <c r="CE82" s="195"/>
      <c r="CF82" s="196"/>
      <c r="CG82" s="196"/>
      <c r="CH82" s="196"/>
      <c r="CI82" s="196"/>
    </row>
    <row r="83" spans="1:87" s="194" customFormat="1" ht="14.45" hidden="1" customHeight="1" x14ac:dyDescent="0.2">
      <c r="A83" s="111">
        <v>500</v>
      </c>
      <c r="B83" s="127" t="s">
        <v>1146</v>
      </c>
      <c r="C83" s="110" t="str">
        <f t="shared" si="24"/>
        <v xml:space="preserve"> 746</v>
      </c>
      <c r="D83" s="112" t="s">
        <v>1146</v>
      </c>
      <c r="E83" s="110">
        <f t="shared" si="30"/>
        <v>0</v>
      </c>
      <c r="F83" s="113" t="s">
        <v>1011</v>
      </c>
      <c r="G83" s="113" t="s">
        <v>1141</v>
      </c>
      <c r="H83" s="113" t="s">
        <v>568</v>
      </c>
      <c r="I83" s="114">
        <v>26000</v>
      </c>
      <c r="J83" s="153">
        <v>0</v>
      </c>
      <c r="K83" s="154" t="s">
        <v>87</v>
      </c>
      <c r="L83" s="161">
        <f>I83</f>
        <v>26000</v>
      </c>
      <c r="M83" s="156">
        <f>2000+1600+800+200</f>
        <v>4600</v>
      </c>
      <c r="N83" s="157">
        <f t="shared" si="32"/>
        <v>30600</v>
      </c>
      <c r="O83" s="111">
        <v>500</v>
      </c>
      <c r="P83" s="127" t="s">
        <v>1146</v>
      </c>
      <c r="Q83" s="127"/>
      <c r="R83" s="127"/>
      <c r="S83" s="158"/>
      <c r="T83" s="113" t="s">
        <v>897</v>
      </c>
      <c r="U83" s="120"/>
      <c r="V83" s="121">
        <f t="shared" si="25"/>
        <v>30600</v>
      </c>
      <c r="W83" s="121">
        <f t="shared" si="26"/>
        <v>43714.285714285717</v>
      </c>
      <c r="X83" s="122">
        <f t="shared" si="27"/>
        <v>49959.183673469393</v>
      </c>
      <c r="Y83" s="123">
        <f t="shared" si="28"/>
        <v>0.12500000000000003</v>
      </c>
      <c r="Z83" s="122">
        <f t="shared" si="29"/>
        <v>50000</v>
      </c>
      <c r="AA83" s="124">
        <f t="shared" si="31"/>
        <v>0.30000000000000004</v>
      </c>
      <c r="AB83" s="134">
        <v>52325</v>
      </c>
      <c r="AC83" s="135">
        <f>W83-AB83</f>
        <v>-8610.7142857142826</v>
      </c>
      <c r="AD83" s="136">
        <f>AC83/AB83</f>
        <v>-0.16456214592860549</v>
      </c>
      <c r="CB83" s="195"/>
      <c r="CC83" s="195"/>
      <c r="CD83" s="195"/>
      <c r="CE83" s="195"/>
      <c r="CF83" s="196"/>
      <c r="CG83" s="196"/>
      <c r="CH83" s="196"/>
      <c r="CI83" s="196"/>
    </row>
    <row r="84" spans="1:87" s="194" customFormat="1" ht="14.45" hidden="1" customHeight="1" x14ac:dyDescent="0.2">
      <c r="A84" s="127">
        <v>501</v>
      </c>
      <c r="B84" s="127" t="s">
        <v>1147</v>
      </c>
      <c r="C84" s="110" t="str">
        <f t="shared" si="24"/>
        <v xml:space="preserve"> 345</v>
      </c>
      <c r="D84" s="112" t="s">
        <v>1147</v>
      </c>
      <c r="E84" s="110">
        <f t="shared" si="30"/>
        <v>0</v>
      </c>
      <c r="F84" s="113" t="s">
        <v>1029</v>
      </c>
      <c r="G84" s="113" t="s">
        <v>1141</v>
      </c>
      <c r="H84" s="113" t="s">
        <v>557</v>
      </c>
      <c r="I84" s="137">
        <v>32000</v>
      </c>
      <c r="J84" s="115">
        <f>I84-L84</f>
        <v>4800</v>
      </c>
      <c r="K84" s="110" t="s">
        <v>94</v>
      </c>
      <c r="L84" s="116">
        <f t="shared" ref="L84:L94" si="33">I84-M84</f>
        <v>27200</v>
      </c>
      <c r="M84" s="116">
        <f>2000+2000+600+200</f>
        <v>4800</v>
      </c>
      <c r="N84" s="117">
        <f t="shared" si="32"/>
        <v>32000</v>
      </c>
      <c r="O84" s="127">
        <v>501</v>
      </c>
      <c r="P84" s="127" t="s">
        <v>1147</v>
      </c>
      <c r="Q84" s="127">
        <v>32000</v>
      </c>
      <c r="R84" s="127">
        <f t="shared" ref="R84:R92" si="34">N84-Q84</f>
        <v>0</v>
      </c>
      <c r="S84" s="119"/>
      <c r="T84" s="127" t="s">
        <v>1148</v>
      </c>
      <c r="U84" s="120"/>
      <c r="V84" s="121">
        <f t="shared" si="25"/>
        <v>32000</v>
      </c>
      <c r="W84" s="121">
        <f t="shared" si="26"/>
        <v>45714.285714285717</v>
      </c>
      <c r="X84" s="122">
        <f t="shared" si="27"/>
        <v>52244.897959183676</v>
      </c>
      <c r="Y84" s="123">
        <f t="shared" si="28"/>
        <v>0.12499999999999999</v>
      </c>
      <c r="Z84" s="122">
        <f t="shared" si="29"/>
        <v>52300</v>
      </c>
      <c r="AA84" s="124">
        <f t="shared" si="31"/>
        <v>0.30000000000000004</v>
      </c>
      <c r="AB84" s="134"/>
      <c r="AC84" s="135"/>
      <c r="AD84" s="136"/>
      <c r="CB84" s="195"/>
      <c r="CC84" s="195"/>
      <c r="CD84" s="195"/>
      <c r="CE84" s="195"/>
      <c r="CF84" s="196"/>
      <c r="CG84" s="196"/>
      <c r="CH84" s="196"/>
      <c r="CI84" s="196"/>
    </row>
    <row r="85" spans="1:87" s="194" customFormat="1" ht="14.45" hidden="1" customHeight="1" x14ac:dyDescent="0.2">
      <c r="A85" s="111">
        <v>502</v>
      </c>
      <c r="B85" s="127" t="s">
        <v>1149</v>
      </c>
      <c r="C85" s="110" t="str">
        <f t="shared" si="24"/>
        <v xml:space="preserve"> 202</v>
      </c>
      <c r="D85" s="112" t="s">
        <v>1149</v>
      </c>
      <c r="E85" s="110">
        <f t="shared" si="30"/>
        <v>0</v>
      </c>
      <c r="F85" s="113" t="s">
        <v>1011</v>
      </c>
      <c r="G85" s="113" t="s">
        <v>1141</v>
      </c>
      <c r="H85" s="113" t="s">
        <v>568</v>
      </c>
      <c r="I85" s="128">
        <v>29500</v>
      </c>
      <c r="J85" s="139">
        <v>0</v>
      </c>
      <c r="K85" s="140" t="s">
        <v>97</v>
      </c>
      <c r="L85" s="141">
        <v>29500</v>
      </c>
      <c r="M85" s="132">
        <v>5100</v>
      </c>
      <c r="N85" s="133">
        <v>34600</v>
      </c>
      <c r="O85" s="111">
        <v>502</v>
      </c>
      <c r="P85" s="127" t="s">
        <v>1149</v>
      </c>
      <c r="Q85" s="142">
        <v>28000</v>
      </c>
      <c r="R85" s="142">
        <f t="shared" si="34"/>
        <v>6600</v>
      </c>
      <c r="S85" s="119"/>
      <c r="T85" s="127"/>
      <c r="U85" s="120"/>
      <c r="V85" s="121">
        <f t="shared" si="25"/>
        <v>34600</v>
      </c>
      <c r="W85" s="121">
        <f t="shared" si="26"/>
        <v>49428.571428571435</v>
      </c>
      <c r="X85" s="122">
        <f t="shared" si="27"/>
        <v>56489.795918367352</v>
      </c>
      <c r="Y85" s="123">
        <f t="shared" si="28"/>
        <v>0.12499999999999997</v>
      </c>
      <c r="Z85" s="122">
        <f t="shared" si="29"/>
        <v>56500</v>
      </c>
      <c r="AA85" s="124">
        <f t="shared" si="31"/>
        <v>0.3000000000000001</v>
      </c>
      <c r="AB85" s="134">
        <v>44363</v>
      </c>
      <c r="AC85" s="135">
        <f>W85-AB85</f>
        <v>5065.5714285714348</v>
      </c>
      <c r="AD85" s="136">
        <f>AC85/AB85</f>
        <v>0.11418460042313268</v>
      </c>
      <c r="CB85" s="195"/>
      <c r="CC85" s="195"/>
      <c r="CD85" s="195"/>
      <c r="CE85" s="195"/>
      <c r="CF85" s="196"/>
      <c r="CG85" s="196"/>
      <c r="CH85" s="196"/>
      <c r="CI85" s="196"/>
    </row>
    <row r="86" spans="1:87" s="194" customFormat="1" ht="14.45" hidden="1" customHeight="1" x14ac:dyDescent="0.2">
      <c r="A86" s="150">
        <v>503</v>
      </c>
      <c r="B86" s="111" t="s">
        <v>1150</v>
      </c>
      <c r="C86" s="110" t="str">
        <f t="shared" si="24"/>
        <v xml:space="preserve"> 750</v>
      </c>
      <c r="D86" s="112" t="s">
        <v>1150</v>
      </c>
      <c r="E86" s="110">
        <f t="shared" si="30"/>
        <v>0</v>
      </c>
      <c r="F86" s="113" t="s">
        <v>91</v>
      </c>
      <c r="G86" s="113" t="s">
        <v>1141</v>
      </c>
      <c r="H86" s="113" t="s">
        <v>883</v>
      </c>
      <c r="I86" s="137">
        <v>32500</v>
      </c>
      <c r="J86" s="115">
        <f>I86-L86</f>
        <v>4800</v>
      </c>
      <c r="K86" s="110" t="s">
        <v>94</v>
      </c>
      <c r="L86" s="116">
        <f t="shared" si="33"/>
        <v>27700</v>
      </c>
      <c r="M86" s="116">
        <v>4800</v>
      </c>
      <c r="N86" s="117">
        <f t="shared" si="32"/>
        <v>32500</v>
      </c>
      <c r="O86" s="150">
        <v>503</v>
      </c>
      <c r="P86" s="111" t="s">
        <v>1150</v>
      </c>
      <c r="Q86" s="111">
        <v>32500</v>
      </c>
      <c r="R86" s="127">
        <f t="shared" si="34"/>
        <v>0</v>
      </c>
      <c r="S86" s="151"/>
      <c r="T86" s="127" t="s">
        <v>1151</v>
      </c>
      <c r="U86" s="120"/>
      <c r="V86" s="121">
        <f t="shared" si="25"/>
        <v>32500</v>
      </c>
      <c r="W86" s="121">
        <f t="shared" si="26"/>
        <v>46428.571428571435</v>
      </c>
      <c r="X86" s="122">
        <f t="shared" si="27"/>
        <v>53061.224489795924</v>
      </c>
      <c r="Y86" s="123">
        <f t="shared" si="28"/>
        <v>0.12499999999999999</v>
      </c>
      <c r="Z86" s="122">
        <f t="shared" si="29"/>
        <v>53100</v>
      </c>
      <c r="AA86" s="124">
        <f t="shared" si="31"/>
        <v>0.3000000000000001</v>
      </c>
      <c r="AB86" s="134"/>
      <c r="AC86" s="135"/>
      <c r="AD86" s="136"/>
      <c r="CB86" s="195"/>
      <c r="CC86" s="195"/>
      <c r="CD86" s="195"/>
      <c r="CE86" s="195"/>
      <c r="CF86" s="196"/>
      <c r="CG86" s="196"/>
      <c r="CH86" s="196"/>
      <c r="CI86" s="196"/>
    </row>
    <row r="87" spans="1:87" s="194" customFormat="1" ht="14.45" hidden="1" customHeight="1" x14ac:dyDescent="0.2">
      <c r="A87" s="111">
        <v>504</v>
      </c>
      <c r="B87" s="127" t="s">
        <v>1152</v>
      </c>
      <c r="C87" s="110" t="str">
        <f t="shared" si="24"/>
        <v xml:space="preserve"> 494</v>
      </c>
      <c r="D87" s="112" t="s">
        <v>1152</v>
      </c>
      <c r="E87" s="110">
        <f t="shared" si="30"/>
        <v>0</v>
      </c>
      <c r="F87" s="113" t="s">
        <v>1011</v>
      </c>
      <c r="G87" s="113" t="s">
        <v>1141</v>
      </c>
      <c r="H87" s="113" t="s">
        <v>553</v>
      </c>
      <c r="I87" s="128">
        <v>28000</v>
      </c>
      <c r="J87" s="139">
        <v>0</v>
      </c>
      <c r="K87" s="140" t="s">
        <v>97</v>
      </c>
      <c r="L87" s="141">
        <v>28000</v>
      </c>
      <c r="M87" s="132">
        <v>5100</v>
      </c>
      <c r="N87" s="133">
        <v>33100</v>
      </c>
      <c r="O87" s="111">
        <v>504</v>
      </c>
      <c r="P87" s="127" t="s">
        <v>1152</v>
      </c>
      <c r="Q87" s="142">
        <v>28000</v>
      </c>
      <c r="R87" s="142">
        <f t="shared" si="34"/>
        <v>5100</v>
      </c>
      <c r="S87" s="119"/>
      <c r="T87" s="127"/>
      <c r="U87" s="120"/>
      <c r="V87" s="121">
        <f t="shared" si="25"/>
        <v>33100</v>
      </c>
      <c r="W87" s="121">
        <f t="shared" si="26"/>
        <v>47285.71428571429</v>
      </c>
      <c r="X87" s="122">
        <f t="shared" si="27"/>
        <v>54040.816326530614</v>
      </c>
      <c r="Y87" s="123">
        <f t="shared" si="28"/>
        <v>0.12499999999999994</v>
      </c>
      <c r="Z87" s="122">
        <f t="shared" si="29"/>
        <v>54100</v>
      </c>
      <c r="AA87" s="124">
        <f t="shared" si="31"/>
        <v>0.30000000000000004</v>
      </c>
      <c r="AB87" s="134">
        <v>42875</v>
      </c>
      <c r="AC87" s="135">
        <f>W87-AB87</f>
        <v>4410.7142857142899</v>
      </c>
      <c r="AD87" s="136">
        <f>AC87/AB87</f>
        <v>0.10287380258225749</v>
      </c>
      <c r="CB87" s="195"/>
      <c r="CC87" s="195"/>
      <c r="CD87" s="195"/>
      <c r="CE87" s="195"/>
      <c r="CF87" s="196"/>
      <c r="CG87" s="196"/>
      <c r="CH87" s="196"/>
      <c r="CI87" s="196"/>
    </row>
    <row r="88" spans="1:87" s="194" customFormat="1" ht="14.45" hidden="1" customHeight="1" x14ac:dyDescent="0.2">
      <c r="A88" s="150">
        <v>505</v>
      </c>
      <c r="B88" s="111" t="s">
        <v>1153</v>
      </c>
      <c r="C88" s="110" t="str">
        <f t="shared" si="24"/>
        <v xml:space="preserve"> 709</v>
      </c>
      <c r="D88" s="112" t="s">
        <v>1153</v>
      </c>
      <c r="E88" s="110">
        <f t="shared" si="30"/>
        <v>0</v>
      </c>
      <c r="F88" s="113" t="s">
        <v>91</v>
      </c>
      <c r="G88" s="113" t="s">
        <v>1141</v>
      </c>
      <c r="H88" s="113" t="s">
        <v>883</v>
      </c>
      <c r="I88" s="137">
        <v>29000</v>
      </c>
      <c r="J88" s="115">
        <f>I88-L88</f>
        <v>4450</v>
      </c>
      <c r="K88" s="110" t="s">
        <v>94</v>
      </c>
      <c r="L88" s="116">
        <f t="shared" si="33"/>
        <v>24550</v>
      </c>
      <c r="M88" s="116">
        <v>4450</v>
      </c>
      <c r="N88" s="117">
        <f t="shared" si="32"/>
        <v>29000</v>
      </c>
      <c r="O88" s="150">
        <v>505</v>
      </c>
      <c r="P88" s="111" t="s">
        <v>1153</v>
      </c>
      <c r="Q88" s="111">
        <v>29000</v>
      </c>
      <c r="R88" s="127">
        <f t="shared" si="34"/>
        <v>0</v>
      </c>
      <c r="S88" s="151"/>
      <c r="T88" s="127" t="s">
        <v>1154</v>
      </c>
      <c r="U88" s="120"/>
      <c r="V88" s="121">
        <f t="shared" si="25"/>
        <v>29000</v>
      </c>
      <c r="W88" s="121">
        <f t="shared" si="26"/>
        <v>41428.571428571435</v>
      </c>
      <c r="X88" s="122">
        <f t="shared" si="27"/>
        <v>47346.938775510214</v>
      </c>
      <c r="Y88" s="123">
        <f t="shared" si="28"/>
        <v>0.12500000000000006</v>
      </c>
      <c r="Z88" s="122">
        <f t="shared" si="29"/>
        <v>47400</v>
      </c>
      <c r="AA88" s="124">
        <f t="shared" si="31"/>
        <v>0.3000000000000001</v>
      </c>
      <c r="AB88" s="134"/>
      <c r="AC88" s="135"/>
      <c r="AD88" s="136"/>
      <c r="CB88" s="195"/>
      <c r="CC88" s="195"/>
      <c r="CD88" s="195"/>
      <c r="CE88" s="195"/>
      <c r="CF88" s="196"/>
      <c r="CG88" s="196"/>
      <c r="CH88" s="196"/>
      <c r="CI88" s="196"/>
    </row>
    <row r="89" spans="1:87" s="194" customFormat="1" ht="14.45" hidden="1" customHeight="1" x14ac:dyDescent="0.2">
      <c r="A89" s="111">
        <v>506</v>
      </c>
      <c r="B89" s="127" t="s">
        <v>1155</v>
      </c>
      <c r="C89" s="110" t="str">
        <f t="shared" si="24"/>
        <v xml:space="preserve"> 478</v>
      </c>
      <c r="D89" s="112" t="s">
        <v>1155</v>
      </c>
      <c r="E89" s="110">
        <f t="shared" si="30"/>
        <v>0</v>
      </c>
      <c r="F89" s="113" t="s">
        <v>1029</v>
      </c>
      <c r="G89" s="113" t="s">
        <v>1141</v>
      </c>
      <c r="H89" s="113" t="s">
        <v>888</v>
      </c>
      <c r="I89" s="137">
        <v>30000</v>
      </c>
      <c r="J89" s="116">
        <v>4450</v>
      </c>
      <c r="K89" s="110" t="s">
        <v>94</v>
      </c>
      <c r="L89" s="116">
        <f t="shared" si="33"/>
        <v>25550</v>
      </c>
      <c r="M89" s="116">
        <f>2000+200+600+1650</f>
        <v>4450</v>
      </c>
      <c r="N89" s="117">
        <f t="shared" si="32"/>
        <v>30000</v>
      </c>
      <c r="O89" s="111">
        <v>506</v>
      </c>
      <c r="P89" s="127" t="s">
        <v>1155</v>
      </c>
      <c r="Q89" s="127">
        <v>30000</v>
      </c>
      <c r="R89" s="127">
        <f t="shared" si="34"/>
        <v>0</v>
      </c>
      <c r="S89" s="119"/>
      <c r="T89" s="127" t="s">
        <v>880</v>
      </c>
      <c r="U89" s="120"/>
      <c r="V89" s="121">
        <f t="shared" si="25"/>
        <v>30000</v>
      </c>
      <c r="W89" s="121">
        <f t="shared" si="26"/>
        <v>42857.142857142862</v>
      </c>
      <c r="X89" s="122">
        <f t="shared" si="27"/>
        <v>48979.591836734697</v>
      </c>
      <c r="Y89" s="123">
        <f t="shared" si="28"/>
        <v>0.12499999999999994</v>
      </c>
      <c r="Z89" s="122">
        <f t="shared" si="29"/>
        <v>49000</v>
      </c>
      <c r="AA89" s="124">
        <f t="shared" si="31"/>
        <v>0.3000000000000001</v>
      </c>
      <c r="AB89" s="134"/>
      <c r="AC89" s="135"/>
      <c r="AD89" s="136"/>
      <c r="CB89" s="195"/>
      <c r="CC89" s="195"/>
      <c r="CD89" s="195"/>
      <c r="CE89" s="195"/>
      <c r="CF89" s="196"/>
      <c r="CG89" s="196"/>
      <c r="CH89" s="196"/>
      <c r="CI89" s="196"/>
    </row>
    <row r="90" spans="1:87" s="194" customFormat="1" ht="14.45" hidden="1" customHeight="1" x14ac:dyDescent="0.2">
      <c r="A90" s="127">
        <v>507</v>
      </c>
      <c r="B90" s="127" t="s">
        <v>1156</v>
      </c>
      <c r="C90" s="110" t="str">
        <f t="shared" si="24"/>
        <v xml:space="preserve"> 315</v>
      </c>
      <c r="D90" s="112" t="s">
        <v>1156</v>
      </c>
      <c r="E90" s="110">
        <f t="shared" si="30"/>
        <v>0</v>
      </c>
      <c r="F90" s="113" t="s">
        <v>1029</v>
      </c>
      <c r="G90" s="113" t="s">
        <v>1141</v>
      </c>
      <c r="H90" s="113" t="s">
        <v>879</v>
      </c>
      <c r="I90" s="137">
        <v>29500</v>
      </c>
      <c r="J90" s="115">
        <f>I90-L90</f>
        <v>4450</v>
      </c>
      <c r="K90" s="110" t="s">
        <v>94</v>
      </c>
      <c r="L90" s="116">
        <f t="shared" si="33"/>
        <v>25050</v>
      </c>
      <c r="M90" s="116">
        <f>2000+200+600+1650</f>
        <v>4450</v>
      </c>
      <c r="N90" s="117">
        <f t="shared" si="32"/>
        <v>29500</v>
      </c>
      <c r="O90" s="127">
        <v>507</v>
      </c>
      <c r="P90" s="127" t="s">
        <v>1156</v>
      </c>
      <c r="Q90" s="127">
        <v>29500</v>
      </c>
      <c r="R90" s="127">
        <f t="shared" si="34"/>
        <v>0</v>
      </c>
      <c r="S90" s="119"/>
      <c r="T90" s="127" t="s">
        <v>1144</v>
      </c>
      <c r="U90" s="120"/>
      <c r="V90" s="121">
        <f t="shared" si="25"/>
        <v>29500</v>
      </c>
      <c r="W90" s="121">
        <f t="shared" si="26"/>
        <v>42142.857142857145</v>
      </c>
      <c r="X90" s="122">
        <f t="shared" si="27"/>
        <v>48163.265306122448</v>
      </c>
      <c r="Y90" s="123">
        <f t="shared" si="28"/>
        <v>0.12499999999999994</v>
      </c>
      <c r="Z90" s="122">
        <f t="shared" si="29"/>
        <v>48200</v>
      </c>
      <c r="AA90" s="124">
        <f t="shared" si="31"/>
        <v>0.30000000000000004</v>
      </c>
      <c r="AB90" s="134"/>
      <c r="AC90" s="135"/>
      <c r="AD90" s="136"/>
      <c r="CB90" s="195"/>
      <c r="CC90" s="195"/>
      <c r="CD90" s="195"/>
      <c r="CE90" s="195"/>
      <c r="CF90" s="196"/>
      <c r="CG90" s="196"/>
      <c r="CH90" s="196"/>
      <c r="CI90" s="196"/>
    </row>
    <row r="91" spans="1:87" s="194" customFormat="1" ht="14.45" hidden="1" customHeight="1" x14ac:dyDescent="0.2">
      <c r="A91" s="111">
        <v>508</v>
      </c>
      <c r="B91" s="127" t="s">
        <v>1157</v>
      </c>
      <c r="C91" s="110" t="str">
        <f t="shared" si="24"/>
        <v xml:space="preserve"> 571</v>
      </c>
      <c r="D91" s="112" t="s">
        <v>1157</v>
      </c>
      <c r="E91" s="110">
        <f t="shared" si="30"/>
        <v>0</v>
      </c>
      <c r="F91" s="113" t="s">
        <v>1029</v>
      </c>
      <c r="G91" s="113" t="s">
        <v>1141</v>
      </c>
      <c r="H91" s="113" t="s">
        <v>883</v>
      </c>
      <c r="I91" s="128">
        <v>29000</v>
      </c>
      <c r="J91" s="129">
        <v>4450</v>
      </c>
      <c r="K91" s="130" t="s">
        <v>94</v>
      </c>
      <c r="L91" s="131">
        <v>24550</v>
      </c>
      <c r="M91" s="131">
        <v>4450</v>
      </c>
      <c r="N91" s="133">
        <v>29000</v>
      </c>
      <c r="O91" s="111">
        <v>508</v>
      </c>
      <c r="P91" s="127" t="s">
        <v>1157</v>
      </c>
      <c r="Q91" s="127">
        <v>29000</v>
      </c>
      <c r="R91" s="127">
        <f t="shared" si="34"/>
        <v>0</v>
      </c>
      <c r="S91" s="119"/>
      <c r="T91" s="127"/>
      <c r="U91" s="120"/>
      <c r="V91" s="121">
        <f t="shared" si="25"/>
        <v>29000</v>
      </c>
      <c r="W91" s="121">
        <f t="shared" si="26"/>
        <v>41428.571428571435</v>
      </c>
      <c r="X91" s="122">
        <f t="shared" si="27"/>
        <v>47346.938775510214</v>
      </c>
      <c r="Y91" s="123">
        <f t="shared" si="28"/>
        <v>0.12500000000000006</v>
      </c>
      <c r="Z91" s="122">
        <f t="shared" si="29"/>
        <v>47400</v>
      </c>
      <c r="AA91" s="124">
        <f t="shared" si="31"/>
        <v>0.3000000000000001</v>
      </c>
      <c r="AB91" s="134"/>
      <c r="AC91" s="135"/>
      <c r="AD91" s="136"/>
      <c r="CB91" s="195"/>
      <c r="CC91" s="195"/>
      <c r="CD91" s="195"/>
      <c r="CE91" s="195"/>
      <c r="CF91" s="196"/>
      <c r="CG91" s="196"/>
      <c r="CH91" s="196"/>
      <c r="CI91" s="196"/>
    </row>
    <row r="92" spans="1:87" s="194" customFormat="1" ht="14.45" hidden="1" customHeight="1" x14ac:dyDescent="0.2">
      <c r="A92" s="150">
        <v>509</v>
      </c>
      <c r="B92" s="111" t="s">
        <v>1158</v>
      </c>
      <c r="C92" s="110" t="str">
        <f t="shared" si="24"/>
        <v xml:space="preserve"> 521</v>
      </c>
      <c r="D92" s="112" t="s">
        <v>1158</v>
      </c>
      <c r="E92" s="110">
        <f t="shared" si="30"/>
        <v>0</v>
      </c>
      <c r="F92" s="113" t="s">
        <v>91</v>
      </c>
      <c r="G92" s="113" t="s">
        <v>1141</v>
      </c>
      <c r="H92" s="113" t="s">
        <v>883</v>
      </c>
      <c r="I92" s="137">
        <v>29000</v>
      </c>
      <c r="J92" s="115">
        <f>I92-L92</f>
        <v>4450</v>
      </c>
      <c r="K92" s="110" t="s">
        <v>94</v>
      </c>
      <c r="L92" s="116">
        <f t="shared" si="33"/>
        <v>24550</v>
      </c>
      <c r="M92" s="116">
        <v>4450</v>
      </c>
      <c r="N92" s="117">
        <f t="shared" si="32"/>
        <v>29000</v>
      </c>
      <c r="O92" s="150">
        <v>509</v>
      </c>
      <c r="P92" s="111" t="s">
        <v>1158</v>
      </c>
      <c r="Q92" s="111">
        <v>29000</v>
      </c>
      <c r="R92" s="127">
        <f t="shared" si="34"/>
        <v>0</v>
      </c>
      <c r="S92" s="151"/>
      <c r="T92" s="127" t="s">
        <v>1154</v>
      </c>
      <c r="U92" s="120"/>
      <c r="V92" s="121">
        <f t="shared" si="25"/>
        <v>29000</v>
      </c>
      <c r="W92" s="121">
        <f t="shared" si="26"/>
        <v>41428.571428571435</v>
      </c>
      <c r="X92" s="122">
        <f t="shared" si="27"/>
        <v>47346.938775510214</v>
      </c>
      <c r="Y92" s="123">
        <f t="shared" si="28"/>
        <v>0.12500000000000006</v>
      </c>
      <c r="Z92" s="122">
        <f t="shared" si="29"/>
        <v>47400</v>
      </c>
      <c r="AA92" s="124">
        <f t="shared" si="31"/>
        <v>0.3000000000000001</v>
      </c>
      <c r="AB92" s="134"/>
      <c r="AC92" s="135"/>
      <c r="AD92" s="136"/>
      <c r="CB92" s="195"/>
      <c r="CC92" s="195"/>
      <c r="CD92" s="195"/>
      <c r="CE92" s="195"/>
      <c r="CF92" s="196"/>
      <c r="CG92" s="196"/>
      <c r="CH92" s="196"/>
      <c r="CI92" s="196"/>
    </row>
    <row r="93" spans="1:87" s="194" customFormat="1" ht="14.45" hidden="1" customHeight="1" x14ac:dyDescent="0.2">
      <c r="A93" s="150">
        <v>510</v>
      </c>
      <c r="B93" s="111" t="s">
        <v>1159</v>
      </c>
      <c r="C93" s="110" t="str">
        <f t="shared" si="24"/>
        <v xml:space="preserve"> 852</v>
      </c>
      <c r="D93" s="112" t="s">
        <v>1159</v>
      </c>
      <c r="E93" s="110">
        <f t="shared" si="30"/>
        <v>0</v>
      </c>
      <c r="F93" s="113" t="s">
        <v>91</v>
      </c>
      <c r="G93" s="113" t="s">
        <v>1141</v>
      </c>
      <c r="H93" s="113" t="s">
        <v>883</v>
      </c>
      <c r="I93" s="137">
        <v>29000</v>
      </c>
      <c r="J93" s="115">
        <f>I93-L93</f>
        <v>4450</v>
      </c>
      <c r="K93" s="110" t="s">
        <v>94</v>
      </c>
      <c r="L93" s="116">
        <f t="shared" si="33"/>
        <v>24550</v>
      </c>
      <c r="M93" s="116">
        <v>4450</v>
      </c>
      <c r="N93" s="117">
        <f t="shared" si="32"/>
        <v>29000</v>
      </c>
      <c r="O93" s="150">
        <v>510</v>
      </c>
      <c r="P93" s="111" t="s">
        <v>1159</v>
      </c>
      <c r="Q93" s="111"/>
      <c r="R93" s="111"/>
      <c r="S93" s="151"/>
      <c r="T93" s="127" t="s">
        <v>1154</v>
      </c>
      <c r="U93" s="120"/>
      <c r="V93" s="121">
        <f t="shared" si="25"/>
        <v>29000</v>
      </c>
      <c r="W93" s="121">
        <f t="shared" si="26"/>
        <v>41428.571428571435</v>
      </c>
      <c r="X93" s="122">
        <f t="shared" si="27"/>
        <v>47346.938775510214</v>
      </c>
      <c r="Y93" s="123">
        <f t="shared" si="28"/>
        <v>0.12500000000000006</v>
      </c>
      <c r="Z93" s="122">
        <f t="shared" si="29"/>
        <v>47400</v>
      </c>
      <c r="AA93" s="124">
        <f t="shared" si="31"/>
        <v>0.3000000000000001</v>
      </c>
      <c r="AB93" s="134"/>
      <c r="AC93" s="135"/>
      <c r="AD93" s="136"/>
      <c r="CB93" s="195"/>
      <c r="CC93" s="195"/>
      <c r="CD93" s="195"/>
      <c r="CE93" s="195"/>
      <c r="CF93" s="196"/>
      <c r="CG93" s="196"/>
      <c r="CH93" s="196"/>
      <c r="CI93" s="196"/>
    </row>
    <row r="94" spans="1:87" s="194" customFormat="1" ht="14.45" hidden="1" customHeight="1" x14ac:dyDescent="0.2">
      <c r="A94" s="127">
        <v>511</v>
      </c>
      <c r="B94" s="127" t="s">
        <v>1160</v>
      </c>
      <c r="C94" s="110" t="str">
        <f t="shared" si="24"/>
        <v xml:space="preserve"> 589</v>
      </c>
      <c r="D94" s="112" t="s">
        <v>1160</v>
      </c>
      <c r="E94" s="110">
        <f t="shared" si="30"/>
        <v>0</v>
      </c>
      <c r="F94" s="113" t="s">
        <v>1029</v>
      </c>
      <c r="G94" s="113" t="s">
        <v>1141</v>
      </c>
      <c r="H94" s="113" t="s">
        <v>557</v>
      </c>
      <c r="I94" s="137">
        <v>28000</v>
      </c>
      <c r="J94" s="115">
        <f>I94-L94</f>
        <v>4450</v>
      </c>
      <c r="K94" s="110" t="s">
        <v>94</v>
      </c>
      <c r="L94" s="116">
        <f t="shared" si="33"/>
        <v>23550</v>
      </c>
      <c r="M94" s="116">
        <f>2000+1650+600+200</f>
        <v>4450</v>
      </c>
      <c r="N94" s="117">
        <f t="shared" si="32"/>
        <v>28000</v>
      </c>
      <c r="O94" s="127">
        <v>511</v>
      </c>
      <c r="P94" s="127" t="s">
        <v>1160</v>
      </c>
      <c r="Q94" s="127">
        <v>28500</v>
      </c>
      <c r="R94" s="127">
        <f>N94-Q94</f>
        <v>-500</v>
      </c>
      <c r="S94" s="119"/>
      <c r="T94" s="127" t="s">
        <v>1161</v>
      </c>
      <c r="U94" s="120"/>
      <c r="V94" s="121">
        <f t="shared" si="25"/>
        <v>28000</v>
      </c>
      <c r="W94" s="121">
        <f t="shared" si="26"/>
        <v>40000</v>
      </c>
      <c r="X94" s="122">
        <f t="shared" si="27"/>
        <v>45714.285714285717</v>
      </c>
      <c r="Y94" s="123">
        <f t="shared" si="28"/>
        <v>0.12500000000000006</v>
      </c>
      <c r="Z94" s="122">
        <f t="shared" si="29"/>
        <v>45800</v>
      </c>
      <c r="AA94" s="124">
        <f t="shared" si="31"/>
        <v>0.3</v>
      </c>
      <c r="AB94" s="134"/>
      <c r="AC94" s="135"/>
      <c r="AD94" s="136"/>
      <c r="CB94" s="195"/>
      <c r="CC94" s="195"/>
      <c r="CD94" s="195"/>
      <c r="CE94" s="195"/>
      <c r="CF94" s="196"/>
      <c r="CG94" s="196"/>
      <c r="CH94" s="196"/>
      <c r="CI94" s="196"/>
    </row>
    <row r="95" spans="1:87" s="194" customFormat="1" ht="14.45" hidden="1" customHeight="1" x14ac:dyDescent="0.2">
      <c r="A95" s="111">
        <v>512</v>
      </c>
      <c r="B95" s="127" t="s">
        <v>1162</v>
      </c>
      <c r="C95" s="110" t="str">
        <f t="shared" si="24"/>
        <v xml:space="preserve"> 117</v>
      </c>
      <c r="D95" s="112" t="s">
        <v>1162</v>
      </c>
      <c r="E95" s="110">
        <f t="shared" si="30"/>
        <v>0</v>
      </c>
      <c r="F95" s="113" t="s">
        <v>1011</v>
      </c>
      <c r="G95" s="113" t="s">
        <v>1141</v>
      </c>
      <c r="H95" s="113" t="s">
        <v>568</v>
      </c>
      <c r="I95" s="114">
        <v>24000</v>
      </c>
      <c r="J95" s="153">
        <v>0</v>
      </c>
      <c r="K95" s="154" t="s">
        <v>87</v>
      </c>
      <c r="L95" s="161">
        <f>I95</f>
        <v>24000</v>
      </c>
      <c r="M95" s="156">
        <f>2000+1600+800+200+650</f>
        <v>5250</v>
      </c>
      <c r="N95" s="157">
        <f>M95+L95</f>
        <v>29250</v>
      </c>
      <c r="O95" s="111">
        <v>512</v>
      </c>
      <c r="P95" s="127" t="s">
        <v>1162</v>
      </c>
      <c r="Q95" s="127"/>
      <c r="R95" s="127"/>
      <c r="S95" s="158"/>
      <c r="T95" s="113" t="s">
        <v>1163</v>
      </c>
      <c r="U95" s="120"/>
      <c r="V95" s="121">
        <f t="shared" si="25"/>
        <v>29250</v>
      </c>
      <c r="W95" s="121">
        <f t="shared" si="26"/>
        <v>41785.71428571429</v>
      </c>
      <c r="X95" s="122">
        <f t="shared" si="27"/>
        <v>47755.102040816331</v>
      </c>
      <c r="Y95" s="123">
        <f t="shared" si="28"/>
        <v>0.125</v>
      </c>
      <c r="Z95" s="122">
        <f t="shared" si="29"/>
        <v>47800</v>
      </c>
      <c r="AA95" s="124">
        <f t="shared" si="31"/>
        <v>0.30000000000000004</v>
      </c>
      <c r="AB95" s="134">
        <v>46113</v>
      </c>
      <c r="AC95" s="135">
        <f>W95-AB95</f>
        <v>-4327.2857142857101</v>
      </c>
      <c r="AD95" s="136">
        <f>AC95/AB95</f>
        <v>-9.3840906344972358E-2</v>
      </c>
      <c r="CB95" s="195"/>
      <c r="CC95" s="195"/>
      <c r="CD95" s="195"/>
      <c r="CE95" s="195"/>
      <c r="CF95" s="196"/>
      <c r="CG95" s="196"/>
      <c r="CH95" s="196"/>
      <c r="CI95" s="196"/>
    </row>
    <row r="96" spans="1:87" s="194" customFormat="1" ht="14.45" hidden="1" customHeight="1" x14ac:dyDescent="0.2">
      <c r="A96" s="150">
        <v>513</v>
      </c>
      <c r="B96" s="111" t="s">
        <v>1164</v>
      </c>
      <c r="C96" s="110" t="str">
        <f t="shared" si="24"/>
        <v xml:space="preserve"> 678</v>
      </c>
      <c r="D96" s="112" t="s">
        <v>1164</v>
      </c>
      <c r="E96" s="110">
        <f t="shared" si="30"/>
        <v>0</v>
      </c>
      <c r="F96" s="113" t="s">
        <v>91</v>
      </c>
      <c r="G96" s="113" t="s">
        <v>1141</v>
      </c>
      <c r="H96" s="113" t="s">
        <v>883</v>
      </c>
      <c r="I96" s="137">
        <v>29000</v>
      </c>
      <c r="J96" s="115">
        <f>I96-L96</f>
        <v>4450</v>
      </c>
      <c r="K96" s="110" t="s">
        <v>94</v>
      </c>
      <c r="L96" s="116">
        <f>I96-M96</f>
        <v>24550</v>
      </c>
      <c r="M96" s="116">
        <v>4450</v>
      </c>
      <c r="N96" s="117">
        <f>L96+M96</f>
        <v>29000</v>
      </c>
      <c r="O96" s="150">
        <v>513</v>
      </c>
      <c r="P96" s="111" t="s">
        <v>1164</v>
      </c>
      <c r="Q96" s="111">
        <v>29000</v>
      </c>
      <c r="R96" s="127">
        <f>N96-Q96</f>
        <v>0</v>
      </c>
      <c r="S96" s="151"/>
      <c r="T96" s="127" t="s">
        <v>1154</v>
      </c>
      <c r="U96" s="120"/>
      <c r="V96" s="121">
        <f t="shared" si="25"/>
        <v>29000</v>
      </c>
      <c r="W96" s="121">
        <f t="shared" si="26"/>
        <v>41428.571428571435</v>
      </c>
      <c r="X96" s="122">
        <f t="shared" si="27"/>
        <v>47346.938775510214</v>
      </c>
      <c r="Y96" s="123">
        <f t="shared" si="28"/>
        <v>0.12500000000000006</v>
      </c>
      <c r="Z96" s="122">
        <f t="shared" si="29"/>
        <v>47400</v>
      </c>
      <c r="AA96" s="124">
        <f t="shared" si="31"/>
        <v>0.3000000000000001</v>
      </c>
      <c r="AB96" s="134"/>
      <c r="AC96" s="135"/>
      <c r="AD96" s="136"/>
      <c r="AE96" s="197">
        <f>AVERAGE(W96,W95,W94,W93,W92,W91,W90,W89,W88,W87,W86,W85,W84,W83,W82,W81,W80,W79)</f>
        <v>42948.412698412692</v>
      </c>
      <c r="AF96" s="209">
        <v>46293.650793650799</v>
      </c>
      <c r="AG96" s="205">
        <v>45084.033613445383</v>
      </c>
      <c r="AH96" s="199">
        <v>40270</v>
      </c>
      <c r="AI96" s="201">
        <f>(AF96-AG96)/AG96</f>
        <v>2.6830278554416491E-2</v>
      </c>
      <c r="AJ96" s="204">
        <v>53750</v>
      </c>
      <c r="AK96" s="204">
        <v>49393</v>
      </c>
      <c r="AL96" s="205">
        <f>34855/0.7</f>
        <v>49792.857142857145</v>
      </c>
      <c r="AM96" s="205">
        <v>45241</v>
      </c>
      <c r="AN96" s="203"/>
      <c r="AO96" s="204">
        <v>49977</v>
      </c>
      <c r="AP96" s="205">
        <f>35529/0.7</f>
        <v>50755.71428571429</v>
      </c>
      <c r="AQ96" s="199">
        <v>41127</v>
      </c>
      <c r="AR96" s="203"/>
      <c r="AS96" s="204">
        <v>55530</v>
      </c>
      <c r="AT96" s="205">
        <f>38745/0.7</f>
        <v>55350</v>
      </c>
      <c r="AU96" s="203"/>
      <c r="AV96" s="203">
        <v>85213</v>
      </c>
      <c r="AW96" s="204">
        <v>56850</v>
      </c>
      <c r="AX96" s="205">
        <f>41974/0.7</f>
        <v>59962.857142857145</v>
      </c>
      <c r="AY96" s="205">
        <v>59963</v>
      </c>
      <c r="AZ96" s="206"/>
      <c r="BA96" s="203"/>
      <c r="BB96" s="203"/>
      <c r="BC96" s="200">
        <v>39150</v>
      </c>
      <c r="BD96" s="202">
        <v>37480</v>
      </c>
      <c r="BE96" s="200">
        <v>37112</v>
      </c>
      <c r="BF96" s="200">
        <v>35531</v>
      </c>
      <c r="BG96" s="203"/>
      <c r="BH96" s="206"/>
      <c r="BI96" s="203"/>
      <c r="BJ96" s="203"/>
      <c r="BK96" s="205">
        <v>67950</v>
      </c>
      <c r="BL96" s="204">
        <v>62676</v>
      </c>
      <c r="BM96" s="205">
        <f>40775/0.7</f>
        <v>58250.000000000007</v>
      </c>
      <c r="BN96" s="205">
        <v>59539</v>
      </c>
      <c r="BO96" s="203"/>
      <c r="BP96" s="206"/>
      <c r="BQ96" s="203"/>
      <c r="BR96" s="199">
        <v>42415</v>
      </c>
      <c r="BS96" s="203"/>
      <c r="BT96" s="207"/>
      <c r="BU96" s="203"/>
      <c r="BV96" s="203"/>
      <c r="BW96" s="203"/>
      <c r="BX96" s="207"/>
      <c r="BY96" s="205">
        <f>32103/0.7</f>
        <v>45861.428571428572</v>
      </c>
      <c r="BZ96" s="205">
        <v>52261</v>
      </c>
      <c r="CA96" s="208"/>
      <c r="CB96" s="177"/>
      <c r="CC96" s="177"/>
      <c r="CD96" s="177"/>
      <c r="CE96" s="177"/>
      <c r="CF96" s="196"/>
      <c r="CG96" s="196"/>
      <c r="CH96" s="196"/>
      <c r="CI96" s="196"/>
    </row>
    <row r="101" spans="4:4" s="215" customFormat="1" x14ac:dyDescent="0.2">
      <c r="D101" s="91" t="s">
        <v>1165</v>
      </c>
    </row>
    <row r="102" spans="4:4" s="215" customFormat="1" x14ac:dyDescent="0.2">
      <c r="D102" s="91" t="s">
        <v>1166</v>
      </c>
    </row>
    <row r="103" spans="4:4" s="215" customFormat="1" x14ac:dyDescent="0.2">
      <c r="D103" s="91" t="s">
        <v>1167</v>
      </c>
    </row>
  </sheetData>
  <autoFilter ref="D3:CI96">
    <filterColumn colId="76">
      <customFilters>
        <customFilter operator="notEqual" val=" "/>
      </customFilters>
    </filterColumn>
  </autoFilter>
  <mergeCells count="14">
    <mergeCell ref="L2:N2"/>
    <mergeCell ref="CB2:CE2"/>
    <mergeCell ref="BG2:BJ2"/>
    <mergeCell ref="BK2:BN2"/>
    <mergeCell ref="BO2:BR2"/>
    <mergeCell ref="BS2:BV2"/>
    <mergeCell ref="BW2:BZ2"/>
    <mergeCell ref="CF2:CI2"/>
    <mergeCell ref="AJ2:AM2"/>
    <mergeCell ref="AN2:AQ2"/>
    <mergeCell ref="AR2:AU2"/>
    <mergeCell ref="AW2:AY2"/>
    <mergeCell ref="AZ2:BB2"/>
    <mergeCell ref="BD2:BF2"/>
  </mergeCells>
  <conditionalFormatting sqref="AD4:AD96">
    <cfRule type="cellIs" dxfId="124" priority="119" operator="greaterThan">
      <formula>0.7</formula>
    </cfRule>
    <cfRule type="cellIs" dxfId="123" priority="120" operator="greaterThan">
      <formula>7</formula>
    </cfRule>
  </conditionalFormatting>
  <conditionalFormatting sqref="C4:C96">
    <cfRule type="duplicateValues" dxfId="122" priority="117"/>
    <cfRule type="duplicateValues" dxfId="121" priority="118"/>
  </conditionalFormatting>
  <conditionalFormatting sqref="C4">
    <cfRule type="duplicateValues" dxfId="120" priority="115"/>
    <cfRule type="duplicateValues" dxfId="119" priority="116"/>
  </conditionalFormatting>
  <conditionalFormatting sqref="C6">
    <cfRule type="duplicateValues" dxfId="118" priority="113"/>
    <cfRule type="duplicateValues" dxfId="117" priority="114"/>
  </conditionalFormatting>
  <conditionalFormatting sqref="C7">
    <cfRule type="duplicateValues" dxfId="116" priority="111"/>
    <cfRule type="duplicateValues" dxfId="115" priority="112"/>
  </conditionalFormatting>
  <conditionalFormatting sqref="C14">
    <cfRule type="duplicateValues" dxfId="114" priority="109"/>
    <cfRule type="duplicateValues" dxfId="113" priority="110"/>
  </conditionalFormatting>
  <conditionalFormatting sqref="C16">
    <cfRule type="duplicateValues" dxfId="112" priority="107"/>
    <cfRule type="duplicateValues" dxfId="111" priority="108"/>
  </conditionalFormatting>
  <conditionalFormatting sqref="C27">
    <cfRule type="duplicateValues" dxfId="110" priority="105"/>
    <cfRule type="duplicateValues" dxfId="109" priority="106"/>
  </conditionalFormatting>
  <conditionalFormatting sqref="C28">
    <cfRule type="duplicateValues" dxfId="108" priority="103"/>
    <cfRule type="duplicateValues" dxfId="107" priority="104"/>
  </conditionalFormatting>
  <conditionalFormatting sqref="C31">
    <cfRule type="duplicateValues" dxfId="106" priority="101"/>
    <cfRule type="duplicateValues" dxfId="105" priority="102"/>
  </conditionalFormatting>
  <conditionalFormatting sqref="C36">
    <cfRule type="duplicateValues" dxfId="104" priority="99"/>
    <cfRule type="duplicateValues" dxfId="103" priority="100"/>
  </conditionalFormatting>
  <conditionalFormatting sqref="C37">
    <cfRule type="duplicateValues" dxfId="102" priority="97"/>
    <cfRule type="duplicateValues" dxfId="101" priority="98"/>
  </conditionalFormatting>
  <conditionalFormatting sqref="C40:C41">
    <cfRule type="duplicateValues" dxfId="100" priority="95"/>
    <cfRule type="duplicateValues" dxfId="99" priority="96"/>
  </conditionalFormatting>
  <conditionalFormatting sqref="C43">
    <cfRule type="duplicateValues" dxfId="98" priority="93"/>
    <cfRule type="duplicateValues" dxfId="97" priority="94"/>
  </conditionalFormatting>
  <conditionalFormatting sqref="C46">
    <cfRule type="duplicateValues" dxfId="96" priority="91"/>
    <cfRule type="duplicateValues" dxfId="95" priority="92"/>
  </conditionalFormatting>
  <conditionalFormatting sqref="C48">
    <cfRule type="duplicateValues" dxfId="94" priority="89"/>
    <cfRule type="duplicateValues" dxfId="93" priority="90"/>
  </conditionalFormatting>
  <conditionalFormatting sqref="C86">
    <cfRule type="duplicateValues" dxfId="92" priority="87"/>
    <cfRule type="duplicateValues" dxfId="91" priority="88"/>
  </conditionalFormatting>
  <conditionalFormatting sqref="C88">
    <cfRule type="duplicateValues" dxfId="90" priority="85"/>
    <cfRule type="duplicateValues" dxfId="89" priority="86"/>
  </conditionalFormatting>
  <conditionalFormatting sqref="C92:C93">
    <cfRule type="duplicateValues" dxfId="88" priority="83"/>
    <cfRule type="duplicateValues" dxfId="87" priority="84"/>
  </conditionalFormatting>
  <conditionalFormatting sqref="C96">
    <cfRule type="duplicateValues" dxfId="86" priority="81"/>
    <cfRule type="duplicateValues" dxfId="85" priority="82"/>
  </conditionalFormatting>
  <conditionalFormatting sqref="AD5">
    <cfRule type="cellIs" dxfId="84" priority="79" operator="greaterThan">
      <formula>0.7</formula>
    </cfRule>
    <cfRule type="cellIs" dxfId="83" priority="80" operator="greaterThan">
      <formula>7</formula>
    </cfRule>
  </conditionalFormatting>
  <conditionalFormatting sqref="AD8">
    <cfRule type="cellIs" dxfId="82" priority="77" operator="greaterThan">
      <formula>0.7</formula>
    </cfRule>
    <cfRule type="cellIs" dxfId="81" priority="78" operator="greaterThan">
      <formula>7</formula>
    </cfRule>
  </conditionalFormatting>
  <conditionalFormatting sqref="AD9">
    <cfRule type="cellIs" dxfId="80" priority="75" operator="greaterThan">
      <formula>0.7</formula>
    </cfRule>
    <cfRule type="cellIs" dxfId="79" priority="76" operator="greaterThan">
      <formula>7</formula>
    </cfRule>
  </conditionalFormatting>
  <conditionalFormatting sqref="AD10">
    <cfRule type="cellIs" dxfId="78" priority="73" operator="greaterThan">
      <formula>0.7</formula>
    </cfRule>
    <cfRule type="cellIs" dxfId="77" priority="74" operator="greaterThan">
      <formula>7</formula>
    </cfRule>
  </conditionalFormatting>
  <conditionalFormatting sqref="AD11">
    <cfRule type="cellIs" dxfId="76" priority="71" operator="greaterThan">
      <formula>0.7</formula>
    </cfRule>
    <cfRule type="cellIs" dxfId="75" priority="72" operator="greaterThan">
      <formula>7</formula>
    </cfRule>
  </conditionalFormatting>
  <conditionalFormatting sqref="AD12">
    <cfRule type="cellIs" dxfId="74" priority="69" operator="greaterThan">
      <formula>0.7</formula>
    </cfRule>
    <cfRule type="cellIs" dxfId="73" priority="70" operator="greaterThan">
      <formula>7</formula>
    </cfRule>
  </conditionalFormatting>
  <conditionalFormatting sqref="AD13">
    <cfRule type="cellIs" dxfId="72" priority="67" operator="greaterThan">
      <formula>0.7</formula>
    </cfRule>
    <cfRule type="cellIs" dxfId="71" priority="68" operator="greaterThan">
      <formula>7</formula>
    </cfRule>
  </conditionalFormatting>
  <conditionalFormatting sqref="AD17">
    <cfRule type="cellIs" dxfId="70" priority="65" operator="greaterThan">
      <formula>0.7</formula>
    </cfRule>
    <cfRule type="cellIs" dxfId="69" priority="66" operator="greaterThan">
      <formula>7</formula>
    </cfRule>
  </conditionalFormatting>
  <conditionalFormatting sqref="AD18">
    <cfRule type="cellIs" dxfId="68" priority="63" operator="greaterThan">
      <formula>0.7</formula>
    </cfRule>
    <cfRule type="cellIs" dxfId="67" priority="64" operator="greaterThan">
      <formula>7</formula>
    </cfRule>
  </conditionalFormatting>
  <conditionalFormatting sqref="AD20">
    <cfRule type="cellIs" dxfId="66" priority="61" operator="greaterThan">
      <formula>0.7</formula>
    </cfRule>
    <cfRule type="cellIs" dxfId="65" priority="62" operator="greaterThan">
      <formula>7</formula>
    </cfRule>
  </conditionalFormatting>
  <conditionalFormatting sqref="AD25">
    <cfRule type="cellIs" dxfId="64" priority="59" operator="greaterThan">
      <formula>0.7</formula>
    </cfRule>
    <cfRule type="cellIs" dxfId="63" priority="60" operator="greaterThan">
      <formula>7</formula>
    </cfRule>
  </conditionalFormatting>
  <conditionalFormatting sqref="AD30">
    <cfRule type="cellIs" dxfId="62" priority="57" operator="greaterThan">
      <formula>0.7</formula>
    </cfRule>
    <cfRule type="cellIs" dxfId="61" priority="58" operator="greaterThan">
      <formula>7</formula>
    </cfRule>
  </conditionalFormatting>
  <conditionalFormatting sqref="AD32">
    <cfRule type="cellIs" dxfId="60" priority="55" operator="greaterThan">
      <formula>0.7</formula>
    </cfRule>
    <cfRule type="cellIs" dxfId="59" priority="56" operator="greaterThan">
      <formula>7</formula>
    </cfRule>
  </conditionalFormatting>
  <conditionalFormatting sqref="AD33">
    <cfRule type="cellIs" dxfId="58" priority="53" operator="greaterThan">
      <formula>0.7</formula>
    </cfRule>
    <cfRule type="cellIs" dxfId="57" priority="54" operator="greaterThan">
      <formula>7</formula>
    </cfRule>
  </conditionalFormatting>
  <conditionalFormatting sqref="AD34">
    <cfRule type="cellIs" dxfId="56" priority="51" operator="greaterThan">
      <formula>0.7</formula>
    </cfRule>
    <cfRule type="cellIs" dxfId="55" priority="52" operator="greaterThan">
      <formula>7</formula>
    </cfRule>
  </conditionalFormatting>
  <conditionalFormatting sqref="AD36">
    <cfRule type="cellIs" dxfId="54" priority="49" operator="greaterThan">
      <formula>0.7</formula>
    </cfRule>
    <cfRule type="cellIs" dxfId="53" priority="50" operator="greaterThan">
      <formula>7</formula>
    </cfRule>
  </conditionalFormatting>
  <conditionalFormatting sqref="AD37">
    <cfRule type="cellIs" dxfId="52" priority="47" operator="greaterThan">
      <formula>0.7</formula>
    </cfRule>
    <cfRule type="cellIs" dxfId="51" priority="48" operator="greaterThan">
      <formula>7</formula>
    </cfRule>
  </conditionalFormatting>
  <conditionalFormatting sqref="AD38">
    <cfRule type="cellIs" dxfId="50" priority="45" operator="greaterThan">
      <formula>0.7</formula>
    </cfRule>
    <cfRule type="cellIs" dxfId="49" priority="46" operator="greaterThan">
      <formula>7</formula>
    </cfRule>
  </conditionalFormatting>
  <conditionalFormatting sqref="AD39">
    <cfRule type="cellIs" dxfId="48" priority="43" operator="greaterThan">
      <formula>0.7</formula>
    </cfRule>
    <cfRule type="cellIs" dxfId="47" priority="44" operator="greaterThan">
      <formula>7</formula>
    </cfRule>
  </conditionalFormatting>
  <conditionalFormatting sqref="AD42">
    <cfRule type="cellIs" dxfId="46" priority="41" operator="greaterThan">
      <formula>0.7</formula>
    </cfRule>
    <cfRule type="cellIs" dxfId="45" priority="42" operator="greaterThan">
      <formula>7</formula>
    </cfRule>
  </conditionalFormatting>
  <conditionalFormatting sqref="AD50">
    <cfRule type="cellIs" dxfId="44" priority="39" operator="greaterThan">
      <formula>0.7</formula>
    </cfRule>
    <cfRule type="cellIs" dxfId="43" priority="40" operator="greaterThan">
      <formula>7</formula>
    </cfRule>
  </conditionalFormatting>
  <conditionalFormatting sqref="AD51">
    <cfRule type="cellIs" dxfId="42" priority="37" operator="greaterThan">
      <formula>0.7</formula>
    </cfRule>
    <cfRule type="cellIs" dxfId="41" priority="38" operator="greaterThan">
      <formula>7</formula>
    </cfRule>
  </conditionalFormatting>
  <conditionalFormatting sqref="AD52">
    <cfRule type="cellIs" dxfId="40" priority="35" operator="greaterThan">
      <formula>0.7</formula>
    </cfRule>
    <cfRule type="cellIs" dxfId="39" priority="36" operator="greaterThan">
      <formula>7</formula>
    </cfRule>
  </conditionalFormatting>
  <conditionalFormatting sqref="AD53">
    <cfRule type="cellIs" dxfId="38" priority="33" operator="greaterThan">
      <formula>0.7</formula>
    </cfRule>
    <cfRule type="cellIs" dxfId="37" priority="34" operator="greaterThan">
      <formula>7</formula>
    </cfRule>
  </conditionalFormatting>
  <conditionalFormatting sqref="AD54">
    <cfRule type="cellIs" dxfId="36" priority="31" operator="greaterThan">
      <formula>0.7</formula>
    </cfRule>
    <cfRule type="cellIs" dxfId="35" priority="32" operator="greaterThan">
      <formula>7</formula>
    </cfRule>
  </conditionalFormatting>
  <conditionalFormatting sqref="AD55">
    <cfRule type="cellIs" dxfId="34" priority="29" operator="greaterThan">
      <formula>0.7</formula>
    </cfRule>
    <cfRule type="cellIs" dxfId="33" priority="30" operator="greaterThan">
      <formula>7</formula>
    </cfRule>
  </conditionalFormatting>
  <conditionalFormatting sqref="AD57">
    <cfRule type="cellIs" dxfId="32" priority="27" operator="greaterThan">
      <formula>0.7</formula>
    </cfRule>
    <cfRule type="cellIs" dxfId="31" priority="28" operator="greaterThan">
      <formula>7</formula>
    </cfRule>
  </conditionalFormatting>
  <conditionalFormatting sqref="AD58">
    <cfRule type="cellIs" dxfId="30" priority="25" operator="greaterThan">
      <formula>0.7</formula>
    </cfRule>
    <cfRule type="cellIs" dxfId="29" priority="26" operator="greaterThan">
      <formula>7</formula>
    </cfRule>
  </conditionalFormatting>
  <conditionalFormatting sqref="AD61">
    <cfRule type="cellIs" dxfId="28" priority="23" operator="greaterThan">
      <formula>0.7</formula>
    </cfRule>
    <cfRule type="cellIs" dxfId="27" priority="24" operator="greaterThan">
      <formula>7</formula>
    </cfRule>
  </conditionalFormatting>
  <conditionalFormatting sqref="AD69">
    <cfRule type="cellIs" dxfId="26" priority="21" operator="greaterThan">
      <formula>0.7</formula>
    </cfRule>
    <cfRule type="cellIs" dxfId="25" priority="22" operator="greaterThan">
      <formula>7</formula>
    </cfRule>
  </conditionalFormatting>
  <conditionalFormatting sqref="AD74">
    <cfRule type="cellIs" dxfId="24" priority="19" operator="greaterThan">
      <formula>0.7</formula>
    </cfRule>
    <cfRule type="cellIs" dxfId="23" priority="20" operator="greaterThan">
      <formula>7</formula>
    </cfRule>
  </conditionalFormatting>
  <conditionalFormatting sqref="AD77">
    <cfRule type="cellIs" dxfId="22" priority="17" operator="greaterThan">
      <formula>0.7</formula>
    </cfRule>
    <cfRule type="cellIs" dxfId="21" priority="18" operator="greaterThan">
      <formula>7</formula>
    </cfRule>
  </conditionalFormatting>
  <conditionalFormatting sqref="AD78">
    <cfRule type="cellIs" dxfId="20" priority="15" operator="greaterThan">
      <formula>0.7</formula>
    </cfRule>
    <cfRule type="cellIs" dxfId="19" priority="16" operator="greaterThan">
      <formula>7</formula>
    </cfRule>
  </conditionalFormatting>
  <conditionalFormatting sqref="AD79">
    <cfRule type="cellIs" dxfId="18" priority="13" operator="greaterThan">
      <formula>0.7</formula>
    </cfRule>
    <cfRule type="cellIs" dxfId="17" priority="14" operator="greaterThan">
      <formula>7</formula>
    </cfRule>
  </conditionalFormatting>
  <conditionalFormatting sqref="AD80">
    <cfRule type="cellIs" dxfId="16" priority="11" operator="greaterThan">
      <formula>0.7</formula>
    </cfRule>
    <cfRule type="cellIs" dxfId="15" priority="12" operator="greaterThan">
      <formula>7</formula>
    </cfRule>
  </conditionalFormatting>
  <conditionalFormatting sqref="AD82">
    <cfRule type="cellIs" dxfId="14" priority="9" operator="greaterThan">
      <formula>0.7</formula>
    </cfRule>
    <cfRule type="cellIs" dxfId="13" priority="10" operator="greaterThan">
      <formula>7</formula>
    </cfRule>
  </conditionalFormatting>
  <conditionalFormatting sqref="AD83">
    <cfRule type="cellIs" dxfId="12" priority="7" operator="greaterThan">
      <formula>0.7</formula>
    </cfRule>
    <cfRule type="cellIs" dxfId="11" priority="8" operator="greaterThan">
      <formula>7</formula>
    </cfRule>
  </conditionalFormatting>
  <conditionalFormatting sqref="AD85">
    <cfRule type="cellIs" dxfId="10" priority="5" operator="greaterThan">
      <formula>0.7</formula>
    </cfRule>
    <cfRule type="cellIs" dxfId="9" priority="6" operator="greaterThan">
      <formula>7</formula>
    </cfRule>
  </conditionalFormatting>
  <conditionalFormatting sqref="AD87">
    <cfRule type="cellIs" dxfId="8" priority="3" operator="greaterThan">
      <formula>0.7</formula>
    </cfRule>
    <cfRule type="cellIs" dxfId="7" priority="4" operator="greaterThan">
      <formula>7</formula>
    </cfRule>
  </conditionalFormatting>
  <conditionalFormatting sqref="AD95">
    <cfRule type="cellIs" dxfId="6" priority="1" operator="greaterThan">
      <formula>0.7</formula>
    </cfRule>
    <cfRule type="cellIs" dxfId="5" priority="2" operator="greaterThan">
      <formula>7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I522"/>
  <sheetViews>
    <sheetView topLeftCell="O1" workbookViewId="0">
      <pane ySplit="3" topLeftCell="A114" activePane="bottomLeft" state="frozen"/>
      <selection pane="bottomLeft" activeCell="AH126" sqref="AH126"/>
    </sheetView>
  </sheetViews>
  <sheetFormatPr defaultRowHeight="12.75" x14ac:dyDescent="0.25"/>
  <cols>
    <col min="1" max="1" width="5.140625" style="85" customWidth="1"/>
    <col min="2" max="2" width="7.7109375" style="91" hidden="1" customWidth="1"/>
    <col min="3" max="3" width="13.140625" style="91" hidden="1" customWidth="1"/>
    <col min="4" max="4" width="10.5703125" style="85" hidden="1" customWidth="1"/>
    <col min="5" max="5" width="10.85546875" style="85" customWidth="1"/>
    <col min="6" max="6" width="8.5703125" style="85" hidden="1" customWidth="1"/>
    <col min="7" max="7" width="9.140625" style="85" customWidth="1"/>
    <col min="8" max="8" width="35.42578125" style="85" bestFit="1" customWidth="1"/>
    <col min="9" max="9" width="26" style="85" customWidth="1"/>
    <col min="10" max="10" width="14.28515625" style="92" hidden="1" customWidth="1"/>
    <col min="11" max="11" width="13.28515625" style="91" hidden="1" customWidth="1"/>
    <col min="12" max="12" width="12.42578125" style="85" hidden="1" customWidth="1"/>
    <col min="13" max="15" width="12.42578125" style="85" customWidth="1"/>
    <col min="16" max="16" width="5.140625" style="85" hidden="1" customWidth="1"/>
    <col min="17" max="18" width="12.42578125" style="85" hidden="1" customWidth="1"/>
    <col min="19" max="19" width="14.42578125" style="4" hidden="1" customWidth="1"/>
    <col min="20" max="20" width="56.28515625" style="85" hidden="1" customWidth="1"/>
    <col min="21" max="21" width="10.28515625" style="93" hidden="1" customWidth="1"/>
    <col min="22" max="22" width="17.140625" style="91" hidden="1" customWidth="1"/>
    <col min="23" max="23" width="11.28515625" style="91" hidden="1" customWidth="1"/>
    <col min="24" max="24" width="12" style="91" hidden="1" customWidth="1"/>
    <col min="25" max="25" width="7.7109375" style="91" hidden="1" customWidth="1"/>
    <col min="26" max="26" width="12.140625" style="91" hidden="1" customWidth="1"/>
    <col min="27" max="27" width="15.28515625" style="85" bestFit="1" customWidth="1"/>
    <col min="28" max="28" width="13.85546875" style="85" bestFit="1" customWidth="1"/>
    <col min="29" max="29" width="14.7109375" style="223" bestFit="1" customWidth="1"/>
    <col min="30" max="30" width="11.5703125" style="223" bestFit="1" customWidth="1"/>
    <col min="31" max="31" width="8.7109375" style="223" bestFit="1" customWidth="1"/>
    <col min="32" max="32" width="10.7109375" style="223" customWidth="1"/>
    <col min="33" max="33" width="15.42578125" style="223" bestFit="1" customWidth="1"/>
    <col min="34" max="34" width="10.42578125" style="223" bestFit="1" customWidth="1"/>
    <col min="35" max="35" width="9.140625" style="223"/>
    <col min="36" max="16384" width="9.140625" style="85"/>
  </cols>
  <sheetData>
    <row r="1" spans="1:35" s="1" customFormat="1" ht="15" x14ac:dyDescent="0.25">
      <c r="B1" s="2"/>
      <c r="C1" s="2"/>
      <c r="J1" s="3"/>
      <c r="K1" s="2"/>
      <c r="S1" s="4"/>
      <c r="U1" s="5"/>
      <c r="V1" s="2"/>
      <c r="W1" s="2"/>
      <c r="X1" s="2"/>
      <c r="Y1" s="6"/>
      <c r="Z1" s="2"/>
      <c r="AA1" s="220"/>
      <c r="AB1" s="221"/>
      <c r="AC1" s="222"/>
      <c r="AD1" s="222"/>
      <c r="AE1" s="222"/>
      <c r="AF1" s="222"/>
      <c r="AG1" s="222"/>
      <c r="AH1" s="222"/>
      <c r="AI1" s="222"/>
    </row>
    <row r="2" spans="1:35" s="1" customFormat="1" ht="15" x14ac:dyDescent="0.25">
      <c r="A2" s="219" t="s">
        <v>1174</v>
      </c>
      <c r="B2" s="2"/>
      <c r="C2" s="2"/>
      <c r="J2" s="3"/>
      <c r="K2" s="2"/>
      <c r="P2" s="8"/>
      <c r="S2" s="4"/>
      <c r="U2" s="9"/>
      <c r="V2" s="2"/>
      <c r="W2" s="2"/>
      <c r="X2" s="2"/>
      <c r="Y2" s="2"/>
      <c r="Z2" s="2"/>
      <c r="AA2" s="238" t="s">
        <v>1169</v>
      </c>
      <c r="AB2" s="238"/>
      <c r="AC2" s="238"/>
      <c r="AD2" s="238"/>
      <c r="AE2" s="239" t="s">
        <v>1168</v>
      </c>
      <c r="AF2" s="239"/>
      <c r="AG2" s="239"/>
      <c r="AH2" s="239"/>
      <c r="AI2" s="222"/>
    </row>
    <row r="3" spans="1:35" s="1" customFormat="1" ht="25.9" customHeight="1" x14ac:dyDescent="0.25">
      <c r="A3" s="1" t="s">
        <v>11</v>
      </c>
      <c r="B3" s="1" t="s">
        <v>12</v>
      </c>
      <c r="C3" s="1" t="s">
        <v>13</v>
      </c>
      <c r="D3" s="1">
        <f>SUM(D4:D510)</f>
        <v>43422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11</v>
      </c>
      <c r="Q3" s="13" t="s">
        <v>25</v>
      </c>
      <c r="R3" s="13" t="s">
        <v>25</v>
      </c>
      <c r="S3" s="4" t="s">
        <v>26</v>
      </c>
      <c r="T3" s="1" t="s">
        <v>23</v>
      </c>
      <c r="U3" s="15" t="s">
        <v>27</v>
      </c>
      <c r="V3" s="15" t="s">
        <v>28</v>
      </c>
      <c r="W3" s="15" t="s">
        <v>29</v>
      </c>
      <c r="X3" s="16" t="s">
        <v>30</v>
      </c>
      <c r="Y3" s="16" t="s">
        <v>31</v>
      </c>
      <c r="Z3" s="16" t="s">
        <v>32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1789</v>
      </c>
      <c r="AH3" s="175" t="s">
        <v>24</v>
      </c>
      <c r="AI3" s="222"/>
    </row>
    <row r="4" spans="1:35" s="186" customFormat="1" ht="15" customHeight="1" x14ac:dyDescent="0.2">
      <c r="A4" s="47">
        <v>7</v>
      </c>
      <c r="B4" s="48" t="str">
        <f>REPLACE(E4,1,3, )</f>
        <v xml:space="preserve"> 244</v>
      </c>
      <c r="C4" s="32" t="s">
        <v>104</v>
      </c>
      <c r="D4" s="49">
        <f>IF(E4=C4,0,1)</f>
        <v>0</v>
      </c>
      <c r="E4" s="50" t="s">
        <v>104</v>
      </c>
      <c r="F4" s="30" t="str">
        <f>REPLACE(E4,4,4, )</f>
        <v>SAD</v>
      </c>
      <c r="G4" s="30" t="s">
        <v>34</v>
      </c>
      <c r="H4" s="34" t="s">
        <v>85</v>
      </c>
      <c r="I4" s="30" t="s">
        <v>105</v>
      </c>
      <c r="J4" s="63">
        <v>58000</v>
      </c>
      <c r="K4" s="52">
        <f>J4-M4</f>
        <v>3650</v>
      </c>
      <c r="L4" s="64" t="s">
        <v>106</v>
      </c>
      <c r="M4" s="53">
        <f>J4-N4</f>
        <v>54350</v>
      </c>
      <c r="N4" s="65">
        <v>3650</v>
      </c>
      <c r="O4" s="55">
        <f>M4+N4</f>
        <v>58000</v>
      </c>
      <c r="P4" s="47">
        <v>7</v>
      </c>
      <c r="Q4" s="41">
        <v>58000</v>
      </c>
      <c r="R4" s="41">
        <f>O4-Q4</f>
        <v>0</v>
      </c>
      <c r="S4" s="42" t="s">
        <v>88</v>
      </c>
      <c r="T4" s="33" t="s">
        <v>107</v>
      </c>
      <c r="U4" s="44">
        <v>4000</v>
      </c>
      <c r="V4" s="57">
        <f>U4+O4</f>
        <v>62000</v>
      </c>
      <c r="W4" s="57">
        <f>V4/0.7</f>
        <v>88571.42857142858</v>
      </c>
      <c r="X4" s="58">
        <f>W4/0.875</f>
        <v>101224.48979591837</v>
      </c>
      <c r="Y4" s="59">
        <f>(X4-W4)/X4</f>
        <v>0.12499999999999996</v>
      </c>
      <c r="Z4" s="58">
        <f>(ROUNDUP((X4/100),0))*100</f>
        <v>101300</v>
      </c>
      <c r="AA4" s="58"/>
      <c r="AB4" s="58"/>
      <c r="AC4" s="180"/>
      <c r="AD4" s="180"/>
      <c r="AE4" s="176"/>
      <c r="AF4" s="176"/>
      <c r="AG4" s="176"/>
      <c r="AH4" s="176"/>
      <c r="AI4" s="185"/>
    </row>
    <row r="5" spans="1:35" ht="14.45" customHeight="1" x14ac:dyDescent="0.2">
      <c r="A5" s="47">
        <v>202</v>
      </c>
      <c r="B5" s="48" t="str">
        <f>REPLACE(E5,1,3, )</f>
        <v xml:space="preserve"> 604</v>
      </c>
      <c r="C5" s="70" t="s">
        <v>459</v>
      </c>
      <c r="D5" s="49">
        <f>IF(E5=C5,0,1)</f>
        <v>0</v>
      </c>
      <c r="E5" s="32" t="s">
        <v>459</v>
      </c>
      <c r="F5" s="30" t="str">
        <f>REPLACE(E5,4,4, )</f>
        <v>SAL</v>
      </c>
      <c r="G5" s="30" t="s">
        <v>34</v>
      </c>
      <c r="H5" s="71" t="s">
        <v>441</v>
      </c>
      <c r="I5" s="30" t="s">
        <v>460</v>
      </c>
      <c r="J5" s="51">
        <f>M5</f>
        <v>32000</v>
      </c>
      <c r="K5" s="52">
        <f>J5-M5</f>
        <v>0</v>
      </c>
      <c r="L5" s="88" t="s">
        <v>87</v>
      </c>
      <c r="M5" s="61">
        <v>32000</v>
      </c>
      <c r="N5" s="54">
        <f>5350</f>
        <v>5350</v>
      </c>
      <c r="O5" s="55">
        <f>M5+N5</f>
        <v>37350</v>
      </c>
      <c r="P5" s="47">
        <v>202</v>
      </c>
      <c r="Q5" s="41">
        <v>37350</v>
      </c>
      <c r="R5" s="41">
        <f>O5-Q5</f>
        <v>0</v>
      </c>
      <c r="S5" s="42" t="s">
        <v>88</v>
      </c>
      <c r="T5" s="33" t="s">
        <v>461</v>
      </c>
      <c r="U5" s="57">
        <v>3000</v>
      </c>
      <c r="V5" s="57">
        <f>U5+O5</f>
        <v>40350</v>
      </c>
      <c r="W5" s="57">
        <f>V5/0.7</f>
        <v>57642.857142857145</v>
      </c>
      <c r="X5" s="58">
        <f>W5/0.875</f>
        <v>65877.551020408166</v>
      </c>
      <c r="Y5" s="59">
        <f>(X5-W5)/X5</f>
        <v>0.125</v>
      </c>
      <c r="Z5" s="58">
        <f>(ROUNDUP((X5/100),0))*100</f>
        <v>65900</v>
      </c>
      <c r="AA5" s="58"/>
      <c r="AB5" s="58"/>
      <c r="AC5" s="180"/>
      <c r="AD5" s="180"/>
      <c r="AE5" s="176"/>
      <c r="AF5" s="176"/>
      <c r="AG5" s="176"/>
      <c r="AH5" s="176"/>
    </row>
    <row r="6" spans="1:35" ht="14.45" customHeight="1" x14ac:dyDescent="0.2">
      <c r="A6" s="47">
        <v>242</v>
      </c>
      <c r="B6" s="48" t="str">
        <f>REPLACE(E6,1,3, )</f>
        <v xml:space="preserve"> 392</v>
      </c>
      <c r="C6" s="70" t="s">
        <v>536</v>
      </c>
      <c r="D6" s="49">
        <f>IF(E6=C6,0,1)</f>
        <v>0</v>
      </c>
      <c r="E6" s="49" t="s">
        <v>536</v>
      </c>
      <c r="F6" s="30" t="str">
        <f>REPLACE(E6,4,4, )</f>
        <v>SAM</v>
      </c>
      <c r="G6" s="33" t="s">
        <v>91</v>
      </c>
      <c r="H6" s="34" t="s">
        <v>537</v>
      </c>
      <c r="I6" s="33" t="s">
        <v>538</v>
      </c>
      <c r="J6" s="51">
        <f>M6</f>
        <v>63150</v>
      </c>
      <c r="K6" s="52">
        <f>J6-M6</f>
        <v>0</v>
      </c>
      <c r="L6" s="60" t="s">
        <v>97</v>
      </c>
      <c r="M6" s="62">
        <v>63150</v>
      </c>
      <c r="N6" s="53">
        <f>2000+200+250+500+800+3600</f>
        <v>7350</v>
      </c>
      <c r="O6" s="55">
        <f>M6+N6</f>
        <v>70500</v>
      </c>
      <c r="P6" s="47">
        <v>242</v>
      </c>
      <c r="Q6" s="56">
        <v>70500</v>
      </c>
      <c r="R6" s="41">
        <f>O6-Q6</f>
        <v>0</v>
      </c>
      <c r="S6" s="67"/>
      <c r="T6" s="33" t="s">
        <v>539</v>
      </c>
      <c r="U6" s="57">
        <v>2000</v>
      </c>
      <c r="V6" s="57">
        <f>U6+O6</f>
        <v>72500</v>
      </c>
      <c r="W6" s="57">
        <f>V6/0.7</f>
        <v>103571.42857142858</v>
      </c>
      <c r="X6" s="58">
        <f>W6/0.875</f>
        <v>118367.34693877552</v>
      </c>
      <c r="Y6" s="59">
        <f>(X6-W6)/X6</f>
        <v>0.12499999999999999</v>
      </c>
      <c r="Z6" s="58">
        <f>(ROUNDUP((X6/100),0))*100</f>
        <v>118400</v>
      </c>
      <c r="AA6" s="178"/>
      <c r="AB6" s="178"/>
      <c r="AC6" s="177"/>
      <c r="AD6" s="177"/>
      <c r="AE6" s="179"/>
      <c r="AF6" s="179"/>
      <c r="AG6" s="179"/>
      <c r="AH6" s="179"/>
    </row>
    <row r="7" spans="1:35" ht="14.45" customHeight="1" x14ac:dyDescent="0.2">
      <c r="A7" s="47">
        <v>176</v>
      </c>
      <c r="B7" s="48" t="str">
        <f>REPLACE(E7,1,3, )</f>
        <v xml:space="preserve"> 448</v>
      </c>
      <c r="C7" s="70" t="s">
        <v>408</v>
      </c>
      <c r="D7" s="49">
        <f>IF(E7=C7,0,1)</f>
        <v>0</v>
      </c>
      <c r="E7" s="48" t="s">
        <v>408</v>
      </c>
      <c r="F7" s="30" t="str">
        <f>REPLACE(E7,4,4, )</f>
        <v>SAP</v>
      </c>
      <c r="G7" s="33" t="s">
        <v>34</v>
      </c>
      <c r="H7" s="71" t="s">
        <v>360</v>
      </c>
      <c r="I7" s="33" t="s">
        <v>409</v>
      </c>
      <c r="J7" s="72">
        <v>71000</v>
      </c>
      <c r="K7" s="72">
        <f>J7-M7</f>
        <v>0</v>
      </c>
      <c r="L7" s="64" t="s">
        <v>87</v>
      </c>
      <c r="M7" s="73">
        <f>J7</f>
        <v>71000</v>
      </c>
      <c r="N7" s="74">
        <f>2000+3450+800+300+1000</f>
        <v>7550</v>
      </c>
      <c r="O7" s="75">
        <f>M7+N7</f>
        <v>78550</v>
      </c>
      <c r="P7" s="47">
        <v>176</v>
      </c>
      <c r="Q7" s="76">
        <v>78550</v>
      </c>
      <c r="R7" s="41">
        <f>O7-Q7</f>
        <v>0</v>
      </c>
      <c r="S7" s="42" t="s">
        <v>88</v>
      </c>
      <c r="T7" s="47" t="s">
        <v>410</v>
      </c>
      <c r="U7" s="57">
        <v>3000</v>
      </c>
      <c r="V7" s="57">
        <f>U7+O7</f>
        <v>81550</v>
      </c>
      <c r="W7" s="57">
        <f>V7/0.7</f>
        <v>116500.00000000001</v>
      </c>
      <c r="X7" s="58">
        <f>W7/0.875</f>
        <v>133142.85714285716</v>
      </c>
      <c r="Y7" s="59">
        <f>(X7-W7)/X7</f>
        <v>0.125</v>
      </c>
      <c r="Z7" s="58">
        <f>(ROUNDUP((X7/100),0))*100</f>
        <v>133200</v>
      </c>
      <c r="AA7" s="58"/>
      <c r="AB7" s="58"/>
      <c r="AC7" s="180"/>
      <c r="AD7" s="180"/>
      <c r="AE7" s="176"/>
      <c r="AF7" s="176"/>
      <c r="AG7" s="176"/>
      <c r="AH7" s="176"/>
    </row>
    <row r="8" spans="1:35" ht="14.45" customHeight="1" x14ac:dyDescent="0.2">
      <c r="A8" s="47">
        <v>217</v>
      </c>
      <c r="B8" s="48" t="str">
        <f>REPLACE(E8,1,3, )</f>
        <v xml:space="preserve"> 737</v>
      </c>
      <c r="C8" s="70" t="s">
        <v>491</v>
      </c>
      <c r="D8" s="49">
        <f>IF(E8=C8,0,1)</f>
        <v>0</v>
      </c>
      <c r="E8" s="32" t="s">
        <v>491</v>
      </c>
      <c r="F8" s="30" t="str">
        <f>REPLACE(E8,4,4, )</f>
        <v>SAP</v>
      </c>
      <c r="G8" s="30" t="s">
        <v>34</v>
      </c>
      <c r="H8" s="71" t="s">
        <v>441</v>
      </c>
      <c r="I8" s="30" t="s">
        <v>409</v>
      </c>
      <c r="J8" s="72">
        <v>45000</v>
      </c>
      <c r="K8" s="72">
        <f>J8-M8</f>
        <v>0</v>
      </c>
      <c r="L8" s="88" t="s">
        <v>87</v>
      </c>
      <c r="M8" s="73">
        <f>J8</f>
        <v>45000</v>
      </c>
      <c r="N8" s="74">
        <f>2000+2850+800+300</f>
        <v>5950</v>
      </c>
      <c r="O8" s="74">
        <f>M8+N8</f>
        <v>50950</v>
      </c>
      <c r="P8" s="47">
        <v>217</v>
      </c>
      <c r="Q8" s="76">
        <v>50950</v>
      </c>
      <c r="R8" s="41">
        <f>O8-Q8</f>
        <v>0</v>
      </c>
      <c r="S8" s="42" t="s">
        <v>88</v>
      </c>
      <c r="T8" s="47" t="s">
        <v>432</v>
      </c>
      <c r="U8" s="57"/>
      <c r="V8" s="57">
        <f>U8+O8</f>
        <v>50950</v>
      </c>
      <c r="W8" s="57">
        <f>V8/0.7</f>
        <v>72785.71428571429</v>
      </c>
      <c r="X8" s="58">
        <f>W8/0.875</f>
        <v>83183.673469387766</v>
      </c>
      <c r="Y8" s="59">
        <f>(X8-W8)/X8</f>
        <v>0.12500000000000006</v>
      </c>
      <c r="Z8" s="58">
        <f>(ROUNDUP((X8/100),0))*100</f>
        <v>83200</v>
      </c>
      <c r="AA8" s="58"/>
      <c r="AB8" s="58"/>
      <c r="AC8" s="180"/>
      <c r="AD8" s="180"/>
      <c r="AE8" s="176"/>
      <c r="AF8" s="176"/>
      <c r="AG8" s="176"/>
      <c r="AH8" s="176"/>
    </row>
    <row r="9" spans="1:35" ht="14.45" customHeight="1" x14ac:dyDescent="0.2">
      <c r="A9" s="47">
        <v>253</v>
      </c>
      <c r="B9" s="48" t="str">
        <f>REPLACE(E9,1,3, )</f>
        <v xml:space="preserve"> 941</v>
      </c>
      <c r="C9" s="70" t="s">
        <v>559</v>
      </c>
      <c r="D9" s="49">
        <f>IF(E9=C9,0,1)</f>
        <v>0</v>
      </c>
      <c r="E9" s="50" t="s">
        <v>559</v>
      </c>
      <c r="F9" s="30" t="str">
        <f>REPLACE(E9,4,4, )</f>
        <v>SAP</v>
      </c>
      <c r="G9" s="30" t="s">
        <v>34</v>
      </c>
      <c r="H9" s="71" t="s">
        <v>545</v>
      </c>
      <c r="I9" s="30" t="s">
        <v>560</v>
      </c>
      <c r="J9" s="72">
        <v>65000</v>
      </c>
      <c r="K9" s="72">
        <f>J9-M9</f>
        <v>0</v>
      </c>
      <c r="L9" s="88" t="s">
        <v>87</v>
      </c>
      <c r="M9" s="73">
        <f>J9</f>
        <v>65000</v>
      </c>
      <c r="N9" s="74">
        <f>2000+1750+800+300+650</f>
        <v>5500</v>
      </c>
      <c r="O9" s="75">
        <f>N9+M9</f>
        <v>70500</v>
      </c>
      <c r="P9" s="47">
        <v>253</v>
      </c>
      <c r="Q9" s="76">
        <v>70500</v>
      </c>
      <c r="R9" s="41">
        <f>O9-Q9</f>
        <v>0</v>
      </c>
      <c r="S9" s="42" t="s">
        <v>88</v>
      </c>
      <c r="T9" s="47" t="s">
        <v>561</v>
      </c>
      <c r="U9" s="57">
        <v>4000</v>
      </c>
      <c r="V9" s="57">
        <f>U9+O9</f>
        <v>74500</v>
      </c>
      <c r="W9" s="57">
        <f>V9/0.7</f>
        <v>106428.57142857143</v>
      </c>
      <c r="X9" s="58">
        <f>W9/0.875</f>
        <v>121632.6530612245</v>
      </c>
      <c r="Y9" s="59">
        <f>(X9-W9)/X9</f>
        <v>0.125</v>
      </c>
      <c r="Z9" s="58">
        <f>(ROUNDUP((X9/100),0))*100</f>
        <v>121700</v>
      </c>
      <c r="AA9" s="58"/>
      <c r="AB9" s="58"/>
      <c r="AC9" s="180"/>
      <c r="AD9" s="180"/>
      <c r="AE9" s="176"/>
      <c r="AF9" s="176"/>
      <c r="AG9" s="176"/>
      <c r="AH9" s="176"/>
    </row>
    <row r="10" spans="1:35" s="91" customFormat="1" ht="14.45" customHeight="1" x14ac:dyDescent="0.2">
      <c r="A10" s="47">
        <v>445</v>
      </c>
      <c r="B10" s="48" t="str">
        <f>REPLACE(E10,1,3, )</f>
        <v xml:space="preserve"> 324</v>
      </c>
      <c r="C10" s="32" t="s">
        <v>895</v>
      </c>
      <c r="D10" s="49">
        <f>IF(E10=C10,0,1)</f>
        <v>0</v>
      </c>
      <c r="E10" s="50" t="s">
        <v>895</v>
      </c>
      <c r="F10" s="30" t="str">
        <f>REPLACE(E10,4,4, )</f>
        <v>SAR</v>
      </c>
      <c r="G10" s="30" t="s">
        <v>34</v>
      </c>
      <c r="H10" s="34" t="s">
        <v>878</v>
      </c>
      <c r="I10" s="30" t="s">
        <v>896</v>
      </c>
      <c r="J10" s="74">
        <v>27000</v>
      </c>
      <c r="K10" s="74">
        <f>J10-M10</f>
        <v>4600</v>
      </c>
      <c r="L10" s="64" t="s">
        <v>106</v>
      </c>
      <c r="M10" s="74">
        <f>J10-N10</f>
        <v>22400</v>
      </c>
      <c r="N10" s="74">
        <f>2000+1600+800+200</f>
        <v>4600</v>
      </c>
      <c r="O10" s="75">
        <f>N10+M10</f>
        <v>27000</v>
      </c>
      <c r="P10" s="47">
        <v>445</v>
      </c>
      <c r="Q10" s="76"/>
      <c r="R10" s="41">
        <f>O10-Q10</f>
        <v>27000</v>
      </c>
      <c r="S10" s="67"/>
      <c r="T10" s="47" t="s">
        <v>897</v>
      </c>
      <c r="U10" s="57">
        <v>7000</v>
      </c>
      <c r="V10" s="57">
        <f>U10+O10</f>
        <v>34000</v>
      </c>
      <c r="W10" s="57">
        <f>V10/0.7</f>
        <v>48571.428571428572</v>
      </c>
      <c r="X10" s="58">
        <f>W10/0.875</f>
        <v>55510.204081632655</v>
      </c>
      <c r="Y10" s="59">
        <f>(X10-W10)/X10</f>
        <v>0.12500000000000003</v>
      </c>
      <c r="Z10" s="58">
        <f>(ROUNDUP((X10/100),0))*100</f>
        <v>55600</v>
      </c>
      <c r="AA10" s="58"/>
      <c r="AB10" s="58"/>
      <c r="AC10" s="180"/>
      <c r="AD10" s="180"/>
      <c r="AE10" s="176"/>
      <c r="AF10" s="176"/>
      <c r="AG10" s="176"/>
      <c r="AH10" s="176"/>
      <c r="AI10" s="90"/>
    </row>
    <row r="11" spans="1:35" ht="14.45" customHeight="1" x14ac:dyDescent="0.2">
      <c r="A11" s="47">
        <v>297</v>
      </c>
      <c r="B11" s="48" t="str">
        <f>REPLACE(E11,1,3, )</f>
        <v xml:space="preserve"> 568</v>
      </c>
      <c r="C11" s="70" t="s">
        <v>627</v>
      </c>
      <c r="D11" s="49">
        <f>IF(E11=C11,0,1)</f>
        <v>0</v>
      </c>
      <c r="E11" s="50" t="s">
        <v>627</v>
      </c>
      <c r="F11" s="30" t="str">
        <f>REPLACE(E11,4,4, )</f>
        <v>SAT</v>
      </c>
      <c r="G11" s="30" t="s">
        <v>34</v>
      </c>
      <c r="H11" s="71" t="s">
        <v>612</v>
      </c>
      <c r="I11" s="30" t="s">
        <v>191</v>
      </c>
      <c r="J11" s="51">
        <v>70000</v>
      </c>
      <c r="K11" s="52">
        <f>J11-M11</f>
        <v>3950</v>
      </c>
      <c r="L11" s="49" t="s">
        <v>94</v>
      </c>
      <c r="M11" s="53">
        <f>J11-N11</f>
        <v>66050</v>
      </c>
      <c r="N11" s="54">
        <f>2000+200+350+600+800</f>
        <v>3950</v>
      </c>
      <c r="O11" s="55">
        <f>M11+N11</f>
        <v>70000</v>
      </c>
      <c r="P11" s="47">
        <v>297</v>
      </c>
      <c r="Q11" s="56">
        <v>70000</v>
      </c>
      <c r="R11" s="41">
        <f>O11-Q11</f>
        <v>0</v>
      </c>
      <c r="S11" s="67"/>
      <c r="T11" s="33" t="s">
        <v>98</v>
      </c>
      <c r="U11" s="57">
        <v>5000</v>
      </c>
      <c r="V11" s="57">
        <f>U11+O11</f>
        <v>75000</v>
      </c>
      <c r="W11" s="57">
        <f>V11/0.7</f>
        <v>107142.85714285714</v>
      </c>
      <c r="X11" s="58">
        <f>W11/0.875</f>
        <v>122448.97959183673</v>
      </c>
      <c r="Y11" s="59">
        <f>(X11-W11)/X11</f>
        <v>0.12499999999999996</v>
      </c>
      <c r="Z11" s="58">
        <f>(ROUNDUP((X11/100),0))*100</f>
        <v>122500</v>
      </c>
      <c r="AA11" s="58"/>
      <c r="AB11" s="58"/>
      <c r="AC11" s="180"/>
      <c r="AD11" s="180"/>
      <c r="AE11" s="176"/>
      <c r="AF11" s="176"/>
      <c r="AG11" s="176"/>
      <c r="AH11" s="176"/>
    </row>
    <row r="12" spans="1:35" ht="14.45" customHeight="1" x14ac:dyDescent="0.2">
      <c r="A12" s="47">
        <v>60</v>
      </c>
      <c r="B12" s="48" t="str">
        <f>REPLACE(E12,1,3, )</f>
        <v xml:space="preserve"> 634</v>
      </c>
      <c r="C12" s="70" t="s">
        <v>190</v>
      </c>
      <c r="D12" s="49">
        <f>IF(E12=C12,0,1)</f>
        <v>0</v>
      </c>
      <c r="E12" s="47" t="s">
        <v>190</v>
      </c>
      <c r="F12" s="30" t="str">
        <f>REPLACE(E12,4,4, )</f>
        <v>SAT</v>
      </c>
      <c r="G12" s="30" t="s">
        <v>91</v>
      </c>
      <c r="H12" s="34" t="s">
        <v>178</v>
      </c>
      <c r="I12" s="30" t="s">
        <v>191</v>
      </c>
      <c r="J12" s="51">
        <v>118000</v>
      </c>
      <c r="K12" s="52">
        <f>J12-M12</f>
        <v>6250</v>
      </c>
      <c r="L12" s="49" t="s">
        <v>94</v>
      </c>
      <c r="M12" s="53">
        <f>J12-N12</f>
        <v>111750</v>
      </c>
      <c r="N12" s="53">
        <f>2000+200+350+600+3100</f>
        <v>6250</v>
      </c>
      <c r="O12" s="55">
        <f>M12+N12</f>
        <v>118000</v>
      </c>
      <c r="P12" s="47">
        <v>60</v>
      </c>
      <c r="Q12" s="56">
        <v>118000</v>
      </c>
      <c r="R12" s="41">
        <f>O12-Q12</f>
        <v>0</v>
      </c>
      <c r="S12" s="67"/>
      <c r="T12" s="33" t="s">
        <v>185</v>
      </c>
      <c r="U12" s="57"/>
      <c r="V12" s="57">
        <f>U12+O12</f>
        <v>118000</v>
      </c>
      <c r="W12" s="57">
        <f>V12/0.7</f>
        <v>168571.42857142858</v>
      </c>
      <c r="X12" s="58">
        <f>W12/0.875</f>
        <v>192653.06122448979</v>
      </c>
      <c r="Y12" s="59">
        <f>(X12-W12)/X12</f>
        <v>0.12499999999999994</v>
      </c>
      <c r="Z12" s="58">
        <f>(ROUNDUP((X12/100),0))*100</f>
        <v>192700</v>
      </c>
      <c r="AA12" s="178"/>
      <c r="AB12" s="178"/>
      <c r="AC12" s="177"/>
      <c r="AD12" s="177"/>
      <c r="AE12" s="179"/>
      <c r="AF12" s="179"/>
      <c r="AG12" s="179"/>
      <c r="AH12" s="179"/>
    </row>
    <row r="13" spans="1:35" s="91" customFormat="1" ht="14.45" customHeight="1" x14ac:dyDescent="0.2">
      <c r="A13" s="47">
        <v>77</v>
      </c>
      <c r="B13" s="48" t="str">
        <f>REPLACE(E13,1,3, )</f>
        <v xml:space="preserve"> 881</v>
      </c>
      <c r="C13" s="70" t="s">
        <v>216</v>
      </c>
      <c r="D13" s="49">
        <f>IF(E13=C13,0,1)</f>
        <v>0</v>
      </c>
      <c r="E13" s="47" t="s">
        <v>216</v>
      </c>
      <c r="F13" s="30" t="str">
        <f>REPLACE(E13,4,4, )</f>
        <v>SAT</v>
      </c>
      <c r="G13" s="30" t="s">
        <v>91</v>
      </c>
      <c r="H13" s="34" t="s">
        <v>178</v>
      </c>
      <c r="I13" s="30" t="s">
        <v>191</v>
      </c>
      <c r="J13" s="51">
        <v>134000</v>
      </c>
      <c r="K13" s="52">
        <f>J13-M13</f>
        <v>6250</v>
      </c>
      <c r="L13" s="49" t="s">
        <v>94</v>
      </c>
      <c r="M13" s="53">
        <f>J13-N13</f>
        <v>127750</v>
      </c>
      <c r="N13" s="53">
        <f>2000+200+350+600+3100</f>
        <v>6250</v>
      </c>
      <c r="O13" s="55">
        <f>M13+N13</f>
        <v>134000</v>
      </c>
      <c r="P13" s="47">
        <v>77</v>
      </c>
      <c r="Q13" s="56">
        <v>134000</v>
      </c>
      <c r="R13" s="41">
        <f>O13-Q13</f>
        <v>0</v>
      </c>
      <c r="S13" s="67"/>
      <c r="T13" s="33" t="s">
        <v>185</v>
      </c>
      <c r="U13" s="57"/>
      <c r="V13" s="57">
        <f>U13+O13</f>
        <v>134000</v>
      </c>
      <c r="W13" s="57">
        <f>V13/0.7</f>
        <v>191428.57142857145</v>
      </c>
      <c r="X13" s="58">
        <f>W13/0.875</f>
        <v>218775.51020408166</v>
      </c>
      <c r="Y13" s="59">
        <f>(X13-W13)/X13</f>
        <v>0.125</v>
      </c>
      <c r="Z13" s="58">
        <f>(ROUNDUP((X13/100),0))*100</f>
        <v>218800</v>
      </c>
      <c r="AA13" s="178"/>
      <c r="AB13" s="178"/>
      <c r="AC13" s="177"/>
      <c r="AD13" s="177"/>
      <c r="AE13" s="179"/>
      <c r="AF13" s="179"/>
      <c r="AG13" s="179"/>
      <c r="AH13" s="179"/>
      <c r="AI13" s="90"/>
    </row>
    <row r="14" spans="1:35" ht="14.45" customHeight="1" x14ac:dyDescent="0.2">
      <c r="A14" s="47">
        <v>300</v>
      </c>
      <c r="B14" s="48" t="str">
        <f>REPLACE(E14,1,3, )</f>
        <v xml:space="preserve"> 732</v>
      </c>
      <c r="C14" s="70" t="s">
        <v>631</v>
      </c>
      <c r="D14" s="49">
        <f>IF(E14=C14,0,1)</f>
        <v>0</v>
      </c>
      <c r="E14" s="50" t="s">
        <v>631</v>
      </c>
      <c r="F14" s="30" t="str">
        <f>REPLACE(E14,4,4, )</f>
        <v>SAY</v>
      </c>
      <c r="G14" s="30" t="s">
        <v>34</v>
      </c>
      <c r="H14" s="71" t="s">
        <v>612</v>
      </c>
      <c r="I14" s="30" t="s">
        <v>632</v>
      </c>
      <c r="J14" s="72">
        <v>75000</v>
      </c>
      <c r="K14" s="72">
        <f>J14-M14</f>
        <v>3650</v>
      </c>
      <c r="L14" s="64" t="s">
        <v>106</v>
      </c>
      <c r="M14" s="74">
        <f>J14-N14</f>
        <v>71350</v>
      </c>
      <c r="N14" s="74">
        <f>2000+650+500+200+300</f>
        <v>3650</v>
      </c>
      <c r="O14" s="75">
        <f>M14+N14</f>
        <v>75000</v>
      </c>
      <c r="P14" s="47">
        <v>300</v>
      </c>
      <c r="Q14" s="76">
        <v>75000</v>
      </c>
      <c r="R14" s="41">
        <f>O14-Q14</f>
        <v>0</v>
      </c>
      <c r="S14" s="42" t="s">
        <v>88</v>
      </c>
      <c r="T14" s="47" t="s">
        <v>583</v>
      </c>
      <c r="U14" s="57">
        <v>4000</v>
      </c>
      <c r="V14" s="57">
        <f>U14+O14</f>
        <v>79000</v>
      </c>
      <c r="W14" s="57">
        <f>V14/0.7</f>
        <v>112857.14285714287</v>
      </c>
      <c r="X14" s="58">
        <f>W14/0.875</f>
        <v>128979.5918367347</v>
      </c>
      <c r="Y14" s="59">
        <f>(X14-W14)/X14</f>
        <v>0.12499999999999997</v>
      </c>
      <c r="Z14" s="58">
        <f>(ROUNDUP((X14/100),0))*100</f>
        <v>129000</v>
      </c>
      <c r="AA14" s="58"/>
      <c r="AB14" s="58"/>
      <c r="AC14" s="180"/>
      <c r="AD14" s="180"/>
      <c r="AE14" s="176"/>
      <c r="AF14" s="176"/>
      <c r="AG14" s="176"/>
      <c r="AH14" s="176"/>
    </row>
    <row r="15" spans="1:35" s="91" customFormat="1" ht="14.45" customHeight="1" x14ac:dyDescent="0.2">
      <c r="A15" s="47">
        <v>238</v>
      </c>
      <c r="B15" s="48" t="str">
        <f>REPLACE(E15,1,3, )</f>
        <v xml:space="preserve"> 695</v>
      </c>
      <c r="C15" s="70" t="s">
        <v>529</v>
      </c>
      <c r="D15" s="49">
        <f>IF(E15=C15,0,1)</f>
        <v>0</v>
      </c>
      <c r="E15" s="48" t="s">
        <v>529</v>
      </c>
      <c r="F15" s="30" t="str">
        <f>REPLACE(E15,4,4, )</f>
        <v>SBD</v>
      </c>
      <c r="G15" s="33" t="s">
        <v>34</v>
      </c>
      <c r="H15" s="34" t="s">
        <v>493</v>
      </c>
      <c r="I15" s="33" t="s">
        <v>374</v>
      </c>
      <c r="J15" s="51">
        <v>68000</v>
      </c>
      <c r="K15" s="52">
        <f>J15-M15</f>
        <v>7150</v>
      </c>
      <c r="L15" s="49" t="s">
        <v>94</v>
      </c>
      <c r="M15" s="53">
        <f>J15-N15</f>
        <v>60850</v>
      </c>
      <c r="N15" s="54">
        <f>2000+300+600+650+3600</f>
        <v>7150</v>
      </c>
      <c r="O15" s="55">
        <f>M15+N15</f>
        <v>68000</v>
      </c>
      <c r="P15" s="47">
        <v>238</v>
      </c>
      <c r="Q15" s="56">
        <v>68000</v>
      </c>
      <c r="R15" s="41">
        <f>O15-Q15</f>
        <v>0</v>
      </c>
      <c r="S15" s="67"/>
      <c r="T15" s="33" t="s">
        <v>396</v>
      </c>
      <c r="U15" s="57">
        <v>2000</v>
      </c>
      <c r="V15" s="57">
        <f>U15+O15</f>
        <v>70000</v>
      </c>
      <c r="W15" s="57">
        <f>V15/0.7</f>
        <v>100000</v>
      </c>
      <c r="X15" s="58">
        <f>W15/0.875</f>
        <v>114285.71428571429</v>
      </c>
      <c r="Y15" s="59">
        <f>(X15-W15)/X15</f>
        <v>0.12500000000000003</v>
      </c>
      <c r="Z15" s="58">
        <f>(ROUNDUP((X15/100),0))*100</f>
        <v>114300</v>
      </c>
      <c r="AA15" s="58"/>
      <c r="AB15" s="58"/>
      <c r="AC15" s="180"/>
      <c r="AD15" s="180"/>
      <c r="AE15" s="176"/>
      <c r="AF15" s="176"/>
      <c r="AG15" s="176"/>
      <c r="AH15" s="176"/>
      <c r="AI15" s="90"/>
    </row>
    <row r="16" spans="1:35" ht="14.45" customHeight="1" x14ac:dyDescent="0.2">
      <c r="A16" s="47">
        <v>444</v>
      </c>
      <c r="B16" s="48" t="str">
        <f>REPLACE(E16,1,3, )</f>
        <v xml:space="preserve"> 355</v>
      </c>
      <c r="C16" s="32" t="s">
        <v>892</v>
      </c>
      <c r="D16" s="49">
        <f>IF(E16=C16,0,1)</f>
        <v>0</v>
      </c>
      <c r="E16" s="47" t="s">
        <v>892</v>
      </c>
      <c r="F16" s="30" t="str">
        <f>REPLACE(E16,4,4, )</f>
        <v>SBE</v>
      </c>
      <c r="G16" s="30" t="s">
        <v>91</v>
      </c>
      <c r="H16" s="34" t="s">
        <v>878</v>
      </c>
      <c r="I16" s="30" t="s">
        <v>893</v>
      </c>
      <c r="J16" s="51">
        <v>34000</v>
      </c>
      <c r="K16" s="52">
        <f>J16-M16</f>
        <v>4450</v>
      </c>
      <c r="L16" s="49"/>
      <c r="M16" s="53">
        <f>J16-N16</f>
        <v>29550</v>
      </c>
      <c r="N16" s="53">
        <f>2000+200+600+1650</f>
        <v>4450</v>
      </c>
      <c r="O16" s="55">
        <f>M16+N16</f>
        <v>34000</v>
      </c>
      <c r="P16" s="47">
        <v>444</v>
      </c>
      <c r="Q16" s="56">
        <v>34000</v>
      </c>
      <c r="R16" s="41">
        <f>O16-Q16</f>
        <v>0</v>
      </c>
      <c r="S16" s="67"/>
      <c r="T16" s="33" t="s">
        <v>894</v>
      </c>
      <c r="U16" s="57"/>
      <c r="V16" s="57">
        <f>U16+O16</f>
        <v>34000</v>
      </c>
      <c r="W16" s="57">
        <f>V16/0.7</f>
        <v>48571.428571428572</v>
      </c>
      <c r="X16" s="58">
        <f>W16/0.875</f>
        <v>55510.204081632655</v>
      </c>
      <c r="Y16" s="59">
        <f>(X16-W16)/X16</f>
        <v>0.12500000000000003</v>
      </c>
      <c r="Z16" s="58">
        <f>(ROUNDUP((X16/100),0))*100</f>
        <v>55600</v>
      </c>
      <c r="AA16" s="178"/>
      <c r="AB16" s="178"/>
      <c r="AC16" s="177"/>
      <c r="AD16" s="177"/>
      <c r="AE16" s="179"/>
      <c r="AF16" s="179"/>
      <c r="AG16" s="179"/>
      <c r="AH16" s="179"/>
    </row>
    <row r="17" spans="1:35" ht="14.45" customHeight="1" x14ac:dyDescent="0.2">
      <c r="A17" s="47">
        <v>239</v>
      </c>
      <c r="B17" s="48" t="str">
        <f>REPLACE(E17,1,3, )</f>
        <v xml:space="preserve"> 016</v>
      </c>
      <c r="C17" s="70" t="s">
        <v>530</v>
      </c>
      <c r="D17" s="49">
        <f>IF(E17=C17,0,1)</f>
        <v>0</v>
      </c>
      <c r="E17" s="48" t="s">
        <v>530</v>
      </c>
      <c r="F17" s="30" t="str">
        <f>REPLACE(E17,4,4, )</f>
        <v>SBL</v>
      </c>
      <c r="G17" s="33" t="s">
        <v>34</v>
      </c>
      <c r="H17" s="34" t="s">
        <v>493</v>
      </c>
      <c r="I17" s="33" t="s">
        <v>374</v>
      </c>
      <c r="J17" s="51">
        <v>83800</v>
      </c>
      <c r="K17" s="52">
        <f>J17-M17</f>
        <v>6500</v>
      </c>
      <c r="L17" s="49" t="s">
        <v>94</v>
      </c>
      <c r="M17" s="53">
        <f>J17-N17</f>
        <v>77300</v>
      </c>
      <c r="N17" s="54">
        <f>2000+300+600+3600</f>
        <v>6500</v>
      </c>
      <c r="O17" s="55">
        <f>M17+N17</f>
        <v>83800</v>
      </c>
      <c r="P17" s="47">
        <v>239</v>
      </c>
      <c r="Q17" s="56">
        <v>83800</v>
      </c>
      <c r="R17" s="41">
        <f>O17-Q17</f>
        <v>0</v>
      </c>
      <c r="S17" s="67"/>
      <c r="T17" s="33" t="s">
        <v>531</v>
      </c>
      <c r="U17" s="57">
        <v>2000</v>
      </c>
      <c r="V17" s="57">
        <f>U17+O17</f>
        <v>85800</v>
      </c>
      <c r="W17" s="57">
        <f>V17/0.7</f>
        <v>122571.42857142858</v>
      </c>
      <c r="X17" s="58">
        <f>W17/0.875</f>
        <v>140081.63265306124</v>
      </c>
      <c r="Y17" s="59">
        <f>(X17-W17)/X17</f>
        <v>0.12500000000000006</v>
      </c>
      <c r="Z17" s="58">
        <f>(ROUNDUP((X17/100),0))*100</f>
        <v>140100</v>
      </c>
      <c r="AA17" s="58"/>
      <c r="AB17" s="58"/>
      <c r="AC17" s="180"/>
      <c r="AD17" s="180"/>
      <c r="AE17" s="176"/>
      <c r="AF17" s="176"/>
      <c r="AG17" s="176"/>
      <c r="AH17" s="176"/>
      <c r="AI17" s="85"/>
    </row>
    <row r="18" spans="1:35" ht="14.45" customHeight="1" x14ac:dyDescent="0.2">
      <c r="A18" s="47">
        <v>354</v>
      </c>
      <c r="B18" s="48" t="str">
        <f>REPLACE(E18,1,3, )</f>
        <v xml:space="preserve"> 946</v>
      </c>
      <c r="C18" s="70" t="s">
        <v>728</v>
      </c>
      <c r="D18" s="49">
        <f>IF(E18=C18,0,1)</f>
        <v>0</v>
      </c>
      <c r="E18" s="50" t="s">
        <v>728</v>
      </c>
      <c r="F18" s="30" t="str">
        <f>REPLACE(E18,4,4, )</f>
        <v>SBM</v>
      </c>
      <c r="G18" s="30" t="s">
        <v>34</v>
      </c>
      <c r="H18" s="71" t="s">
        <v>340</v>
      </c>
      <c r="I18" s="30" t="s">
        <v>729</v>
      </c>
      <c r="J18" s="87">
        <v>97500</v>
      </c>
      <c r="K18" s="52">
        <f>J18-M18</f>
        <v>6950</v>
      </c>
      <c r="L18" s="64" t="s">
        <v>106</v>
      </c>
      <c r="M18" s="53">
        <f>J18-N18</f>
        <v>90550</v>
      </c>
      <c r="N18" s="54">
        <v>6950</v>
      </c>
      <c r="O18" s="55">
        <f>M18+N18</f>
        <v>97500</v>
      </c>
      <c r="P18" s="47">
        <v>354</v>
      </c>
      <c r="Q18" s="41">
        <v>97500</v>
      </c>
      <c r="R18" s="41">
        <f>O18-Q18</f>
        <v>0</v>
      </c>
      <c r="S18" s="42" t="s">
        <v>88</v>
      </c>
      <c r="T18" s="33" t="s">
        <v>730</v>
      </c>
      <c r="U18" s="57">
        <v>2000</v>
      </c>
      <c r="V18" s="57">
        <f>U18+O18</f>
        <v>99500</v>
      </c>
      <c r="W18" s="57">
        <f>V18/0.7</f>
        <v>142142.85714285716</v>
      </c>
      <c r="X18" s="58">
        <f>W18/0.875</f>
        <v>162448.97959183675</v>
      </c>
      <c r="Y18" s="59">
        <f>(X18-W18)/X18</f>
        <v>0.12499999999999996</v>
      </c>
      <c r="Z18" s="58">
        <f>(ROUNDUP((X18/100),0))*100</f>
        <v>162500</v>
      </c>
      <c r="AA18" s="58"/>
      <c r="AB18" s="58"/>
      <c r="AC18" s="180"/>
      <c r="AD18" s="180"/>
      <c r="AE18" s="176"/>
      <c r="AF18" s="176"/>
      <c r="AG18" s="176"/>
      <c r="AH18" s="176"/>
      <c r="AI18" s="85"/>
    </row>
    <row r="19" spans="1:35" ht="14.45" customHeight="1" x14ac:dyDescent="0.2">
      <c r="A19" s="47">
        <v>416</v>
      </c>
      <c r="B19" s="48" t="str">
        <f>REPLACE(E19,1,3, )</f>
        <v xml:space="preserve"> 256</v>
      </c>
      <c r="C19" s="70" t="s">
        <v>838</v>
      </c>
      <c r="D19" s="49">
        <f>IF(E19=C19,0,1)</f>
        <v>0</v>
      </c>
      <c r="E19" s="47" t="s">
        <v>838</v>
      </c>
      <c r="F19" s="30" t="str">
        <f>REPLACE(E19,4,4, )</f>
        <v>SBR</v>
      </c>
      <c r="G19" s="30" t="s">
        <v>91</v>
      </c>
      <c r="H19" s="34" t="s">
        <v>767</v>
      </c>
      <c r="I19" s="30" t="s">
        <v>768</v>
      </c>
      <c r="J19" s="51">
        <f>M19</f>
        <v>74000</v>
      </c>
      <c r="K19" s="52">
        <f>J19-M19</f>
        <v>0</v>
      </c>
      <c r="L19" s="60" t="s">
        <v>97</v>
      </c>
      <c r="M19" s="62">
        <v>74000</v>
      </c>
      <c r="N19" s="53">
        <f>2000+200+250+600+1000+3600</f>
        <v>7650</v>
      </c>
      <c r="O19" s="55">
        <f>M19+N19</f>
        <v>81650</v>
      </c>
      <c r="P19" s="47">
        <v>416</v>
      </c>
      <c r="Q19" s="56">
        <v>82100</v>
      </c>
      <c r="R19" s="41">
        <f>O19-Q19</f>
        <v>-450</v>
      </c>
      <c r="S19" s="42"/>
      <c r="T19" s="33" t="s">
        <v>769</v>
      </c>
      <c r="U19" s="57"/>
      <c r="V19" s="57">
        <f>U19+O19</f>
        <v>81650</v>
      </c>
      <c r="W19" s="57">
        <f>V19/0.7</f>
        <v>116642.85714285714</v>
      </c>
      <c r="X19" s="58">
        <f>W19/0.875</f>
        <v>133306.12244897959</v>
      </c>
      <c r="Y19" s="59">
        <f>(X19-W19)/X19</f>
        <v>0.12499999999999994</v>
      </c>
      <c r="Z19" s="58">
        <f>(ROUNDUP((X19/100),0))*100</f>
        <v>133400</v>
      </c>
      <c r="AA19" s="178"/>
      <c r="AB19" s="178"/>
      <c r="AC19" s="177"/>
      <c r="AD19" s="177"/>
      <c r="AE19" s="179"/>
      <c r="AF19" s="179"/>
      <c r="AG19" s="179"/>
      <c r="AH19" s="179"/>
      <c r="AI19" s="85"/>
    </row>
    <row r="20" spans="1:35" s="91" customFormat="1" ht="14.45" customHeight="1" x14ac:dyDescent="0.2">
      <c r="A20" s="47">
        <v>374</v>
      </c>
      <c r="B20" s="48" t="str">
        <f>REPLACE(E20,1,3, )</f>
        <v xml:space="preserve"> 443</v>
      </c>
      <c r="C20" s="70" t="s">
        <v>766</v>
      </c>
      <c r="D20" s="49">
        <f>IF(E20=C20,0,1)</f>
        <v>0</v>
      </c>
      <c r="E20" s="47" t="s">
        <v>766</v>
      </c>
      <c r="F20" s="30" t="str">
        <f>REPLACE(E20,4,4, )</f>
        <v>SBR</v>
      </c>
      <c r="G20" s="30" t="s">
        <v>91</v>
      </c>
      <c r="H20" s="34" t="s">
        <v>767</v>
      </c>
      <c r="I20" s="30" t="s">
        <v>768</v>
      </c>
      <c r="J20" s="51">
        <f>M20</f>
        <v>70000</v>
      </c>
      <c r="K20" s="52">
        <f>J20-M20</f>
        <v>0</v>
      </c>
      <c r="L20" s="60" t="s">
        <v>97</v>
      </c>
      <c r="M20" s="62">
        <v>70000</v>
      </c>
      <c r="N20" s="53">
        <f>2000+200+250+600+1000+3600</f>
        <v>7650</v>
      </c>
      <c r="O20" s="55">
        <f>M20+N20</f>
        <v>77650</v>
      </c>
      <c r="P20" s="47">
        <v>374</v>
      </c>
      <c r="Q20" s="56">
        <v>78100</v>
      </c>
      <c r="R20" s="41">
        <f>O20-Q20</f>
        <v>-450</v>
      </c>
      <c r="S20" s="42"/>
      <c r="T20" s="33" t="s">
        <v>769</v>
      </c>
      <c r="U20" s="57"/>
      <c r="V20" s="57">
        <f>U20+O20</f>
        <v>77650</v>
      </c>
      <c r="W20" s="57">
        <f>V20/0.7</f>
        <v>110928.57142857143</v>
      </c>
      <c r="X20" s="58">
        <f>W20/0.875</f>
        <v>126775.51020408164</v>
      </c>
      <c r="Y20" s="59">
        <f>(X20-W20)/X20</f>
        <v>0.12500000000000003</v>
      </c>
      <c r="Z20" s="58">
        <f>(ROUNDUP((X20/100),0))*100</f>
        <v>126800</v>
      </c>
      <c r="AA20" s="178"/>
      <c r="AB20" s="178"/>
      <c r="AC20" s="177"/>
      <c r="AD20" s="177"/>
      <c r="AE20" s="179"/>
      <c r="AF20" s="179"/>
      <c r="AG20" s="179"/>
      <c r="AH20" s="179"/>
    </row>
    <row r="21" spans="1:35" s="91" customFormat="1" ht="14.45" customHeight="1" x14ac:dyDescent="0.2">
      <c r="A21" s="47">
        <v>375</v>
      </c>
      <c r="B21" s="48" t="str">
        <f>REPLACE(E21,1,3, )</f>
        <v xml:space="preserve"> 561</v>
      </c>
      <c r="C21" s="70" t="s">
        <v>770</v>
      </c>
      <c r="D21" s="49">
        <f>IF(E21=C21,0,1)</f>
        <v>0</v>
      </c>
      <c r="E21" s="50" t="s">
        <v>770</v>
      </c>
      <c r="F21" s="30" t="str">
        <f>REPLACE(E21,4,4, )</f>
        <v>SBR</v>
      </c>
      <c r="G21" s="30" t="s">
        <v>34</v>
      </c>
      <c r="H21" s="34" t="s">
        <v>767</v>
      </c>
      <c r="I21" s="30" t="s">
        <v>768</v>
      </c>
      <c r="J21" s="51">
        <f>M21</f>
        <v>81000</v>
      </c>
      <c r="K21" s="52">
        <f>J21-M21</f>
        <v>0</v>
      </c>
      <c r="L21" s="60" t="s">
        <v>97</v>
      </c>
      <c r="M21" s="61">
        <v>81000</v>
      </c>
      <c r="N21" s="54">
        <f>2000+200+250+800+3450</f>
        <v>6700</v>
      </c>
      <c r="O21" s="55">
        <f>M21+N21</f>
        <v>87700</v>
      </c>
      <c r="P21" s="47">
        <v>375</v>
      </c>
      <c r="Q21" s="56">
        <v>87700</v>
      </c>
      <c r="R21" s="41">
        <f>O21-Q21</f>
        <v>0</v>
      </c>
      <c r="S21" s="42" t="s">
        <v>771</v>
      </c>
      <c r="T21" s="33" t="s">
        <v>772</v>
      </c>
      <c r="U21" s="57">
        <v>2000</v>
      </c>
      <c r="V21" s="57">
        <f>U21+O21</f>
        <v>89700</v>
      </c>
      <c r="W21" s="57">
        <f>V21/0.7</f>
        <v>128142.85714285714</v>
      </c>
      <c r="X21" s="58">
        <f>W21/0.875</f>
        <v>146448.97959183675</v>
      </c>
      <c r="Y21" s="59">
        <f>(X21-W21)/X21</f>
        <v>0.12500000000000006</v>
      </c>
      <c r="Z21" s="58">
        <f>(ROUNDUP((X21/100),0))*100</f>
        <v>146500</v>
      </c>
      <c r="AA21" s="58"/>
      <c r="AB21" s="58"/>
      <c r="AC21" s="180"/>
      <c r="AD21" s="180"/>
      <c r="AE21" s="176"/>
      <c r="AF21" s="176"/>
      <c r="AG21" s="176"/>
      <c r="AH21" s="176"/>
    </row>
    <row r="22" spans="1:35" s="91" customFormat="1" ht="14.45" customHeight="1" x14ac:dyDescent="0.2">
      <c r="A22" s="47">
        <v>376</v>
      </c>
      <c r="B22" s="48" t="str">
        <f>REPLACE(E22,1,3, )</f>
        <v xml:space="preserve"> 957</v>
      </c>
      <c r="C22" s="70" t="s">
        <v>773</v>
      </c>
      <c r="D22" s="49">
        <f>IF(E22=C22,0,1)</f>
        <v>0</v>
      </c>
      <c r="E22" s="47" t="s">
        <v>773</v>
      </c>
      <c r="F22" s="30" t="str">
        <f>REPLACE(E22,4,4, )</f>
        <v>SBR</v>
      </c>
      <c r="G22" s="30" t="s">
        <v>91</v>
      </c>
      <c r="H22" s="34" t="s">
        <v>767</v>
      </c>
      <c r="I22" s="30" t="s">
        <v>768</v>
      </c>
      <c r="J22" s="51">
        <f>M22</f>
        <v>72000</v>
      </c>
      <c r="K22" s="52">
        <f>J22-M22</f>
        <v>0</v>
      </c>
      <c r="L22" s="60" t="s">
        <v>97</v>
      </c>
      <c r="M22" s="62">
        <v>72000</v>
      </c>
      <c r="N22" s="53">
        <f>2000+200+250+600+1000+3600</f>
        <v>7650</v>
      </c>
      <c r="O22" s="55">
        <f>M22+N22</f>
        <v>79650</v>
      </c>
      <c r="P22" s="47">
        <v>376</v>
      </c>
      <c r="Q22" s="56">
        <v>79650</v>
      </c>
      <c r="R22" s="41">
        <f>O22-Q22</f>
        <v>0</v>
      </c>
      <c r="S22" s="42" t="s">
        <v>771</v>
      </c>
      <c r="T22" s="33" t="s">
        <v>769</v>
      </c>
      <c r="U22" s="57"/>
      <c r="V22" s="57">
        <f>U22+O22</f>
        <v>79650</v>
      </c>
      <c r="W22" s="57">
        <f>V22/0.7</f>
        <v>113785.71428571429</v>
      </c>
      <c r="X22" s="58">
        <f>W22/0.875</f>
        <v>130040.81632653062</v>
      </c>
      <c r="Y22" s="59">
        <f>(X22-W22)/X22</f>
        <v>0.12500000000000003</v>
      </c>
      <c r="Z22" s="58">
        <f>(ROUNDUP((X22/100),0))*100</f>
        <v>130100</v>
      </c>
      <c r="AA22" s="178"/>
      <c r="AB22" s="178"/>
      <c r="AC22" s="177"/>
      <c r="AD22" s="177"/>
      <c r="AE22" s="179"/>
      <c r="AF22" s="179"/>
      <c r="AG22" s="179"/>
      <c r="AH22" s="179"/>
    </row>
    <row r="23" spans="1:35" ht="14.45" customHeight="1" x14ac:dyDescent="0.2">
      <c r="A23" s="47">
        <v>313</v>
      </c>
      <c r="B23" s="48" t="str">
        <f>REPLACE(E23,1,3, )</f>
        <v xml:space="preserve"> 374</v>
      </c>
      <c r="C23" s="70" t="s">
        <v>655</v>
      </c>
      <c r="D23" s="49">
        <f>IF(E23=C23,0,1)</f>
        <v>0</v>
      </c>
      <c r="E23" s="47" t="s">
        <v>655</v>
      </c>
      <c r="F23" s="30" t="str">
        <f>REPLACE(E23,4,4, )</f>
        <v>SBY</v>
      </c>
      <c r="G23" s="30" t="s">
        <v>91</v>
      </c>
      <c r="H23" s="71" t="s">
        <v>644</v>
      </c>
      <c r="I23" s="30" t="s">
        <v>656</v>
      </c>
      <c r="J23" s="51"/>
      <c r="K23" s="52">
        <f>J23-M23</f>
        <v>0</v>
      </c>
      <c r="L23" s="49"/>
      <c r="M23" s="53">
        <f>J23-N23</f>
        <v>0</v>
      </c>
      <c r="N23" s="53"/>
      <c r="O23" s="55">
        <f>M23+N23</f>
        <v>0</v>
      </c>
      <c r="P23" s="47">
        <v>313</v>
      </c>
      <c r="Q23" s="41"/>
      <c r="R23" s="41"/>
      <c r="S23" s="67"/>
      <c r="T23" s="33"/>
      <c r="U23" s="57"/>
      <c r="V23" s="57">
        <f>U23+O23</f>
        <v>0</v>
      </c>
      <c r="W23" s="57">
        <f>V23/0.7</f>
        <v>0</v>
      </c>
      <c r="X23" s="58">
        <f>W23/0.875</f>
        <v>0</v>
      </c>
      <c r="Y23" s="59" t="e">
        <f>(X23-W23)/X23</f>
        <v>#DIV/0!</v>
      </c>
      <c r="Z23" s="58">
        <f>(ROUNDUP((X23/100),0))*100</f>
        <v>0</v>
      </c>
      <c r="AA23" s="178"/>
      <c r="AB23" s="178"/>
      <c r="AC23" s="177"/>
      <c r="AD23" s="177"/>
      <c r="AE23" s="179"/>
      <c r="AF23" s="179"/>
      <c r="AG23" s="179"/>
      <c r="AH23" s="179"/>
      <c r="AI23" s="85"/>
    </row>
    <row r="24" spans="1:35" s="91" customFormat="1" ht="14.45" customHeight="1" x14ac:dyDescent="0.2">
      <c r="A24" s="47">
        <v>456</v>
      </c>
      <c r="B24" s="48" t="str">
        <f>REPLACE(E24,1,3, )</f>
        <v xml:space="preserve"> 498</v>
      </c>
      <c r="C24" s="32" t="s">
        <v>915</v>
      </c>
      <c r="D24" s="49">
        <f>IF(E24=C24,0,1)</f>
        <v>0</v>
      </c>
      <c r="E24" s="49" t="s">
        <v>915</v>
      </c>
      <c r="F24" s="30" t="str">
        <f>REPLACE(E24,4,4, )</f>
        <v>SCC</v>
      </c>
      <c r="G24" s="33" t="s">
        <v>91</v>
      </c>
      <c r="H24" s="71" t="s">
        <v>910</v>
      </c>
      <c r="I24" s="33" t="s">
        <v>916</v>
      </c>
      <c r="J24" s="51">
        <v>50000</v>
      </c>
      <c r="K24" s="52">
        <f>J24-M24</f>
        <v>6650</v>
      </c>
      <c r="L24" s="49" t="s">
        <v>94</v>
      </c>
      <c r="M24" s="53">
        <f>J24-N24</f>
        <v>43350</v>
      </c>
      <c r="N24" s="53">
        <f>2000+200+600+250+3600</f>
        <v>6650</v>
      </c>
      <c r="O24" s="55">
        <f>M24+N24</f>
        <v>50000</v>
      </c>
      <c r="P24" s="47">
        <v>456</v>
      </c>
      <c r="Q24" s="56">
        <v>50000</v>
      </c>
      <c r="R24" s="41">
        <f>O24-Q24</f>
        <v>0</v>
      </c>
      <c r="S24" s="67"/>
      <c r="T24" s="33" t="s">
        <v>917</v>
      </c>
      <c r="U24" s="57">
        <v>5000</v>
      </c>
      <c r="V24" s="57">
        <f>U24+O24</f>
        <v>55000</v>
      </c>
      <c r="W24" s="57">
        <f>V24/0.7</f>
        <v>78571.42857142858</v>
      </c>
      <c r="X24" s="58">
        <f>W24/0.875</f>
        <v>89795.918367346952</v>
      </c>
      <c r="Y24" s="59">
        <f>(X24-W24)/X24</f>
        <v>0.12500000000000003</v>
      </c>
      <c r="Z24" s="58">
        <f>(ROUNDUP((X24/100),0))*100</f>
        <v>89800</v>
      </c>
      <c r="AA24" s="178" t="s">
        <v>1780</v>
      </c>
      <c r="AB24" s="224">
        <v>43427</v>
      </c>
      <c r="AC24" s="177"/>
      <c r="AD24" s="177"/>
      <c r="AE24" s="179"/>
      <c r="AF24" s="179"/>
      <c r="AG24" s="179"/>
      <c r="AH24" s="179"/>
    </row>
    <row r="25" spans="1:35" s="91" customFormat="1" ht="14.45" customHeight="1" x14ac:dyDescent="0.2">
      <c r="A25" s="47">
        <v>458</v>
      </c>
      <c r="B25" s="48" t="str">
        <f>REPLACE(E25,1,3, )</f>
        <v xml:space="preserve"> 540</v>
      </c>
      <c r="C25" s="32" t="s">
        <v>921</v>
      </c>
      <c r="D25" s="49">
        <f>IF(E25=C25,0,1)</f>
        <v>0</v>
      </c>
      <c r="E25" s="49" t="s">
        <v>921</v>
      </c>
      <c r="F25" s="30" t="str">
        <f>REPLACE(E25,4,4, )</f>
        <v>SCC</v>
      </c>
      <c r="G25" s="33" t="s">
        <v>91</v>
      </c>
      <c r="H25" s="71" t="s">
        <v>910</v>
      </c>
      <c r="I25" s="33" t="s">
        <v>916</v>
      </c>
      <c r="J25" s="51">
        <v>50000</v>
      </c>
      <c r="K25" s="52">
        <f>J25-M25</f>
        <v>6650</v>
      </c>
      <c r="L25" s="49" t="s">
        <v>94</v>
      </c>
      <c r="M25" s="53">
        <f>J25-N25</f>
        <v>43350</v>
      </c>
      <c r="N25" s="53">
        <f>2000+200+600+250+3600</f>
        <v>6650</v>
      </c>
      <c r="O25" s="55">
        <f>M25+N25</f>
        <v>50000</v>
      </c>
      <c r="P25" s="47">
        <v>458</v>
      </c>
      <c r="Q25" s="56">
        <v>50000</v>
      </c>
      <c r="R25" s="41">
        <f>O25-Q25</f>
        <v>0</v>
      </c>
      <c r="S25" s="67"/>
      <c r="T25" s="33" t="s">
        <v>917</v>
      </c>
      <c r="U25" s="57">
        <v>5000</v>
      </c>
      <c r="V25" s="57">
        <f>U25+O25</f>
        <v>55000</v>
      </c>
      <c r="W25" s="57">
        <f>V25/0.7</f>
        <v>78571.42857142858</v>
      </c>
      <c r="X25" s="58">
        <f>W25/0.875</f>
        <v>89795.918367346952</v>
      </c>
      <c r="Y25" s="59">
        <f>(X25-W25)/X25</f>
        <v>0.12500000000000003</v>
      </c>
      <c r="Z25" s="58">
        <f>(ROUNDUP((X25/100),0))*100</f>
        <v>89800</v>
      </c>
      <c r="AA25" s="178" t="s">
        <v>1780</v>
      </c>
      <c r="AB25" s="224">
        <v>43427</v>
      </c>
      <c r="AC25" s="177"/>
      <c r="AD25" s="177"/>
      <c r="AE25" s="179"/>
      <c r="AF25" s="179"/>
      <c r="AG25" s="179"/>
      <c r="AH25" s="179"/>
    </row>
    <row r="26" spans="1:35" ht="14.45" customHeight="1" x14ac:dyDescent="0.2">
      <c r="A26" s="47">
        <v>281</v>
      </c>
      <c r="B26" s="48" t="str">
        <f>REPLACE(E26,1,3, )</f>
        <v xml:space="preserve"> 991</v>
      </c>
      <c r="C26" s="70" t="s">
        <v>604</v>
      </c>
      <c r="D26" s="49">
        <f>IF(E26=C26,0,1)</f>
        <v>0</v>
      </c>
      <c r="E26" s="50" t="s">
        <v>604</v>
      </c>
      <c r="F26" s="30" t="str">
        <f>REPLACE(E26,4,4, )</f>
        <v>SCL</v>
      </c>
      <c r="G26" s="30" t="s">
        <v>34</v>
      </c>
      <c r="H26" s="34" t="s">
        <v>585</v>
      </c>
      <c r="I26" s="30" t="s">
        <v>605</v>
      </c>
      <c r="J26" s="72">
        <v>54000</v>
      </c>
      <c r="K26" s="72">
        <f>J26-M26</f>
        <v>0</v>
      </c>
      <c r="L26" s="88" t="s">
        <v>87</v>
      </c>
      <c r="M26" s="73">
        <f>J26</f>
        <v>54000</v>
      </c>
      <c r="N26" s="74">
        <f>2000+650+500+200+300</f>
        <v>3650</v>
      </c>
      <c r="O26" s="75">
        <f>M26+N26</f>
        <v>57650</v>
      </c>
      <c r="P26" s="47">
        <v>281</v>
      </c>
      <c r="Q26" s="76">
        <v>57650</v>
      </c>
      <c r="R26" s="41">
        <f>O26-Q26</f>
        <v>0</v>
      </c>
      <c r="S26" s="42" t="s">
        <v>88</v>
      </c>
      <c r="T26" s="47" t="s">
        <v>583</v>
      </c>
      <c r="U26" s="57">
        <v>3000</v>
      </c>
      <c r="V26" s="57">
        <f>U26+O26</f>
        <v>60650</v>
      </c>
      <c r="W26" s="57">
        <f>V26/0.7</f>
        <v>86642.857142857145</v>
      </c>
      <c r="X26" s="58">
        <f>W26/0.875</f>
        <v>99020.408163265311</v>
      </c>
      <c r="Y26" s="59">
        <f>(X26-W26)/X26</f>
        <v>0.12500000000000003</v>
      </c>
      <c r="Z26" s="58">
        <f>(ROUNDUP((X26/100),0))*100</f>
        <v>99100</v>
      </c>
      <c r="AA26" s="58"/>
      <c r="AB26" s="58"/>
      <c r="AC26" s="180"/>
      <c r="AD26" s="180"/>
      <c r="AE26" s="176"/>
      <c r="AF26" s="176"/>
      <c r="AG26" s="176"/>
      <c r="AH26" s="176"/>
      <c r="AI26" s="85"/>
    </row>
    <row r="27" spans="1:35" ht="14.45" customHeight="1" x14ac:dyDescent="0.2">
      <c r="A27" s="47">
        <v>407</v>
      </c>
      <c r="B27" s="48" t="str">
        <f>REPLACE(E27,1,3, )</f>
        <v xml:space="preserve"> 171</v>
      </c>
      <c r="C27" s="70" t="s">
        <v>825</v>
      </c>
      <c r="D27" s="49">
        <f>IF(E27=C27,0,1)</f>
        <v>0</v>
      </c>
      <c r="E27" s="50" t="s">
        <v>825</v>
      </c>
      <c r="F27" s="30" t="str">
        <f>REPLACE(E27,4,4, )</f>
        <v>SCP</v>
      </c>
      <c r="G27" s="30" t="s">
        <v>34</v>
      </c>
      <c r="H27" s="34" t="s">
        <v>767</v>
      </c>
      <c r="I27" s="30" t="s">
        <v>826</v>
      </c>
      <c r="J27" s="51">
        <f>M27</f>
        <v>74000</v>
      </c>
      <c r="K27" s="52">
        <f>J27-M27</f>
        <v>0</v>
      </c>
      <c r="L27" s="60" t="s">
        <v>97</v>
      </c>
      <c r="M27" s="61">
        <v>74000</v>
      </c>
      <c r="N27" s="54">
        <f>2000+600+200+250+700+3600</f>
        <v>7350</v>
      </c>
      <c r="O27" s="55">
        <f>M27+N27</f>
        <v>81350</v>
      </c>
      <c r="P27" s="47">
        <v>407</v>
      </c>
      <c r="Q27" s="56">
        <v>81350</v>
      </c>
      <c r="R27" s="41">
        <f>O27-Q27</f>
        <v>0</v>
      </c>
      <c r="S27" s="67"/>
      <c r="T27" s="33" t="s">
        <v>827</v>
      </c>
      <c r="U27" s="57">
        <v>3000</v>
      </c>
      <c r="V27" s="57">
        <f>U27+O27</f>
        <v>84350</v>
      </c>
      <c r="W27" s="57">
        <f>V27/0.7</f>
        <v>120500.00000000001</v>
      </c>
      <c r="X27" s="58">
        <f>W27/0.875</f>
        <v>137714.28571428574</v>
      </c>
      <c r="Y27" s="59">
        <f>(X27-W27)/X27</f>
        <v>0.12500000000000006</v>
      </c>
      <c r="Z27" s="58">
        <f>(ROUNDUP((X27/100),0))*100</f>
        <v>137800</v>
      </c>
      <c r="AA27" s="58"/>
      <c r="AB27" s="58"/>
      <c r="AC27" s="180"/>
      <c r="AD27" s="180"/>
      <c r="AE27" s="176"/>
      <c r="AF27" s="176"/>
      <c r="AG27" s="176"/>
      <c r="AH27" s="176"/>
      <c r="AI27" s="85"/>
    </row>
    <row r="28" spans="1:35" ht="14.45" customHeight="1" x14ac:dyDescent="0.2">
      <c r="A28" s="47">
        <v>205</v>
      </c>
      <c r="B28" s="48" t="str">
        <f>REPLACE(E28,1,3, )</f>
        <v xml:space="preserve"> 231</v>
      </c>
      <c r="C28" s="70" t="s">
        <v>467</v>
      </c>
      <c r="D28" s="49">
        <f>IF(E28=C28,0,1)</f>
        <v>0</v>
      </c>
      <c r="E28" s="30" t="s">
        <v>467</v>
      </c>
      <c r="F28" s="30" t="str">
        <f>REPLACE(E28,4,4, )</f>
        <v>SCP</v>
      </c>
      <c r="G28" s="30" t="s">
        <v>91</v>
      </c>
      <c r="H28" s="71" t="s">
        <v>441</v>
      </c>
      <c r="I28" s="30" t="s">
        <v>468</v>
      </c>
      <c r="J28" s="51">
        <f>M28</f>
        <v>50000</v>
      </c>
      <c r="K28" s="52">
        <f>J28-M28</f>
        <v>0</v>
      </c>
      <c r="L28" s="60" t="s">
        <v>97</v>
      </c>
      <c r="M28" s="62">
        <v>50000</v>
      </c>
      <c r="N28" s="53">
        <f>2000+200+350+300+800+600</f>
        <v>4250</v>
      </c>
      <c r="O28" s="55">
        <f>M28+N28</f>
        <v>54250</v>
      </c>
      <c r="P28" s="47">
        <v>205</v>
      </c>
      <c r="Q28" s="56">
        <v>54800</v>
      </c>
      <c r="R28" s="41">
        <f>O28-Q28</f>
        <v>-550</v>
      </c>
      <c r="S28" s="67"/>
      <c r="T28" s="33" t="s">
        <v>469</v>
      </c>
      <c r="U28" s="57"/>
      <c r="V28" s="57">
        <f>U28+O28</f>
        <v>54250</v>
      </c>
      <c r="W28" s="57">
        <f>V28/0.7</f>
        <v>77500</v>
      </c>
      <c r="X28" s="58">
        <f>W28/0.875</f>
        <v>88571.428571428565</v>
      </c>
      <c r="Y28" s="59">
        <f>(X28-W28)/X28</f>
        <v>0.12499999999999994</v>
      </c>
      <c r="Z28" s="58">
        <f>(ROUNDUP((X28/100),0))*100</f>
        <v>88600</v>
      </c>
      <c r="AA28" s="178"/>
      <c r="AB28" s="178"/>
      <c r="AC28" s="177"/>
      <c r="AD28" s="177"/>
      <c r="AE28" s="179"/>
      <c r="AF28" s="179"/>
      <c r="AG28" s="179"/>
      <c r="AH28" s="179"/>
      <c r="AI28" s="85"/>
    </row>
    <row r="29" spans="1:35" ht="14.45" customHeight="1" x14ac:dyDescent="0.2">
      <c r="A29" s="47">
        <v>466</v>
      </c>
      <c r="B29" s="48" t="str">
        <f>REPLACE(E29,1,3, )</f>
        <v xml:space="preserve"> 727</v>
      </c>
      <c r="C29" s="32" t="s">
        <v>935</v>
      </c>
      <c r="D29" s="49">
        <f>IF(E29=C29,0,1)</f>
        <v>0</v>
      </c>
      <c r="E29" s="50" t="s">
        <v>935</v>
      </c>
      <c r="F29" s="30" t="str">
        <f>REPLACE(E29,4,4, )</f>
        <v>SCP</v>
      </c>
      <c r="G29" s="30" t="s">
        <v>34</v>
      </c>
      <c r="H29" s="34" t="s">
        <v>936</v>
      </c>
      <c r="I29" s="30" t="s">
        <v>826</v>
      </c>
      <c r="J29" s="51">
        <f>M29</f>
        <v>53000</v>
      </c>
      <c r="K29" s="52">
        <f>J29-M29</f>
        <v>0</v>
      </c>
      <c r="L29" s="60" t="s">
        <v>97</v>
      </c>
      <c r="M29" s="61">
        <v>53000</v>
      </c>
      <c r="N29" s="54">
        <f>2000+600+200+250+3600</f>
        <v>6650</v>
      </c>
      <c r="O29" s="55">
        <f>M29+N29</f>
        <v>59650</v>
      </c>
      <c r="P29" s="47">
        <v>466</v>
      </c>
      <c r="Q29" s="56">
        <v>59650</v>
      </c>
      <c r="R29" s="41">
        <f>O29-Q29</f>
        <v>0</v>
      </c>
      <c r="S29" s="67"/>
      <c r="T29" s="33" t="s">
        <v>937</v>
      </c>
      <c r="U29" s="57">
        <v>-2000</v>
      </c>
      <c r="V29" s="57">
        <f>U29+O29</f>
        <v>57650</v>
      </c>
      <c r="W29" s="57">
        <f>V29/0.7</f>
        <v>82357.14285714287</v>
      </c>
      <c r="X29" s="58">
        <f>W29/0.875</f>
        <v>94122.448979591849</v>
      </c>
      <c r="Y29" s="59">
        <f>(X29-W29)/X29</f>
        <v>0.12499999999999999</v>
      </c>
      <c r="Z29" s="58">
        <f>(ROUNDUP((X29/100),0))*100</f>
        <v>94200</v>
      </c>
      <c r="AA29" s="58"/>
      <c r="AB29" s="58"/>
      <c r="AC29" s="180"/>
      <c r="AD29" s="180"/>
      <c r="AE29" s="176"/>
      <c r="AF29" s="176"/>
      <c r="AG29" s="176"/>
      <c r="AH29" s="176"/>
      <c r="AI29" s="85"/>
    </row>
    <row r="30" spans="1:35" s="91" customFormat="1" ht="14.45" customHeight="1" x14ac:dyDescent="0.2">
      <c r="A30" s="47">
        <v>282</v>
      </c>
      <c r="B30" s="48" t="str">
        <f>REPLACE(E30,1,3, )</f>
        <v xml:space="preserve"> 150</v>
      </c>
      <c r="C30" s="70" t="s">
        <v>606</v>
      </c>
      <c r="D30" s="49">
        <f>IF(E30=C30,0,1)</f>
        <v>0</v>
      </c>
      <c r="E30" s="47" t="s">
        <v>606</v>
      </c>
      <c r="F30" s="30" t="str">
        <f>REPLACE(E30,4,4, )</f>
        <v>SCR</v>
      </c>
      <c r="G30" s="30" t="s">
        <v>91</v>
      </c>
      <c r="H30" s="34" t="s">
        <v>585</v>
      </c>
      <c r="I30" s="30" t="s">
        <v>126</v>
      </c>
      <c r="J30" s="51">
        <v>63000</v>
      </c>
      <c r="K30" s="52">
        <f>J30-M30</f>
        <v>4250</v>
      </c>
      <c r="L30" s="49" t="s">
        <v>94</v>
      </c>
      <c r="M30" s="53">
        <f>J30-N30</f>
        <v>58750</v>
      </c>
      <c r="N30" s="53">
        <f>2000+200+350+600+300+800</f>
        <v>4250</v>
      </c>
      <c r="O30" s="55">
        <f>M30+N30</f>
        <v>63000</v>
      </c>
      <c r="P30" s="47">
        <v>282</v>
      </c>
      <c r="Q30" s="56">
        <v>63000</v>
      </c>
      <c r="R30" s="41">
        <f>O30-Q30</f>
        <v>0</v>
      </c>
      <c r="S30" s="67"/>
      <c r="T30" s="33" t="s">
        <v>588</v>
      </c>
      <c r="U30" s="57"/>
      <c r="V30" s="57">
        <f>U30+O30</f>
        <v>63000</v>
      </c>
      <c r="W30" s="57">
        <f>V30/0.7</f>
        <v>90000</v>
      </c>
      <c r="X30" s="58">
        <f>W30/0.875</f>
        <v>102857.14285714286</v>
      </c>
      <c r="Y30" s="59">
        <f>(X30-W30)/X30</f>
        <v>0.12499999999999999</v>
      </c>
      <c r="Z30" s="58">
        <f>(ROUNDUP((X30/100),0))*100</f>
        <v>102900</v>
      </c>
      <c r="AA30" s="178"/>
      <c r="AB30" s="178"/>
      <c r="AC30" s="177"/>
      <c r="AD30" s="177"/>
      <c r="AE30" s="179"/>
      <c r="AF30" s="179"/>
      <c r="AG30" s="179"/>
      <c r="AH30" s="179"/>
    </row>
    <row r="31" spans="1:35" ht="14.45" customHeight="1" x14ac:dyDescent="0.2">
      <c r="A31" s="47">
        <v>284</v>
      </c>
      <c r="B31" s="48" t="str">
        <f>REPLACE(E31,1,3, )</f>
        <v xml:space="preserve"> 266</v>
      </c>
      <c r="C31" s="70" t="s">
        <v>608</v>
      </c>
      <c r="D31" s="49">
        <f>IF(E31=C31,0,1)</f>
        <v>0</v>
      </c>
      <c r="E31" s="49" t="s">
        <v>608</v>
      </c>
      <c r="F31" s="30" t="str">
        <f>REPLACE(E31,4,4, )</f>
        <v>SCR</v>
      </c>
      <c r="G31" s="33" t="s">
        <v>91</v>
      </c>
      <c r="H31" s="34" t="s">
        <v>596</v>
      </c>
      <c r="I31" s="33" t="s">
        <v>126</v>
      </c>
      <c r="J31" s="51">
        <v>84000</v>
      </c>
      <c r="K31" s="52">
        <f>J31-M31</f>
        <v>4250</v>
      </c>
      <c r="L31" s="49" t="s">
        <v>94</v>
      </c>
      <c r="M31" s="53">
        <f>J31-N31</f>
        <v>79750</v>
      </c>
      <c r="N31" s="53">
        <f>2000+200+350+600+300+800</f>
        <v>4250</v>
      </c>
      <c r="O31" s="55">
        <f>M31+N31</f>
        <v>84000</v>
      </c>
      <c r="P31" s="47">
        <v>284</v>
      </c>
      <c r="Q31" s="56">
        <v>84000</v>
      </c>
      <c r="R31" s="41">
        <f>O31-Q31</f>
        <v>0</v>
      </c>
      <c r="S31" s="67"/>
      <c r="T31" s="33" t="s">
        <v>588</v>
      </c>
      <c r="U31" s="57">
        <v>2000</v>
      </c>
      <c r="V31" s="57">
        <f>U31+O31</f>
        <v>86000</v>
      </c>
      <c r="W31" s="57">
        <f>V31/0.7</f>
        <v>122857.14285714287</v>
      </c>
      <c r="X31" s="58">
        <f>W31/0.875</f>
        <v>140408.16326530612</v>
      </c>
      <c r="Y31" s="59">
        <f>(X31-W31)/X31</f>
        <v>0.12499999999999992</v>
      </c>
      <c r="Z31" s="58">
        <f>(ROUNDUP((X31/100),0))*100</f>
        <v>140500</v>
      </c>
      <c r="AA31" s="178"/>
      <c r="AB31" s="178"/>
      <c r="AC31" s="177"/>
      <c r="AD31" s="177"/>
      <c r="AE31" s="179"/>
      <c r="AF31" s="179"/>
      <c r="AG31" s="179"/>
      <c r="AH31" s="179"/>
      <c r="AI31" s="85"/>
    </row>
    <row r="32" spans="1:35" ht="14.45" customHeight="1" x14ac:dyDescent="0.2">
      <c r="A32" s="47">
        <v>287</v>
      </c>
      <c r="B32" s="48" t="str">
        <f>REPLACE(E32,1,3, )</f>
        <v xml:space="preserve"> 298</v>
      </c>
      <c r="C32" s="70" t="s">
        <v>614</v>
      </c>
      <c r="D32" s="49">
        <f>IF(E32=C32,0,1)</f>
        <v>0</v>
      </c>
      <c r="E32" s="50" t="s">
        <v>614</v>
      </c>
      <c r="F32" s="30" t="str">
        <f>REPLACE(E32,4,4, )</f>
        <v>SCR</v>
      </c>
      <c r="G32" s="30" t="s">
        <v>34</v>
      </c>
      <c r="H32" s="71" t="s">
        <v>612</v>
      </c>
      <c r="I32" s="30" t="s">
        <v>126</v>
      </c>
      <c r="J32" s="51">
        <v>72000</v>
      </c>
      <c r="K32" s="52">
        <f>J32-M32</f>
        <v>3950</v>
      </c>
      <c r="L32" s="49" t="s">
        <v>94</v>
      </c>
      <c r="M32" s="53">
        <f>J32-N32</f>
        <v>68050</v>
      </c>
      <c r="N32" s="54">
        <f>2000+200+350+600+800</f>
        <v>3950</v>
      </c>
      <c r="O32" s="55">
        <f>M32+N32</f>
        <v>72000</v>
      </c>
      <c r="P32" s="47">
        <v>287</v>
      </c>
      <c r="Q32" s="56">
        <v>72000</v>
      </c>
      <c r="R32" s="41">
        <f>O32-Q32</f>
        <v>0</v>
      </c>
      <c r="S32" s="67"/>
      <c r="T32" s="33" t="s">
        <v>98</v>
      </c>
      <c r="U32" s="57"/>
      <c r="V32" s="57">
        <f>U32+O32</f>
        <v>72000</v>
      </c>
      <c r="W32" s="57">
        <f>V32/0.7</f>
        <v>102857.14285714287</v>
      </c>
      <c r="X32" s="58">
        <f>W32/0.875</f>
        <v>117551.02040816328</v>
      </c>
      <c r="Y32" s="59">
        <f>(X32-W32)/X32</f>
        <v>0.12500000000000003</v>
      </c>
      <c r="Z32" s="58">
        <f>(ROUNDUP((X32/100),0))*100</f>
        <v>117600</v>
      </c>
      <c r="AA32" s="58"/>
      <c r="AB32" s="58"/>
      <c r="AC32" s="180"/>
      <c r="AD32" s="180"/>
      <c r="AE32" s="176"/>
      <c r="AF32" s="176"/>
      <c r="AG32" s="176"/>
      <c r="AH32" s="176"/>
      <c r="AI32" s="85"/>
    </row>
    <row r="33" spans="1:35" s="91" customFormat="1" ht="14.45" customHeight="1" x14ac:dyDescent="0.2">
      <c r="A33" s="47">
        <v>298</v>
      </c>
      <c r="B33" s="48" t="str">
        <f>REPLACE(E33,1,3, )</f>
        <v xml:space="preserve"> 377</v>
      </c>
      <c r="C33" s="70" t="s">
        <v>628</v>
      </c>
      <c r="D33" s="49">
        <f>IF(E33=C33,0,1)</f>
        <v>0</v>
      </c>
      <c r="E33" s="47" t="s">
        <v>628</v>
      </c>
      <c r="F33" s="30" t="str">
        <f>REPLACE(E33,4,4, )</f>
        <v>SCR</v>
      </c>
      <c r="G33" s="30" t="s">
        <v>91</v>
      </c>
      <c r="H33" s="71" t="s">
        <v>612</v>
      </c>
      <c r="I33" s="30" t="s">
        <v>126</v>
      </c>
      <c r="J33" s="51">
        <v>75000</v>
      </c>
      <c r="K33" s="52">
        <f>J33-M33</f>
        <v>4250</v>
      </c>
      <c r="L33" s="49" t="s">
        <v>94</v>
      </c>
      <c r="M33" s="53">
        <f>J33-N33</f>
        <v>70750</v>
      </c>
      <c r="N33" s="53">
        <f>2000+200+350+600+300+800</f>
        <v>4250</v>
      </c>
      <c r="O33" s="55">
        <f>M33+N33</f>
        <v>75000</v>
      </c>
      <c r="P33" s="47">
        <v>298</v>
      </c>
      <c r="Q33" s="56">
        <v>75000</v>
      </c>
      <c r="R33" s="41">
        <f>O33-Q33</f>
        <v>0</v>
      </c>
      <c r="S33" s="67"/>
      <c r="T33" s="33" t="s">
        <v>588</v>
      </c>
      <c r="U33" s="57"/>
      <c r="V33" s="57">
        <f>U33+O33</f>
        <v>75000</v>
      </c>
      <c r="W33" s="57">
        <f>V33/0.7</f>
        <v>107142.85714285714</v>
      </c>
      <c r="X33" s="58">
        <f>W33/0.875</f>
        <v>122448.97959183673</v>
      </c>
      <c r="Y33" s="59">
        <f>(X33-W33)/X33</f>
        <v>0.12499999999999996</v>
      </c>
      <c r="Z33" s="58">
        <f>(ROUNDUP((X33/100),0))*100</f>
        <v>122500</v>
      </c>
      <c r="AA33" s="178"/>
      <c r="AB33" s="178"/>
      <c r="AC33" s="177"/>
      <c r="AD33" s="177"/>
      <c r="AE33" s="179"/>
      <c r="AF33" s="179"/>
      <c r="AG33" s="179"/>
      <c r="AH33" s="179"/>
    </row>
    <row r="34" spans="1:35" ht="14.45" customHeight="1" x14ac:dyDescent="0.2">
      <c r="A34" s="47">
        <v>98</v>
      </c>
      <c r="B34" s="48" t="str">
        <f>REPLACE(E34,1,3, )</f>
        <v xml:space="preserve"> 444</v>
      </c>
      <c r="C34" s="70" t="s">
        <v>259</v>
      </c>
      <c r="D34" s="49">
        <f>IF(E34=C34,0,1)</f>
        <v>0</v>
      </c>
      <c r="E34" s="47" t="s">
        <v>259</v>
      </c>
      <c r="F34" s="30" t="str">
        <f>REPLACE(E34,4,4, )</f>
        <v>SCR</v>
      </c>
      <c r="G34" s="30" t="s">
        <v>91</v>
      </c>
      <c r="H34" s="71" t="s">
        <v>256</v>
      </c>
      <c r="I34" s="30" t="s">
        <v>126</v>
      </c>
      <c r="J34" s="51">
        <v>72000</v>
      </c>
      <c r="K34" s="52">
        <f>J34-M34</f>
        <v>3950</v>
      </c>
      <c r="L34" s="49" t="s">
        <v>94</v>
      </c>
      <c r="M34" s="53">
        <f>J34-N34</f>
        <v>68050</v>
      </c>
      <c r="N34" s="53">
        <f>2000+200+350+600+800</f>
        <v>3950</v>
      </c>
      <c r="O34" s="55">
        <f>M34+N34</f>
        <v>72000</v>
      </c>
      <c r="P34" s="47">
        <v>98</v>
      </c>
      <c r="Q34" s="56">
        <v>72500</v>
      </c>
      <c r="R34" s="41">
        <f>O34-Q34</f>
        <v>-500</v>
      </c>
      <c r="S34" s="67"/>
      <c r="T34" s="33" t="s">
        <v>98</v>
      </c>
      <c r="U34" s="57"/>
      <c r="V34" s="57">
        <f>U34+O34</f>
        <v>72000</v>
      </c>
      <c r="W34" s="57">
        <f>V34/0.7</f>
        <v>102857.14285714287</v>
      </c>
      <c r="X34" s="58">
        <f>W34/0.875</f>
        <v>117551.02040816328</v>
      </c>
      <c r="Y34" s="59">
        <f>(X34-W34)/X34</f>
        <v>0.12500000000000003</v>
      </c>
      <c r="Z34" s="58">
        <f>(ROUNDUP((X34/100),0))*100</f>
        <v>117600</v>
      </c>
      <c r="AA34" s="178" t="s">
        <v>1780</v>
      </c>
      <c r="AB34" s="224">
        <v>43428</v>
      </c>
      <c r="AC34" s="177" t="s">
        <v>1790</v>
      </c>
      <c r="AD34" s="224">
        <v>43444</v>
      </c>
      <c r="AE34" s="179">
        <v>68550</v>
      </c>
      <c r="AF34" s="179" t="s">
        <v>1801</v>
      </c>
      <c r="AG34" s="179">
        <v>3950</v>
      </c>
      <c r="AH34" s="179">
        <v>72500</v>
      </c>
      <c r="AI34" s="85"/>
    </row>
    <row r="35" spans="1:35" ht="14.45" customHeight="1" x14ac:dyDescent="0.2">
      <c r="A35" s="47">
        <v>322</v>
      </c>
      <c r="B35" s="48" t="str">
        <f>REPLACE(E35,1,3, )</f>
        <v xml:space="preserve"> 674</v>
      </c>
      <c r="C35" s="70" t="s">
        <v>676</v>
      </c>
      <c r="D35" s="49">
        <f>IF(E35=C35,0,1)</f>
        <v>0</v>
      </c>
      <c r="E35" s="47" t="s">
        <v>676</v>
      </c>
      <c r="F35" s="30" t="str">
        <f>REPLACE(E35,4,4, )</f>
        <v>SCR</v>
      </c>
      <c r="G35" s="30" t="s">
        <v>91</v>
      </c>
      <c r="H35" s="34" t="s">
        <v>652</v>
      </c>
      <c r="I35" s="30" t="s">
        <v>126</v>
      </c>
      <c r="J35" s="87">
        <v>83000</v>
      </c>
      <c r="K35" s="52">
        <f>J35-M35</f>
        <v>6450</v>
      </c>
      <c r="L35" s="47" t="s">
        <v>94</v>
      </c>
      <c r="M35" s="53">
        <f>J35-N35</f>
        <v>76550</v>
      </c>
      <c r="N35" s="53">
        <f>2000+200+350+600+300+3000</f>
        <v>6450</v>
      </c>
      <c r="O35" s="55">
        <f>M35+N35</f>
        <v>83000</v>
      </c>
      <c r="P35" s="47">
        <v>322</v>
      </c>
      <c r="Q35" s="56">
        <v>83000</v>
      </c>
      <c r="R35" s="41">
        <f>O35-Q35</f>
        <v>0</v>
      </c>
      <c r="S35" s="67"/>
      <c r="T35" s="33" t="s">
        <v>677</v>
      </c>
      <c r="U35" s="57"/>
      <c r="V35" s="57">
        <f>U35+O35</f>
        <v>83000</v>
      </c>
      <c r="W35" s="57">
        <f>V35/0.7</f>
        <v>118571.42857142858</v>
      </c>
      <c r="X35" s="58">
        <f>W35/0.875</f>
        <v>135510.20408163266</v>
      </c>
      <c r="Y35" s="59">
        <f>(X35-W35)/X35</f>
        <v>0.125</v>
      </c>
      <c r="Z35" s="58">
        <f>(ROUNDUP((X35/100),0))*100</f>
        <v>135600</v>
      </c>
      <c r="AA35" s="178" t="s">
        <v>1780</v>
      </c>
      <c r="AB35" s="224">
        <v>43428</v>
      </c>
      <c r="AC35" s="177"/>
      <c r="AD35" s="177"/>
      <c r="AE35" s="179"/>
      <c r="AF35" s="179"/>
      <c r="AG35" s="179"/>
      <c r="AH35" s="179"/>
      <c r="AI35" s="85"/>
    </row>
    <row r="36" spans="1:35" ht="14.45" customHeight="1" x14ac:dyDescent="0.2">
      <c r="A36" s="47">
        <v>277</v>
      </c>
      <c r="B36" s="48" t="str">
        <f>REPLACE(E36,1,3, )</f>
        <v xml:space="preserve"> 821</v>
      </c>
      <c r="C36" s="70" t="s">
        <v>595</v>
      </c>
      <c r="D36" s="49">
        <f>IF(E36=C36,0,1)</f>
        <v>0</v>
      </c>
      <c r="E36" s="47" t="s">
        <v>595</v>
      </c>
      <c r="F36" s="30" t="str">
        <f>REPLACE(E36,4,4, )</f>
        <v>SCR</v>
      </c>
      <c r="G36" s="30" t="s">
        <v>91</v>
      </c>
      <c r="H36" s="34" t="s">
        <v>596</v>
      </c>
      <c r="I36" s="30" t="s">
        <v>126</v>
      </c>
      <c r="J36" s="51">
        <v>84000</v>
      </c>
      <c r="K36" s="52">
        <f>J36-M36</f>
        <v>4250</v>
      </c>
      <c r="L36" s="49" t="s">
        <v>94</v>
      </c>
      <c r="M36" s="53">
        <f>J36-N36</f>
        <v>79750</v>
      </c>
      <c r="N36" s="53">
        <f>2000+200+350+600+300+800</f>
        <v>4250</v>
      </c>
      <c r="O36" s="55">
        <f>M36+N36</f>
        <v>84000</v>
      </c>
      <c r="P36" s="47">
        <v>277</v>
      </c>
      <c r="Q36" s="56">
        <v>84000</v>
      </c>
      <c r="R36" s="41">
        <f>O36-Q36</f>
        <v>0</v>
      </c>
      <c r="S36" s="67"/>
      <c r="T36" s="33" t="s">
        <v>588</v>
      </c>
      <c r="U36" s="57">
        <v>2000</v>
      </c>
      <c r="V36" s="57">
        <f>U36+O36</f>
        <v>86000</v>
      </c>
      <c r="W36" s="57">
        <f>V36/0.7</f>
        <v>122857.14285714287</v>
      </c>
      <c r="X36" s="58">
        <f>W36/0.875</f>
        <v>140408.16326530612</v>
      </c>
      <c r="Y36" s="59">
        <f>(X36-W36)/X36</f>
        <v>0.12499999999999992</v>
      </c>
      <c r="Z36" s="58">
        <f>(ROUNDUP((X36/100),0))*100</f>
        <v>140500</v>
      </c>
      <c r="AA36" s="178"/>
      <c r="AB36" s="178"/>
      <c r="AC36" s="177"/>
      <c r="AD36" s="177"/>
      <c r="AE36" s="179"/>
      <c r="AF36" s="179"/>
      <c r="AG36" s="179"/>
      <c r="AH36" s="179"/>
      <c r="AI36" s="85"/>
    </row>
    <row r="37" spans="1:35" s="91" customFormat="1" ht="14.45" customHeight="1" x14ac:dyDescent="0.2">
      <c r="A37" s="47">
        <v>36</v>
      </c>
      <c r="B37" s="48" t="str">
        <f>REPLACE(E37,1,3, )</f>
        <v xml:space="preserve"> 827</v>
      </c>
      <c r="C37" s="70" t="s">
        <v>150</v>
      </c>
      <c r="D37" s="49">
        <f>IF(E37=C37,0,1)</f>
        <v>0</v>
      </c>
      <c r="E37" s="47" t="s">
        <v>150</v>
      </c>
      <c r="F37" s="30" t="str">
        <f>REPLACE(E37,4,4, )</f>
        <v>SCR</v>
      </c>
      <c r="G37" s="30" t="s">
        <v>91</v>
      </c>
      <c r="H37" s="34" t="s">
        <v>92</v>
      </c>
      <c r="I37" s="30" t="s">
        <v>126</v>
      </c>
      <c r="J37" s="51">
        <v>70000</v>
      </c>
      <c r="K37" s="52">
        <f>J37-M37</f>
        <v>3950</v>
      </c>
      <c r="L37" s="49" t="s">
        <v>94</v>
      </c>
      <c r="M37" s="53">
        <f>J37-N37</f>
        <v>66050</v>
      </c>
      <c r="N37" s="53">
        <f>2000+200+350+600+800</f>
        <v>3950</v>
      </c>
      <c r="O37" s="55">
        <f>M37+N37</f>
        <v>70000</v>
      </c>
      <c r="P37" s="47">
        <v>36</v>
      </c>
      <c r="Q37" s="56">
        <v>70000</v>
      </c>
      <c r="R37" s="41">
        <f>O37-Q37</f>
        <v>0</v>
      </c>
      <c r="S37" s="67"/>
      <c r="T37" s="33" t="s">
        <v>98</v>
      </c>
      <c r="U37" s="57">
        <v>1000</v>
      </c>
      <c r="V37" s="57">
        <f>U37+O37</f>
        <v>71000</v>
      </c>
      <c r="W37" s="57">
        <f>V37/0.7</f>
        <v>101428.57142857143</v>
      </c>
      <c r="X37" s="58">
        <f>W37/0.875</f>
        <v>115918.36734693879</v>
      </c>
      <c r="Y37" s="59">
        <f>(X37-W37)/X37</f>
        <v>0.12500000000000003</v>
      </c>
      <c r="Z37" s="58">
        <f>(ROUNDUP((X37/100),0))*100</f>
        <v>116000</v>
      </c>
      <c r="AA37" s="178" t="s">
        <v>1780</v>
      </c>
      <c r="AB37" s="224">
        <v>43428</v>
      </c>
      <c r="AC37" s="177" t="s">
        <v>1780</v>
      </c>
      <c r="AD37" s="224">
        <v>43444</v>
      </c>
      <c r="AE37" s="179">
        <v>66050</v>
      </c>
      <c r="AF37" s="179" t="s">
        <v>1801</v>
      </c>
      <c r="AG37" s="179">
        <v>3950</v>
      </c>
      <c r="AH37" s="179">
        <v>70000</v>
      </c>
    </row>
    <row r="38" spans="1:35" ht="14.45" customHeight="1" x14ac:dyDescent="0.2">
      <c r="A38" s="47">
        <v>20</v>
      </c>
      <c r="B38" s="48" t="str">
        <f>REPLACE(E38,1,3, )</f>
        <v xml:space="preserve"> 948</v>
      </c>
      <c r="C38" s="32" t="s">
        <v>125</v>
      </c>
      <c r="D38" s="49">
        <f>IF(E38=C38,0,1)</f>
        <v>0</v>
      </c>
      <c r="E38" s="47" t="s">
        <v>125</v>
      </c>
      <c r="F38" s="30" t="str">
        <f>REPLACE(E38,4,4, )</f>
        <v>SCR</v>
      </c>
      <c r="G38" s="30" t="s">
        <v>91</v>
      </c>
      <c r="H38" s="34" t="s">
        <v>92</v>
      </c>
      <c r="I38" s="30" t="s">
        <v>126</v>
      </c>
      <c r="J38" s="51">
        <v>63000</v>
      </c>
      <c r="K38" s="52">
        <f>J38-M38</f>
        <v>3950</v>
      </c>
      <c r="L38" s="49" t="s">
        <v>94</v>
      </c>
      <c r="M38" s="53">
        <f>J38-N38</f>
        <v>59050</v>
      </c>
      <c r="N38" s="53">
        <f>2000+200+350+600+800</f>
        <v>3950</v>
      </c>
      <c r="O38" s="55">
        <f>M38+N38</f>
        <v>63000</v>
      </c>
      <c r="P38" s="47">
        <v>20</v>
      </c>
      <c r="Q38" s="56">
        <v>63000</v>
      </c>
      <c r="R38" s="41">
        <f>O38-Q38</f>
        <v>0</v>
      </c>
      <c r="S38" s="67"/>
      <c r="T38" s="33" t="s">
        <v>98</v>
      </c>
      <c r="U38" s="57">
        <v>1000</v>
      </c>
      <c r="V38" s="57">
        <f>U38+O38</f>
        <v>64000</v>
      </c>
      <c r="W38" s="57">
        <f>V38/0.7</f>
        <v>91428.571428571435</v>
      </c>
      <c r="X38" s="58">
        <f>W38/0.875</f>
        <v>104489.79591836735</v>
      </c>
      <c r="Y38" s="59">
        <f>(X38-W38)/X38</f>
        <v>0.12499999999999999</v>
      </c>
      <c r="Z38" s="58">
        <f>(ROUNDUP((X38/100),0))*100</f>
        <v>104500</v>
      </c>
      <c r="AA38" s="178" t="s">
        <v>1780</v>
      </c>
      <c r="AB38" s="224">
        <v>43428</v>
      </c>
      <c r="AC38" s="177" t="s">
        <v>1790</v>
      </c>
      <c r="AD38" s="224">
        <v>43444</v>
      </c>
      <c r="AE38" s="179">
        <v>59050</v>
      </c>
      <c r="AF38" s="179" t="s">
        <v>1801</v>
      </c>
      <c r="AG38" s="179">
        <v>3950</v>
      </c>
      <c r="AH38" s="179">
        <v>63000</v>
      </c>
      <c r="AI38" s="85"/>
    </row>
    <row r="39" spans="1:35" ht="14.45" customHeight="1" x14ac:dyDescent="0.2">
      <c r="A39" s="47">
        <v>87</v>
      </c>
      <c r="B39" s="48" t="str">
        <f>REPLACE(E39,1,3, )</f>
        <v xml:space="preserve"> 151</v>
      </c>
      <c r="C39" s="70" t="s">
        <v>232</v>
      </c>
      <c r="D39" s="49">
        <f>IF(E39=C39,0,1)</f>
        <v>0</v>
      </c>
      <c r="E39" s="49" t="s">
        <v>232</v>
      </c>
      <c r="F39" s="30" t="str">
        <f>REPLACE(E39,4,4, )</f>
        <v>SDA</v>
      </c>
      <c r="G39" s="33" t="s">
        <v>91</v>
      </c>
      <c r="H39" s="71" t="s">
        <v>219</v>
      </c>
      <c r="I39" s="33" t="s">
        <v>233</v>
      </c>
      <c r="J39" s="51">
        <v>130000</v>
      </c>
      <c r="K39" s="52">
        <f>J39-M39</f>
        <v>6000</v>
      </c>
      <c r="L39" s="49"/>
      <c r="M39" s="53">
        <f>J39-N39</f>
        <v>124000</v>
      </c>
      <c r="N39" s="53">
        <f>2000+200+200+600+3000</f>
        <v>6000</v>
      </c>
      <c r="O39" s="55">
        <f>M39+N39</f>
        <v>130000</v>
      </c>
      <c r="P39" s="47">
        <v>87</v>
      </c>
      <c r="Q39" s="56">
        <v>130000</v>
      </c>
      <c r="R39" s="41">
        <f>O39-Q39</f>
        <v>0</v>
      </c>
      <c r="S39" s="67"/>
      <c r="T39" s="33" t="s">
        <v>234</v>
      </c>
      <c r="U39" s="57"/>
      <c r="V39" s="57">
        <f>U39+O39</f>
        <v>130000</v>
      </c>
      <c r="W39" s="57">
        <f>V39/0.7</f>
        <v>185714.28571428574</v>
      </c>
      <c r="X39" s="58">
        <f>W39/0.875</f>
        <v>212244.8979591837</v>
      </c>
      <c r="Y39" s="59">
        <f>(X39-W39)/X39</f>
        <v>0.12499999999999999</v>
      </c>
      <c r="Z39" s="58">
        <f>(ROUNDUP((X39/100),0))*100</f>
        <v>212300</v>
      </c>
      <c r="AA39" s="178"/>
      <c r="AB39" s="178"/>
      <c r="AC39" s="177"/>
      <c r="AD39" s="177"/>
      <c r="AE39" s="179"/>
      <c r="AF39" s="179"/>
      <c r="AG39" s="179"/>
      <c r="AH39" s="179"/>
      <c r="AI39" s="85"/>
    </row>
    <row r="40" spans="1:35" ht="14.45" customHeight="1" x14ac:dyDescent="0.2">
      <c r="A40" s="47">
        <v>459</v>
      </c>
      <c r="B40" s="48" t="str">
        <f>REPLACE(E40,1,3, )</f>
        <v xml:space="preserve"> 964</v>
      </c>
      <c r="C40" s="32" t="s">
        <v>922</v>
      </c>
      <c r="D40" s="49">
        <f>IF(E40=C40,0,1)</f>
        <v>0</v>
      </c>
      <c r="E40" s="50" t="s">
        <v>922</v>
      </c>
      <c r="F40" s="30" t="str">
        <f>REPLACE(E40,4,4, )</f>
        <v>SDC</v>
      </c>
      <c r="G40" s="30" t="s">
        <v>34</v>
      </c>
      <c r="H40" s="71" t="s">
        <v>910</v>
      </c>
      <c r="I40" s="30" t="s">
        <v>923</v>
      </c>
      <c r="J40" s="74">
        <v>52000</v>
      </c>
      <c r="K40" s="74">
        <f>J40-M40</f>
        <v>6700</v>
      </c>
      <c r="L40" s="47" t="s">
        <v>94</v>
      </c>
      <c r="M40" s="74">
        <f>J40-N40</f>
        <v>45300</v>
      </c>
      <c r="N40" s="74">
        <f>2000+3450+800+200+250</f>
        <v>6700</v>
      </c>
      <c r="O40" s="75">
        <f>N40+M40</f>
        <v>52000</v>
      </c>
      <c r="P40" s="47">
        <v>459</v>
      </c>
      <c r="Q40" s="76">
        <v>52000</v>
      </c>
      <c r="R40" s="41">
        <f>O40-Q40</f>
        <v>0</v>
      </c>
      <c r="S40" s="42" t="s">
        <v>88</v>
      </c>
      <c r="T40" s="47" t="s">
        <v>804</v>
      </c>
      <c r="U40" s="57">
        <v>2000</v>
      </c>
      <c r="V40" s="57">
        <f>U40+O40</f>
        <v>54000</v>
      </c>
      <c r="W40" s="57">
        <f>V40/0.7</f>
        <v>77142.857142857145</v>
      </c>
      <c r="X40" s="58">
        <f>W40/0.875</f>
        <v>88163.265306122456</v>
      </c>
      <c r="Y40" s="59">
        <f>(X40-W40)/X40</f>
        <v>0.12500000000000003</v>
      </c>
      <c r="Z40" s="58">
        <f>(ROUNDUP((X40/100),0))*100</f>
        <v>88200</v>
      </c>
      <c r="AA40" s="58"/>
      <c r="AB40" s="58"/>
      <c r="AC40" s="180"/>
      <c r="AD40" s="180"/>
      <c r="AE40" s="176"/>
      <c r="AF40" s="176"/>
      <c r="AG40" s="176"/>
      <c r="AH40" s="176"/>
      <c r="AI40" s="85"/>
    </row>
    <row r="41" spans="1:35" ht="14.45" customHeight="1" x14ac:dyDescent="0.2">
      <c r="A41" s="47">
        <v>321</v>
      </c>
      <c r="B41" s="48" t="str">
        <f>REPLACE(E41,1,3, )</f>
        <v xml:space="preserve"> 824</v>
      </c>
      <c r="C41" s="70" t="s">
        <v>673</v>
      </c>
      <c r="D41" s="49">
        <f>IF(E41=C41,0,1)</f>
        <v>0</v>
      </c>
      <c r="E41" s="50" t="s">
        <v>673</v>
      </c>
      <c r="F41" s="30" t="str">
        <f>REPLACE(E41,4,4, )</f>
        <v>SDD</v>
      </c>
      <c r="G41" s="30" t="s">
        <v>34</v>
      </c>
      <c r="H41" s="34" t="s">
        <v>652</v>
      </c>
      <c r="I41" s="30" t="s">
        <v>674</v>
      </c>
      <c r="J41" s="72">
        <v>72500</v>
      </c>
      <c r="K41" s="72">
        <f>J41-M41</f>
        <v>6150</v>
      </c>
      <c r="L41" s="64" t="s">
        <v>106</v>
      </c>
      <c r="M41" s="74">
        <f>J41-N41</f>
        <v>66350</v>
      </c>
      <c r="N41" s="74">
        <f>2000+2850+800+200+300</f>
        <v>6150</v>
      </c>
      <c r="O41" s="75">
        <f>M41+N41</f>
        <v>72500</v>
      </c>
      <c r="P41" s="47">
        <v>321</v>
      </c>
      <c r="Q41" s="76">
        <v>72500</v>
      </c>
      <c r="R41" s="41">
        <f>O41-Q41</f>
        <v>0</v>
      </c>
      <c r="S41" s="42" t="s">
        <v>88</v>
      </c>
      <c r="T41" s="47" t="s">
        <v>675</v>
      </c>
      <c r="U41" s="57">
        <v>5000</v>
      </c>
      <c r="V41" s="57">
        <f>U41+O41</f>
        <v>77500</v>
      </c>
      <c r="W41" s="57">
        <f>V41/0.7</f>
        <v>110714.28571428572</v>
      </c>
      <c r="X41" s="58">
        <f>W41/0.875</f>
        <v>126530.61224489797</v>
      </c>
      <c r="Y41" s="59">
        <f>(X41-W41)/X41</f>
        <v>0.12500000000000003</v>
      </c>
      <c r="Z41" s="58">
        <f>(ROUNDUP((X41/100),0))*100</f>
        <v>126600</v>
      </c>
      <c r="AA41" s="58"/>
      <c r="AB41" s="58"/>
      <c r="AC41" s="180"/>
      <c r="AD41" s="180"/>
      <c r="AE41" s="176"/>
      <c r="AF41" s="176"/>
      <c r="AG41" s="176"/>
      <c r="AH41" s="176"/>
      <c r="AI41" s="85"/>
    </row>
    <row r="42" spans="1:35" ht="14.45" customHeight="1" x14ac:dyDescent="0.2">
      <c r="A42" s="47">
        <v>351</v>
      </c>
      <c r="B42" s="48" t="str">
        <f>REPLACE(E42,1,3, )</f>
        <v xml:space="preserve"> 227</v>
      </c>
      <c r="C42" s="70" t="s">
        <v>723</v>
      </c>
      <c r="D42" s="49">
        <f>IF(E42=C42,0,1)</f>
        <v>0</v>
      </c>
      <c r="E42" s="49" t="s">
        <v>723</v>
      </c>
      <c r="F42" s="30" t="str">
        <f>REPLACE(E42,4,4, )</f>
        <v>SDI</v>
      </c>
      <c r="G42" s="33" t="s">
        <v>91</v>
      </c>
      <c r="H42" s="71" t="s">
        <v>340</v>
      </c>
      <c r="I42" s="33" t="s">
        <v>690</v>
      </c>
      <c r="J42" s="51">
        <v>125000</v>
      </c>
      <c r="K42" s="52">
        <f>J42-M42</f>
        <v>6450</v>
      </c>
      <c r="L42" s="49" t="s">
        <v>94</v>
      </c>
      <c r="M42" s="53">
        <f>J42-N42</f>
        <v>118550</v>
      </c>
      <c r="N42" s="53">
        <f>300+2000+200+350+600+3000</f>
        <v>6450</v>
      </c>
      <c r="O42" s="55">
        <f>M42+N42</f>
        <v>125000</v>
      </c>
      <c r="P42" s="47">
        <v>351</v>
      </c>
      <c r="Q42" s="56">
        <v>125000</v>
      </c>
      <c r="R42" s="41">
        <f>O42-Q42</f>
        <v>0</v>
      </c>
      <c r="S42" s="67"/>
      <c r="T42" s="33" t="s">
        <v>691</v>
      </c>
      <c r="U42" s="57"/>
      <c r="V42" s="57">
        <f>U42+O42</f>
        <v>125000</v>
      </c>
      <c r="W42" s="57">
        <f>V42/0.7</f>
        <v>178571.42857142858</v>
      </c>
      <c r="X42" s="58">
        <f>W42/0.875</f>
        <v>204081.63265306124</v>
      </c>
      <c r="Y42" s="59">
        <f>(X42-W42)/X42</f>
        <v>0.12500000000000003</v>
      </c>
      <c r="Z42" s="58">
        <f>(ROUNDUP((X42/100),0))*100</f>
        <v>204100</v>
      </c>
      <c r="AA42" s="178"/>
      <c r="AB42" s="178"/>
      <c r="AC42" s="177"/>
      <c r="AD42" s="177"/>
      <c r="AE42" s="179"/>
      <c r="AF42" s="179"/>
      <c r="AG42" s="179"/>
      <c r="AH42" s="179"/>
      <c r="AI42" s="85"/>
    </row>
    <row r="43" spans="1:35" s="91" customFormat="1" ht="14.45" customHeight="1" x14ac:dyDescent="0.2">
      <c r="A43" s="47">
        <v>330</v>
      </c>
      <c r="B43" s="48" t="str">
        <f>REPLACE(E43,1,3, )</f>
        <v xml:space="preserve"> 502</v>
      </c>
      <c r="C43" s="70" t="s">
        <v>689</v>
      </c>
      <c r="D43" s="49">
        <f>IF(E43=C43,0,1)</f>
        <v>0</v>
      </c>
      <c r="E43" s="49" t="s">
        <v>689</v>
      </c>
      <c r="F43" s="30" t="str">
        <f>REPLACE(E43,4,4, )</f>
        <v>SDI</v>
      </c>
      <c r="G43" s="33" t="s">
        <v>91</v>
      </c>
      <c r="H43" s="71" t="s">
        <v>340</v>
      </c>
      <c r="I43" s="33" t="s">
        <v>690</v>
      </c>
      <c r="J43" s="51">
        <v>82500</v>
      </c>
      <c r="K43" s="52">
        <f>J43-M43</f>
        <v>6450</v>
      </c>
      <c r="L43" s="49" t="s">
        <v>94</v>
      </c>
      <c r="M43" s="53">
        <f>J43-N43</f>
        <v>76050</v>
      </c>
      <c r="N43" s="53">
        <f>300+2000+200+350+600+3000</f>
        <v>6450</v>
      </c>
      <c r="O43" s="55">
        <f>M43+N43</f>
        <v>82500</v>
      </c>
      <c r="P43" s="47">
        <v>330</v>
      </c>
      <c r="Q43" s="56">
        <v>82500</v>
      </c>
      <c r="R43" s="41">
        <f>O43-Q43</f>
        <v>0</v>
      </c>
      <c r="S43" s="67"/>
      <c r="T43" s="33" t="s">
        <v>691</v>
      </c>
      <c r="U43" s="57"/>
      <c r="V43" s="57">
        <f>U43+O43</f>
        <v>82500</v>
      </c>
      <c r="W43" s="57">
        <f>V43/0.7</f>
        <v>117857.14285714287</v>
      </c>
      <c r="X43" s="58">
        <f>W43/0.875</f>
        <v>134693.87755102041</v>
      </c>
      <c r="Y43" s="59">
        <f>(X43-W43)/X43</f>
        <v>0.12499999999999994</v>
      </c>
      <c r="Z43" s="58">
        <f>(ROUNDUP((X43/100),0))*100</f>
        <v>134700</v>
      </c>
      <c r="AA43" s="178"/>
      <c r="AB43" s="178"/>
      <c r="AC43" s="177"/>
      <c r="AD43" s="177"/>
      <c r="AE43" s="179"/>
      <c r="AF43" s="179"/>
      <c r="AG43" s="179"/>
      <c r="AH43" s="179"/>
    </row>
    <row r="44" spans="1:35" s="91" customFormat="1" ht="14.45" customHeight="1" x14ac:dyDescent="0.2">
      <c r="A44" s="47">
        <v>63</v>
      </c>
      <c r="B44" s="48" t="str">
        <f>REPLACE(E44,1,3, )</f>
        <v xml:space="preserve"> 903</v>
      </c>
      <c r="C44" s="70" t="s">
        <v>195</v>
      </c>
      <c r="D44" s="49">
        <f>IF(E44=C44,0,1)</f>
        <v>0</v>
      </c>
      <c r="E44" s="47" t="s">
        <v>195</v>
      </c>
      <c r="F44" s="30" t="str">
        <f>REPLACE(E44,4,4, )</f>
        <v>SDI</v>
      </c>
      <c r="G44" s="30" t="s">
        <v>91</v>
      </c>
      <c r="H44" s="34" t="s">
        <v>178</v>
      </c>
      <c r="I44" s="30" t="s">
        <v>196</v>
      </c>
      <c r="J44" s="51">
        <v>134000</v>
      </c>
      <c r="K44" s="52">
        <f>J44-M44</f>
        <v>6250</v>
      </c>
      <c r="L44" s="49" t="s">
        <v>94</v>
      </c>
      <c r="M44" s="53">
        <f>J44-N44</f>
        <v>127750</v>
      </c>
      <c r="N44" s="53">
        <f>2000+200+350+600+3100</f>
        <v>6250</v>
      </c>
      <c r="O44" s="55">
        <f>M44+N44</f>
        <v>134000</v>
      </c>
      <c r="P44" s="47">
        <v>63</v>
      </c>
      <c r="Q44" s="56">
        <v>134000</v>
      </c>
      <c r="R44" s="41">
        <f>O44-Q44</f>
        <v>0</v>
      </c>
      <c r="S44" s="67"/>
      <c r="T44" s="33" t="s">
        <v>185</v>
      </c>
      <c r="U44" s="57"/>
      <c r="V44" s="57">
        <f>U44+O44</f>
        <v>134000</v>
      </c>
      <c r="W44" s="57">
        <f>V44/0.7</f>
        <v>191428.57142857145</v>
      </c>
      <c r="X44" s="58">
        <f>W44/0.875</f>
        <v>218775.51020408166</v>
      </c>
      <c r="Y44" s="59">
        <f>(X44-W44)/X44</f>
        <v>0.125</v>
      </c>
      <c r="Z44" s="58">
        <f>(ROUNDUP((X44/100),0))*100</f>
        <v>218800</v>
      </c>
      <c r="AA44" s="178"/>
      <c r="AB44" s="178"/>
      <c r="AC44" s="177"/>
      <c r="AD44" s="177"/>
      <c r="AE44" s="179"/>
      <c r="AF44" s="179"/>
      <c r="AG44" s="179"/>
      <c r="AH44" s="179"/>
    </row>
    <row r="45" spans="1:35" s="91" customFormat="1" ht="14.45" customHeight="1" x14ac:dyDescent="0.2">
      <c r="A45" s="47">
        <v>66</v>
      </c>
      <c r="B45" s="48" t="str">
        <f>REPLACE(E45,1,3, )</f>
        <v xml:space="preserve"> 984</v>
      </c>
      <c r="C45" s="70" t="s">
        <v>200</v>
      </c>
      <c r="D45" s="49">
        <f>IF(E45=C45,0,1)</f>
        <v>0</v>
      </c>
      <c r="E45" s="47" t="s">
        <v>200</v>
      </c>
      <c r="F45" s="30" t="str">
        <f>REPLACE(E45,4,4, )</f>
        <v>SDI</v>
      </c>
      <c r="G45" s="30" t="s">
        <v>91</v>
      </c>
      <c r="H45" s="34" t="s">
        <v>178</v>
      </c>
      <c r="I45" s="30" t="s">
        <v>196</v>
      </c>
      <c r="J45" s="51">
        <v>134000</v>
      </c>
      <c r="K45" s="52">
        <f>J45-M45</f>
        <v>6250</v>
      </c>
      <c r="L45" s="49" t="s">
        <v>94</v>
      </c>
      <c r="M45" s="53">
        <f>J45-N45</f>
        <v>127750</v>
      </c>
      <c r="N45" s="53">
        <f>2000+200+350+600+3100</f>
        <v>6250</v>
      </c>
      <c r="O45" s="55">
        <f>M45+N45</f>
        <v>134000</v>
      </c>
      <c r="P45" s="47">
        <v>66</v>
      </c>
      <c r="Q45" s="56">
        <v>134000</v>
      </c>
      <c r="R45" s="41">
        <f>O45-Q45</f>
        <v>0</v>
      </c>
      <c r="S45" s="67"/>
      <c r="T45" s="33" t="s">
        <v>185</v>
      </c>
      <c r="U45" s="57"/>
      <c r="V45" s="57">
        <f>U45+O45</f>
        <v>134000</v>
      </c>
      <c r="W45" s="57">
        <f>V45/0.7</f>
        <v>191428.57142857145</v>
      </c>
      <c r="X45" s="58">
        <f>W45/0.875</f>
        <v>218775.51020408166</v>
      </c>
      <c r="Y45" s="59">
        <f>(X45-W45)/X45</f>
        <v>0.125</v>
      </c>
      <c r="Z45" s="58">
        <f>(ROUNDUP((X45/100),0))*100</f>
        <v>218800</v>
      </c>
      <c r="AA45" s="178"/>
      <c r="AB45" s="178"/>
      <c r="AC45" s="177"/>
      <c r="AD45" s="177"/>
      <c r="AE45" s="179"/>
      <c r="AF45" s="179"/>
      <c r="AG45" s="179"/>
      <c r="AH45" s="179"/>
    </row>
    <row r="46" spans="1:35" ht="14.45" customHeight="1" x14ac:dyDescent="0.2">
      <c r="A46" s="47">
        <v>111</v>
      </c>
      <c r="B46" s="48" t="str">
        <f>REPLACE(E46,1,3, )</f>
        <v xml:space="preserve"> 201</v>
      </c>
      <c r="C46" s="70" t="s">
        <v>287</v>
      </c>
      <c r="D46" s="49">
        <f>IF(E46=C46,0,1)</f>
        <v>0</v>
      </c>
      <c r="E46" s="49" t="s">
        <v>287</v>
      </c>
      <c r="F46" s="30" t="str">
        <f>REPLACE(E46,4,4, )</f>
        <v>SDK</v>
      </c>
      <c r="G46" s="33" t="s">
        <v>91</v>
      </c>
      <c r="H46" s="71" t="s">
        <v>261</v>
      </c>
      <c r="I46" s="33" t="s">
        <v>288</v>
      </c>
      <c r="J46" s="51">
        <v>97000</v>
      </c>
      <c r="K46" s="52">
        <f>J46-M46</f>
        <v>6450</v>
      </c>
      <c r="L46" s="49" t="s">
        <v>94</v>
      </c>
      <c r="M46" s="53">
        <f>J46-N46</f>
        <v>90550</v>
      </c>
      <c r="N46" s="53">
        <f>2000+200+350+600+300+3000</f>
        <v>6450</v>
      </c>
      <c r="O46" s="55">
        <f>M46+N46</f>
        <v>97000</v>
      </c>
      <c r="P46" s="47">
        <v>111</v>
      </c>
      <c r="Q46" s="56">
        <v>97000</v>
      </c>
      <c r="R46" s="41">
        <f>O46-Q46</f>
        <v>0</v>
      </c>
      <c r="S46" s="67"/>
      <c r="T46" s="33" t="s">
        <v>289</v>
      </c>
      <c r="U46" s="57">
        <v>1000</v>
      </c>
      <c r="V46" s="57">
        <f>U46+O46</f>
        <v>98000</v>
      </c>
      <c r="W46" s="57">
        <f>V46/0.7</f>
        <v>140000</v>
      </c>
      <c r="X46" s="58">
        <f>W46/0.875</f>
        <v>160000</v>
      </c>
      <c r="Y46" s="59">
        <f>(X46-W46)/X46</f>
        <v>0.125</v>
      </c>
      <c r="Z46" s="58">
        <f>(ROUNDUP((X46/100),0))*100</f>
        <v>160000</v>
      </c>
      <c r="AA46" s="178"/>
      <c r="AB46" s="178"/>
      <c r="AC46" s="177"/>
      <c r="AD46" s="177"/>
      <c r="AE46" s="179"/>
      <c r="AF46" s="179"/>
      <c r="AG46" s="179"/>
      <c r="AH46" s="179"/>
      <c r="AI46" s="85"/>
    </row>
    <row r="47" spans="1:35" ht="14.45" customHeight="1" x14ac:dyDescent="0.2">
      <c r="A47" s="47">
        <v>138</v>
      </c>
      <c r="B47" s="48" t="str">
        <f>REPLACE(E47,1,3, )</f>
        <v xml:space="preserve"> 258</v>
      </c>
      <c r="C47" s="32" t="s">
        <v>337</v>
      </c>
      <c r="D47" s="49">
        <f>IF(E47=C47,0,1)</f>
        <v>0</v>
      </c>
      <c r="E47" s="48" t="s">
        <v>337</v>
      </c>
      <c r="F47" s="30" t="str">
        <f>REPLACE(E47,4,4, )</f>
        <v>SDK</v>
      </c>
      <c r="G47" s="33" t="s">
        <v>34</v>
      </c>
      <c r="H47" s="71" t="s">
        <v>261</v>
      </c>
      <c r="I47" s="33" t="s">
        <v>288</v>
      </c>
      <c r="J47" s="51">
        <v>86500</v>
      </c>
      <c r="K47" s="52">
        <f>J47-M47</f>
        <v>6650</v>
      </c>
      <c r="L47" s="49" t="s">
        <v>94</v>
      </c>
      <c r="M47" s="53">
        <f>J47-N47</f>
        <v>79850</v>
      </c>
      <c r="N47" s="54">
        <f>2000+200+350+600+500+3000</f>
        <v>6650</v>
      </c>
      <c r="O47" s="55">
        <f>M47+N47</f>
        <v>86500</v>
      </c>
      <c r="P47" s="47">
        <v>138</v>
      </c>
      <c r="Q47" s="56">
        <v>86500</v>
      </c>
      <c r="R47" s="41">
        <f>O47-Q47</f>
        <v>0</v>
      </c>
      <c r="S47" s="67"/>
      <c r="T47" s="33" t="s">
        <v>338</v>
      </c>
      <c r="U47" s="57">
        <v>2000</v>
      </c>
      <c r="V47" s="57">
        <f>U47+O47</f>
        <v>88500</v>
      </c>
      <c r="W47" s="57">
        <f>V47/0.7</f>
        <v>126428.57142857143</v>
      </c>
      <c r="X47" s="58">
        <f>W47/0.875</f>
        <v>144489.79591836737</v>
      </c>
      <c r="Y47" s="59">
        <f>(X47-W47)/X47</f>
        <v>0.12500000000000008</v>
      </c>
      <c r="Z47" s="58">
        <f>(ROUNDUP((X47/100),0))*100</f>
        <v>144500</v>
      </c>
      <c r="AA47" s="58"/>
      <c r="AB47" s="58"/>
      <c r="AC47" s="180"/>
      <c r="AD47" s="180"/>
      <c r="AE47" s="176"/>
      <c r="AF47" s="176"/>
      <c r="AG47" s="176"/>
      <c r="AH47" s="176"/>
      <c r="AI47" s="85"/>
    </row>
    <row r="48" spans="1:35" ht="14.45" customHeight="1" x14ac:dyDescent="0.2">
      <c r="A48" s="47">
        <v>139</v>
      </c>
      <c r="B48" s="48" t="str">
        <f>REPLACE(E48,1,3, )</f>
        <v xml:space="preserve"> 317</v>
      </c>
      <c r="C48" s="32" t="s">
        <v>339</v>
      </c>
      <c r="D48" s="49">
        <f>IF(E48=C48,0,1)</f>
        <v>0</v>
      </c>
      <c r="E48" s="48" t="s">
        <v>339</v>
      </c>
      <c r="F48" s="30" t="str">
        <f>REPLACE(E48,4,4, )</f>
        <v>SDK</v>
      </c>
      <c r="G48" s="33" t="s">
        <v>34</v>
      </c>
      <c r="H48" s="71" t="s">
        <v>340</v>
      </c>
      <c r="I48" s="33" t="s">
        <v>288</v>
      </c>
      <c r="J48" s="51">
        <v>86500</v>
      </c>
      <c r="K48" s="52">
        <f>J48-M48</f>
        <v>6650</v>
      </c>
      <c r="L48" s="49" t="s">
        <v>94</v>
      </c>
      <c r="M48" s="53">
        <f>J48-N48</f>
        <v>79850</v>
      </c>
      <c r="N48" s="54">
        <f>2000+200+350+600+500+3000</f>
        <v>6650</v>
      </c>
      <c r="O48" s="55">
        <f>M48+N48</f>
        <v>86500</v>
      </c>
      <c r="P48" s="47">
        <v>139</v>
      </c>
      <c r="Q48" s="56">
        <v>86500</v>
      </c>
      <c r="R48" s="41">
        <f>O48-Q48</f>
        <v>0</v>
      </c>
      <c r="S48" s="67"/>
      <c r="T48" s="33" t="s">
        <v>338</v>
      </c>
      <c r="U48" s="57">
        <v>2000</v>
      </c>
      <c r="V48" s="57">
        <f>U48+O48</f>
        <v>88500</v>
      </c>
      <c r="W48" s="57">
        <f>V48/0.7</f>
        <v>126428.57142857143</v>
      </c>
      <c r="X48" s="58">
        <f>W48/0.875</f>
        <v>144489.79591836737</v>
      </c>
      <c r="Y48" s="59">
        <f>(X48-W48)/X48</f>
        <v>0.12500000000000008</v>
      </c>
      <c r="Z48" s="58">
        <f>(ROUNDUP((X48/100),0))*100</f>
        <v>144500</v>
      </c>
      <c r="AA48" s="58"/>
      <c r="AB48" s="58"/>
      <c r="AC48" s="180"/>
      <c r="AD48" s="180"/>
      <c r="AE48" s="176"/>
      <c r="AF48" s="176"/>
      <c r="AG48" s="176"/>
      <c r="AH48" s="176"/>
      <c r="AI48" s="85"/>
    </row>
    <row r="49" spans="1:35" ht="14.45" customHeight="1" x14ac:dyDescent="0.2">
      <c r="A49" s="47">
        <v>499</v>
      </c>
      <c r="B49" s="48" t="str">
        <f>REPLACE(E49,1,3, )</f>
        <v xml:space="preserve"> 340</v>
      </c>
      <c r="C49" s="32" t="s">
        <v>991</v>
      </c>
      <c r="D49" s="49">
        <f>IF(E49=C49,0,1)</f>
        <v>0</v>
      </c>
      <c r="E49" s="49" t="s">
        <v>991</v>
      </c>
      <c r="F49" s="30" t="str">
        <f>REPLACE(E49,4,4, )</f>
        <v>SDK</v>
      </c>
      <c r="G49" s="33" t="s">
        <v>91</v>
      </c>
      <c r="H49" s="34" t="s">
        <v>974</v>
      </c>
      <c r="I49" s="33" t="s">
        <v>288</v>
      </c>
      <c r="J49" s="51">
        <v>76500</v>
      </c>
      <c r="K49" s="52">
        <f>J49-M49</f>
        <v>4450</v>
      </c>
      <c r="L49" s="49" t="s">
        <v>94</v>
      </c>
      <c r="M49" s="53">
        <f>J49-N49</f>
        <v>72050</v>
      </c>
      <c r="N49" s="53">
        <f>2000+200+350+600+500+800</f>
        <v>4450</v>
      </c>
      <c r="O49" s="55">
        <f>M49+N49</f>
        <v>76500</v>
      </c>
      <c r="P49" s="47">
        <v>499</v>
      </c>
      <c r="Q49" s="56">
        <v>76500</v>
      </c>
      <c r="R49" s="41">
        <f>O49-Q49</f>
        <v>0</v>
      </c>
      <c r="S49" s="67"/>
      <c r="T49" s="33" t="s">
        <v>992</v>
      </c>
      <c r="U49" s="57"/>
      <c r="V49" s="57">
        <f>U49+O49</f>
        <v>76500</v>
      </c>
      <c r="W49" s="57">
        <f>V49/0.7</f>
        <v>109285.71428571429</v>
      </c>
      <c r="X49" s="58">
        <f>W49/0.875</f>
        <v>124897.95918367348</v>
      </c>
      <c r="Y49" s="59">
        <f>(X49-W49)/X49</f>
        <v>0.12500000000000003</v>
      </c>
      <c r="Z49" s="58">
        <f>(ROUNDUP((X49/100),0))*100</f>
        <v>124900</v>
      </c>
      <c r="AA49" s="178"/>
      <c r="AB49" s="178"/>
      <c r="AC49" s="177"/>
      <c r="AD49" s="177"/>
      <c r="AE49" s="179"/>
      <c r="AF49" s="179"/>
      <c r="AG49" s="179"/>
      <c r="AH49" s="179"/>
      <c r="AI49" s="85"/>
    </row>
    <row r="50" spans="1:35" ht="14.45" customHeight="1" x14ac:dyDescent="0.2">
      <c r="A50" s="30">
        <v>1</v>
      </c>
      <c r="B50" s="31" t="str">
        <f>REPLACE(E50,1,3, )</f>
        <v xml:space="preserve"> 239</v>
      </c>
      <c r="C50" s="32" t="s">
        <v>84</v>
      </c>
      <c r="D50" s="33">
        <f>IF(E50=C50,0,1)</f>
        <v>0</v>
      </c>
      <c r="E50" s="32" t="s">
        <v>84</v>
      </c>
      <c r="F50" s="30" t="str">
        <f>REPLACE(E50,4,4, )</f>
        <v>SDL</v>
      </c>
      <c r="G50" s="30" t="s">
        <v>34</v>
      </c>
      <c r="H50" s="34" t="s">
        <v>85</v>
      </c>
      <c r="I50" s="30" t="s">
        <v>86</v>
      </c>
      <c r="J50" s="35">
        <v>52000</v>
      </c>
      <c r="K50" s="35">
        <f>J50-M50</f>
        <v>0</v>
      </c>
      <c r="L50" s="36" t="s">
        <v>87</v>
      </c>
      <c r="M50" s="37">
        <f>J50</f>
        <v>52000</v>
      </c>
      <c r="N50" s="38">
        <f>2000+650+500+200+300</f>
        <v>3650</v>
      </c>
      <c r="O50" s="39">
        <f>M50+N50</f>
        <v>55650</v>
      </c>
      <c r="P50" s="30">
        <v>1</v>
      </c>
      <c r="Q50" s="40">
        <v>55650</v>
      </c>
      <c r="R50" s="41">
        <f>O50-Q50</f>
        <v>0</v>
      </c>
      <c r="S50" s="42" t="s">
        <v>88</v>
      </c>
      <c r="T50" s="43" t="s">
        <v>89</v>
      </c>
      <c r="U50" s="44">
        <v>3000</v>
      </c>
      <c r="V50" s="44">
        <f>U50+O50</f>
        <v>58650</v>
      </c>
      <c r="W50" s="44">
        <f>V50/0.7</f>
        <v>83785.71428571429</v>
      </c>
      <c r="X50" s="45">
        <f>W50/0.875</f>
        <v>95755.102040816331</v>
      </c>
      <c r="Y50" s="46">
        <f>(X50-W50)/X50</f>
        <v>0.125</v>
      </c>
      <c r="Z50" s="45">
        <f>(ROUNDUP((X50/100),0))*100</f>
        <v>95800</v>
      </c>
      <c r="AA50" s="45"/>
      <c r="AB50" s="45"/>
      <c r="AC50" s="183"/>
      <c r="AD50" s="183"/>
      <c r="AE50" s="184"/>
      <c r="AF50" s="184"/>
      <c r="AG50" s="184"/>
      <c r="AH50" s="184"/>
      <c r="AI50" s="85"/>
    </row>
    <row r="51" spans="1:35" ht="14.45" customHeight="1" x14ac:dyDescent="0.2">
      <c r="A51" s="47">
        <v>347</v>
      </c>
      <c r="B51" s="48" t="str">
        <f>REPLACE(E51,1,3, )</f>
        <v xml:space="preserve"> 570</v>
      </c>
      <c r="C51" s="70" t="s">
        <v>714</v>
      </c>
      <c r="D51" s="49">
        <f>IF(E51=C51,0,1)</f>
        <v>0</v>
      </c>
      <c r="E51" s="49" t="s">
        <v>714</v>
      </c>
      <c r="F51" s="30" t="str">
        <f>REPLACE(E51,4,4, )</f>
        <v>SDN</v>
      </c>
      <c r="G51" s="33" t="s">
        <v>91</v>
      </c>
      <c r="H51" s="71" t="s">
        <v>715</v>
      </c>
      <c r="I51" s="33" t="s">
        <v>658</v>
      </c>
      <c r="J51" s="51">
        <v>97500</v>
      </c>
      <c r="K51" s="52">
        <f>J51-M51</f>
        <v>6150</v>
      </c>
      <c r="L51" s="49" t="s">
        <v>94</v>
      </c>
      <c r="M51" s="53">
        <f>J51-N51</f>
        <v>91350</v>
      </c>
      <c r="N51" s="53">
        <v>6150</v>
      </c>
      <c r="O51" s="55">
        <f>M51+N51</f>
        <v>97500</v>
      </c>
      <c r="P51" s="47">
        <v>347</v>
      </c>
      <c r="Q51" s="56">
        <v>97500</v>
      </c>
      <c r="R51" s="41">
        <f>O51-Q51</f>
        <v>0</v>
      </c>
      <c r="S51" s="67"/>
      <c r="T51" s="33" t="s">
        <v>716</v>
      </c>
      <c r="U51" s="57"/>
      <c r="V51" s="57">
        <f>U51+O51</f>
        <v>97500</v>
      </c>
      <c r="W51" s="57">
        <f>V51/0.7</f>
        <v>139285.71428571429</v>
      </c>
      <c r="X51" s="58">
        <f>W51/0.875</f>
        <v>159183.67346938775</v>
      </c>
      <c r="Y51" s="59">
        <f>(X51-W51)/X51</f>
        <v>0.12499999999999996</v>
      </c>
      <c r="Z51" s="58">
        <f>(ROUNDUP((X51/100),0))*100</f>
        <v>159200</v>
      </c>
      <c r="AA51" s="178"/>
      <c r="AB51" s="178"/>
      <c r="AC51" s="177"/>
      <c r="AD51" s="177"/>
      <c r="AE51" s="179"/>
      <c r="AF51" s="179"/>
      <c r="AG51" s="179"/>
      <c r="AH51" s="179"/>
      <c r="AI51" s="85"/>
    </row>
    <row r="52" spans="1:35" ht="14.45" customHeight="1" x14ac:dyDescent="0.2">
      <c r="A52" s="47">
        <v>335</v>
      </c>
      <c r="B52" s="48" t="str">
        <f>REPLACE(E52,1,3, )</f>
        <v xml:space="preserve"> 758</v>
      </c>
      <c r="C52" s="70" t="s">
        <v>698</v>
      </c>
      <c r="D52" s="49">
        <f>IF(E52=C52,0,1)</f>
        <v>0</v>
      </c>
      <c r="E52" s="77" t="s">
        <v>698</v>
      </c>
      <c r="F52" s="30" t="str">
        <f>REPLACE(E52,4,4, )</f>
        <v>SDN</v>
      </c>
      <c r="G52" s="33" t="s">
        <v>34</v>
      </c>
      <c r="H52" s="71" t="s">
        <v>340</v>
      </c>
      <c r="I52" s="33" t="s">
        <v>658</v>
      </c>
      <c r="J52" s="51">
        <v>105000</v>
      </c>
      <c r="K52" s="52">
        <f>J52-M52</f>
        <v>6800</v>
      </c>
      <c r="L52" s="49" t="s">
        <v>94</v>
      </c>
      <c r="M52" s="53">
        <f>J52-N52</f>
        <v>98200</v>
      </c>
      <c r="N52" s="53">
        <v>6800</v>
      </c>
      <c r="O52" s="55">
        <f>M52+N52</f>
        <v>105000</v>
      </c>
      <c r="P52" s="47">
        <v>335</v>
      </c>
      <c r="Q52" s="56">
        <v>105000</v>
      </c>
      <c r="R52" s="41">
        <f>O52-Q52</f>
        <v>0</v>
      </c>
      <c r="S52" s="42"/>
      <c r="T52" s="33" t="s">
        <v>659</v>
      </c>
      <c r="U52" s="57">
        <v>-5000</v>
      </c>
      <c r="V52" s="57">
        <f>U52+O52</f>
        <v>100000</v>
      </c>
      <c r="W52" s="57">
        <f>V52/0.7</f>
        <v>142857.14285714287</v>
      </c>
      <c r="X52" s="58">
        <f>W52/0.875</f>
        <v>163265.30612244899</v>
      </c>
      <c r="Y52" s="59">
        <f>(X52-W52)/X52</f>
        <v>0.125</v>
      </c>
      <c r="Z52" s="58">
        <f>(ROUNDUP((X52/100),0))*100</f>
        <v>163300</v>
      </c>
      <c r="AA52" s="58"/>
      <c r="AB52" s="58"/>
      <c r="AC52" s="180"/>
      <c r="AD52" s="180"/>
      <c r="AE52" s="176"/>
      <c r="AF52" s="176"/>
      <c r="AG52" s="176"/>
      <c r="AH52" s="176"/>
      <c r="AI52" s="85"/>
    </row>
    <row r="53" spans="1:35" ht="14.45" customHeight="1" x14ac:dyDescent="0.2">
      <c r="A53" s="47">
        <v>314</v>
      </c>
      <c r="B53" s="48" t="str">
        <f>REPLACE(E53,1,3, )</f>
        <v xml:space="preserve"> 838</v>
      </c>
      <c r="C53" s="70" t="s">
        <v>657</v>
      </c>
      <c r="D53" s="49">
        <f>IF(E53=C53,0,1)</f>
        <v>0</v>
      </c>
      <c r="E53" s="49" t="s">
        <v>657</v>
      </c>
      <c r="F53" s="30" t="str">
        <f>REPLACE(E53,4,4, )</f>
        <v>SDN</v>
      </c>
      <c r="G53" s="33" t="s">
        <v>91</v>
      </c>
      <c r="H53" s="71" t="s">
        <v>644</v>
      </c>
      <c r="I53" s="33" t="s">
        <v>658</v>
      </c>
      <c r="J53" s="51">
        <v>102000</v>
      </c>
      <c r="K53" s="52">
        <f>J53-M53</f>
        <v>6800</v>
      </c>
      <c r="L53" s="49" t="s">
        <v>94</v>
      </c>
      <c r="M53" s="53">
        <f>J53-N53</f>
        <v>95200</v>
      </c>
      <c r="N53" s="53">
        <v>6800</v>
      </c>
      <c r="O53" s="55">
        <f>M53+N53</f>
        <v>102000</v>
      </c>
      <c r="P53" s="47">
        <v>314</v>
      </c>
      <c r="Q53" s="56">
        <v>102000</v>
      </c>
      <c r="R53" s="41">
        <f>O53-Q53</f>
        <v>0</v>
      </c>
      <c r="S53" s="67"/>
      <c r="T53" s="33" t="s">
        <v>659</v>
      </c>
      <c r="U53" s="57">
        <v>-1000</v>
      </c>
      <c r="V53" s="57">
        <f>U53+O53</f>
        <v>101000</v>
      </c>
      <c r="W53" s="57">
        <f>V53/0.7</f>
        <v>144285.71428571429</v>
      </c>
      <c r="X53" s="58">
        <f>W53/0.875</f>
        <v>164897.95918367346</v>
      </c>
      <c r="Y53" s="59">
        <f>(X53-W53)/X53</f>
        <v>0.12499999999999993</v>
      </c>
      <c r="Z53" s="58">
        <f>(ROUNDUP((X53/100),0))*100</f>
        <v>164900</v>
      </c>
      <c r="AA53" s="178"/>
      <c r="AB53" s="178"/>
      <c r="AC53" s="177"/>
      <c r="AD53" s="177"/>
      <c r="AE53" s="179"/>
      <c r="AF53" s="179"/>
      <c r="AG53" s="179"/>
      <c r="AH53" s="179"/>
      <c r="AI53" s="85"/>
    </row>
    <row r="54" spans="1:35" s="91" customFormat="1" ht="14.45" customHeight="1" x14ac:dyDescent="0.2">
      <c r="A54" s="47">
        <v>125</v>
      </c>
      <c r="B54" s="48" t="str">
        <f>REPLACE(E54,1,3, )</f>
        <v xml:space="preserve"> 939</v>
      </c>
      <c r="C54" s="70" t="s">
        <v>314</v>
      </c>
      <c r="D54" s="49">
        <f>IF(E54=C54,0,1)</f>
        <v>0</v>
      </c>
      <c r="E54" s="226" t="s">
        <v>314</v>
      </c>
      <c r="F54" s="30" t="str">
        <f>REPLACE(E54,4,4, )</f>
        <v>SDN</v>
      </c>
      <c r="G54" s="30" t="s">
        <v>91</v>
      </c>
      <c r="H54" s="71" t="s">
        <v>256</v>
      </c>
      <c r="I54" s="30" t="s">
        <v>315</v>
      </c>
      <c r="J54" s="51"/>
      <c r="K54" s="52">
        <f>J54-M54</f>
        <v>0</v>
      </c>
      <c r="L54" s="49"/>
      <c r="M54" s="53">
        <f>J54-N54</f>
        <v>0</v>
      </c>
      <c r="N54" s="53"/>
      <c r="O54" s="55">
        <f>M54+N54</f>
        <v>0</v>
      </c>
      <c r="P54" s="47">
        <v>125</v>
      </c>
      <c r="Q54" s="41"/>
      <c r="R54" s="41"/>
      <c r="S54" s="67"/>
      <c r="T54" s="33"/>
      <c r="U54" s="57"/>
      <c r="V54" s="57">
        <f>U54+O54</f>
        <v>0</v>
      </c>
      <c r="W54" s="57">
        <f>V54/0.7</f>
        <v>0</v>
      </c>
      <c r="X54" s="58">
        <f>W54/0.875</f>
        <v>0</v>
      </c>
      <c r="Y54" s="59" t="e">
        <f>(X54-W54)/X54</f>
        <v>#DIV/0!</v>
      </c>
      <c r="Z54" s="58">
        <f>(ROUNDUP((X54/100),0))*100</f>
        <v>0</v>
      </c>
      <c r="AA54" s="178"/>
      <c r="AB54" s="178"/>
      <c r="AC54" s="177"/>
      <c r="AD54" s="177"/>
      <c r="AE54" s="179"/>
      <c r="AF54" s="179"/>
      <c r="AG54" s="179"/>
      <c r="AH54" s="179"/>
    </row>
    <row r="55" spans="1:35" s="91" customFormat="1" ht="14.45" customHeight="1" x14ac:dyDescent="0.2">
      <c r="A55" s="47">
        <v>289</v>
      </c>
      <c r="B55" s="48" t="str">
        <f>REPLACE(E55,1,3, )</f>
        <v xml:space="preserve"> 211</v>
      </c>
      <c r="C55" s="70" t="s">
        <v>616</v>
      </c>
      <c r="D55" s="49">
        <f>IF(E55=C55,0,1)</f>
        <v>0</v>
      </c>
      <c r="E55" s="49" t="s">
        <v>616</v>
      </c>
      <c r="F55" s="30" t="str">
        <f>REPLACE(E55,4,4, )</f>
        <v>SDR</v>
      </c>
      <c r="G55" s="33" t="s">
        <v>91</v>
      </c>
      <c r="H55" s="34" t="s">
        <v>596</v>
      </c>
      <c r="I55" s="33" t="s">
        <v>165</v>
      </c>
      <c r="J55" s="51">
        <v>75000</v>
      </c>
      <c r="K55" s="52">
        <f>J55-M55</f>
        <v>3900</v>
      </c>
      <c r="L55" s="49" t="s">
        <v>94</v>
      </c>
      <c r="M55" s="53">
        <f>J55-N55</f>
        <v>71100</v>
      </c>
      <c r="N55" s="53">
        <f>2000+200+350+600+750</f>
        <v>3900</v>
      </c>
      <c r="O55" s="55">
        <f>M55+N55</f>
        <v>75000</v>
      </c>
      <c r="P55" s="47">
        <v>289</v>
      </c>
      <c r="Q55" s="56">
        <v>75000</v>
      </c>
      <c r="R55" s="41">
        <f>O55-Q55</f>
        <v>0</v>
      </c>
      <c r="S55" s="67"/>
      <c r="T55" s="33" t="s">
        <v>166</v>
      </c>
      <c r="U55" s="57">
        <v>2000</v>
      </c>
      <c r="V55" s="57">
        <f>U55+O55</f>
        <v>77000</v>
      </c>
      <c r="W55" s="57">
        <f>V55/0.7</f>
        <v>110000</v>
      </c>
      <c r="X55" s="58">
        <f>W55/0.875</f>
        <v>125714.28571428571</v>
      </c>
      <c r="Y55" s="59">
        <f>(X55-W55)/X55</f>
        <v>0.12499999999999997</v>
      </c>
      <c r="Z55" s="58">
        <f>(ROUNDUP((X55/100),0))*100</f>
        <v>125800</v>
      </c>
      <c r="AA55" s="178"/>
      <c r="AB55" s="178"/>
      <c r="AC55" s="177"/>
      <c r="AD55" s="177"/>
      <c r="AE55" s="179"/>
      <c r="AF55" s="179"/>
      <c r="AG55" s="179"/>
      <c r="AH55" s="179"/>
    </row>
    <row r="56" spans="1:35" s="91" customFormat="1" ht="14.45" customHeight="1" x14ac:dyDescent="0.2">
      <c r="A56" s="47">
        <v>288</v>
      </c>
      <c r="B56" s="48" t="str">
        <f>REPLACE(E56,1,3, )</f>
        <v xml:space="preserve"> 299</v>
      </c>
      <c r="C56" s="70" t="s">
        <v>615</v>
      </c>
      <c r="D56" s="49">
        <f>IF(E56=C56,0,1)</f>
        <v>0</v>
      </c>
      <c r="E56" s="49" t="s">
        <v>615</v>
      </c>
      <c r="F56" s="30" t="str">
        <f>REPLACE(E56,4,4, )</f>
        <v>SDR</v>
      </c>
      <c r="G56" s="33" t="s">
        <v>91</v>
      </c>
      <c r="H56" s="34" t="s">
        <v>596</v>
      </c>
      <c r="I56" s="33" t="s">
        <v>165</v>
      </c>
      <c r="J56" s="51">
        <v>75000</v>
      </c>
      <c r="K56" s="52">
        <f>J56-M56</f>
        <v>3900</v>
      </c>
      <c r="L56" s="49" t="s">
        <v>94</v>
      </c>
      <c r="M56" s="53">
        <f>J56-N56</f>
        <v>71100</v>
      </c>
      <c r="N56" s="53">
        <f>2000+200+350+600+750</f>
        <v>3900</v>
      </c>
      <c r="O56" s="55">
        <f>M56+N56</f>
        <v>75000</v>
      </c>
      <c r="P56" s="47">
        <v>288</v>
      </c>
      <c r="Q56" s="56">
        <v>75000</v>
      </c>
      <c r="R56" s="41">
        <f>O56-Q56</f>
        <v>0</v>
      </c>
      <c r="S56" s="67"/>
      <c r="T56" s="33" t="s">
        <v>166</v>
      </c>
      <c r="U56" s="57">
        <v>2000</v>
      </c>
      <c r="V56" s="57">
        <f>U56+O56</f>
        <v>77000</v>
      </c>
      <c r="W56" s="57">
        <f>V56/0.7</f>
        <v>110000</v>
      </c>
      <c r="X56" s="58">
        <f>W56/0.875</f>
        <v>125714.28571428571</v>
      </c>
      <c r="Y56" s="59">
        <f>(X56-W56)/X56</f>
        <v>0.12499999999999997</v>
      </c>
      <c r="Z56" s="58">
        <f>(ROUNDUP((X56/100),0))*100</f>
        <v>125800</v>
      </c>
      <c r="AA56" s="178"/>
      <c r="AB56" s="178"/>
      <c r="AC56" s="177"/>
      <c r="AD56" s="177"/>
      <c r="AE56" s="179"/>
      <c r="AF56" s="179"/>
      <c r="AG56" s="179"/>
      <c r="AH56" s="179"/>
    </row>
    <row r="57" spans="1:35" s="91" customFormat="1" ht="14.45" customHeight="1" x14ac:dyDescent="0.2">
      <c r="A57" s="47">
        <v>46</v>
      </c>
      <c r="B57" s="48" t="str">
        <f>REPLACE(E57,1,3, )</f>
        <v xml:space="preserve"> 388</v>
      </c>
      <c r="C57" s="70" t="s">
        <v>167</v>
      </c>
      <c r="D57" s="49">
        <f>IF(E57=C57,0,1)</f>
        <v>0</v>
      </c>
      <c r="E57" s="49" t="s">
        <v>167</v>
      </c>
      <c r="F57" s="30" t="str">
        <f>REPLACE(E57,4,4, )</f>
        <v>SDR</v>
      </c>
      <c r="G57" s="33" t="s">
        <v>91</v>
      </c>
      <c r="H57" s="71" t="s">
        <v>163</v>
      </c>
      <c r="I57" s="33" t="s">
        <v>165</v>
      </c>
      <c r="J57" s="51">
        <v>72500</v>
      </c>
      <c r="K57" s="52">
        <f>J57-M57</f>
        <v>3900</v>
      </c>
      <c r="L57" s="49" t="s">
        <v>94</v>
      </c>
      <c r="M57" s="53">
        <f>J57-N57</f>
        <v>68600</v>
      </c>
      <c r="N57" s="53">
        <f>2000+200+350+600+750</f>
        <v>3900</v>
      </c>
      <c r="O57" s="55">
        <f>M57+N57</f>
        <v>72500</v>
      </c>
      <c r="P57" s="47">
        <v>46</v>
      </c>
      <c r="Q57" s="56">
        <v>72500</v>
      </c>
      <c r="R57" s="41">
        <f>O57-Q57</f>
        <v>0</v>
      </c>
      <c r="S57" s="67"/>
      <c r="T57" s="33" t="s">
        <v>166</v>
      </c>
      <c r="U57" s="57">
        <v>2000</v>
      </c>
      <c r="V57" s="57">
        <f>U57+O57</f>
        <v>74500</v>
      </c>
      <c r="W57" s="57">
        <f>V57/0.7</f>
        <v>106428.57142857143</v>
      </c>
      <c r="X57" s="58">
        <f>W57/0.875</f>
        <v>121632.6530612245</v>
      </c>
      <c r="Y57" s="59">
        <f>(X57-W57)/X57</f>
        <v>0.125</v>
      </c>
      <c r="Z57" s="58">
        <f>(ROUNDUP((X57/100),0))*100</f>
        <v>121700</v>
      </c>
      <c r="AA57" s="178" t="s">
        <v>1780</v>
      </c>
      <c r="AB57" s="224">
        <v>43420</v>
      </c>
      <c r="AC57" s="177" t="s">
        <v>1780</v>
      </c>
      <c r="AD57" s="224">
        <v>43431</v>
      </c>
      <c r="AE57" s="179">
        <v>68550</v>
      </c>
      <c r="AF57" s="233" t="s">
        <v>1784</v>
      </c>
      <c r="AG57" s="233">
        <v>3950</v>
      </c>
      <c r="AH57" s="233">
        <v>72500</v>
      </c>
    </row>
    <row r="58" spans="1:35" ht="14.45" customHeight="1" x14ac:dyDescent="0.2">
      <c r="A58" s="47">
        <v>291</v>
      </c>
      <c r="B58" s="48" t="str">
        <f>REPLACE(E58,1,3, )</f>
        <v xml:space="preserve"> 653</v>
      </c>
      <c r="C58" s="70" t="s">
        <v>618</v>
      </c>
      <c r="D58" s="49">
        <f>IF(E58=C58,0,1)</f>
        <v>0</v>
      </c>
      <c r="E58" s="48" t="s">
        <v>618</v>
      </c>
      <c r="F58" s="30" t="str">
        <f>REPLACE(E58,4,4, )</f>
        <v>SDR</v>
      </c>
      <c r="G58" s="33" t="s">
        <v>34</v>
      </c>
      <c r="H58" s="71" t="s">
        <v>612</v>
      </c>
      <c r="I58" s="33" t="s">
        <v>165</v>
      </c>
      <c r="J58" s="51">
        <v>70000</v>
      </c>
      <c r="K58" s="52">
        <f>J58-M58</f>
        <v>3900</v>
      </c>
      <c r="L58" s="49" t="s">
        <v>94</v>
      </c>
      <c r="M58" s="53">
        <f>J58-N58</f>
        <v>66100</v>
      </c>
      <c r="N58" s="54">
        <f>2000+200+350+600+750</f>
        <v>3900</v>
      </c>
      <c r="O58" s="55">
        <f>M58+N58</f>
        <v>70000</v>
      </c>
      <c r="P58" s="47">
        <v>291</v>
      </c>
      <c r="Q58" s="56">
        <v>70000</v>
      </c>
      <c r="R58" s="41">
        <f>O58-Q58</f>
        <v>0</v>
      </c>
      <c r="S58" s="67"/>
      <c r="T58" s="33" t="s">
        <v>166</v>
      </c>
      <c r="U58" s="57">
        <v>5000</v>
      </c>
      <c r="V58" s="57">
        <f>U58+O58</f>
        <v>75000</v>
      </c>
      <c r="W58" s="57">
        <f>V58/0.7</f>
        <v>107142.85714285714</v>
      </c>
      <c r="X58" s="58">
        <f>W58/0.875</f>
        <v>122448.97959183673</v>
      </c>
      <c r="Y58" s="59">
        <f>(X58-W58)/X58</f>
        <v>0.12499999999999996</v>
      </c>
      <c r="Z58" s="58">
        <f>(ROUNDUP((X58/100),0))*100</f>
        <v>122500</v>
      </c>
      <c r="AA58" s="58"/>
      <c r="AB58" s="58"/>
      <c r="AC58" s="180"/>
      <c r="AD58" s="180"/>
      <c r="AE58" s="176"/>
      <c r="AF58" s="176"/>
      <c r="AG58" s="176"/>
      <c r="AH58" s="176"/>
      <c r="AI58" s="85"/>
    </row>
    <row r="59" spans="1:35" s="91" customFormat="1" ht="14.45" customHeight="1" x14ac:dyDescent="0.2">
      <c r="A59" s="47">
        <v>45</v>
      </c>
      <c r="B59" s="48" t="str">
        <f>REPLACE(E59,1,3, )</f>
        <v xml:space="preserve"> 823</v>
      </c>
      <c r="C59" s="70" t="s">
        <v>164</v>
      </c>
      <c r="D59" s="49">
        <f>IF(E59=C59,0,1)</f>
        <v>0</v>
      </c>
      <c r="E59" s="49" t="s">
        <v>164</v>
      </c>
      <c r="F59" s="30" t="str">
        <f>REPLACE(E59,4,4, )</f>
        <v>SDR</v>
      </c>
      <c r="G59" s="33" t="s">
        <v>91</v>
      </c>
      <c r="H59" s="71" t="s">
        <v>160</v>
      </c>
      <c r="I59" s="33" t="s">
        <v>165</v>
      </c>
      <c r="J59" s="51">
        <v>72500</v>
      </c>
      <c r="K59" s="52">
        <f>J59-M59</f>
        <v>3900</v>
      </c>
      <c r="L59" s="49" t="s">
        <v>94</v>
      </c>
      <c r="M59" s="53">
        <f>J59-N59</f>
        <v>68600</v>
      </c>
      <c r="N59" s="53">
        <f>2000+200+350+600+750</f>
        <v>3900</v>
      </c>
      <c r="O59" s="55">
        <f>M59+N59</f>
        <v>72500</v>
      </c>
      <c r="P59" s="47">
        <v>45</v>
      </c>
      <c r="Q59" s="56">
        <v>72500</v>
      </c>
      <c r="R59" s="41">
        <f>O59-Q59</f>
        <v>0</v>
      </c>
      <c r="S59" s="67"/>
      <c r="T59" s="33" t="s">
        <v>166</v>
      </c>
      <c r="U59" s="57"/>
      <c r="V59" s="57">
        <f>U59+O59</f>
        <v>72500</v>
      </c>
      <c r="W59" s="57">
        <f>V59/0.7</f>
        <v>103571.42857142858</v>
      </c>
      <c r="X59" s="58">
        <f>W59/0.875</f>
        <v>118367.34693877552</v>
      </c>
      <c r="Y59" s="59">
        <f>(X59-W59)/X59</f>
        <v>0.12499999999999999</v>
      </c>
      <c r="Z59" s="58">
        <f>(ROUNDUP((X59/100),0))*100</f>
        <v>118400</v>
      </c>
      <c r="AA59" s="178" t="s">
        <v>1780</v>
      </c>
      <c r="AB59" s="224">
        <v>43420</v>
      </c>
      <c r="AC59" s="177" t="s">
        <v>1780</v>
      </c>
      <c r="AD59" s="224">
        <v>43431</v>
      </c>
      <c r="AE59" s="179">
        <v>68550</v>
      </c>
      <c r="AF59" s="233" t="s">
        <v>1784</v>
      </c>
      <c r="AG59" s="233">
        <v>3950</v>
      </c>
      <c r="AH59" s="233">
        <v>72500</v>
      </c>
    </row>
    <row r="60" spans="1:35" ht="14.45" customHeight="1" x14ac:dyDescent="0.2">
      <c r="A60" s="47">
        <v>290</v>
      </c>
      <c r="B60" s="48" t="str">
        <f>REPLACE(E60,1,3, )</f>
        <v xml:space="preserve"> 900</v>
      </c>
      <c r="C60" s="70" t="s">
        <v>617</v>
      </c>
      <c r="D60" s="49">
        <f>IF(E60=C60,0,1)</f>
        <v>0</v>
      </c>
      <c r="E60" s="48" t="s">
        <v>617</v>
      </c>
      <c r="F60" s="30" t="str">
        <f>REPLACE(E60,4,4, )</f>
        <v>SDR</v>
      </c>
      <c r="G60" s="33" t="s">
        <v>34</v>
      </c>
      <c r="H60" s="71" t="s">
        <v>612</v>
      </c>
      <c r="I60" s="33" t="s">
        <v>165</v>
      </c>
      <c r="J60" s="51">
        <v>70000</v>
      </c>
      <c r="K60" s="52">
        <f>J60-M60</f>
        <v>3900</v>
      </c>
      <c r="L60" s="49" t="s">
        <v>94</v>
      </c>
      <c r="M60" s="53">
        <f>J60-N60</f>
        <v>66100</v>
      </c>
      <c r="N60" s="54">
        <f>2000+200+350+600+750</f>
        <v>3900</v>
      </c>
      <c r="O60" s="55">
        <f>M60+N60</f>
        <v>70000</v>
      </c>
      <c r="P60" s="47">
        <v>290</v>
      </c>
      <c r="Q60" s="56">
        <v>70000</v>
      </c>
      <c r="R60" s="41">
        <f>O60-Q60</f>
        <v>0</v>
      </c>
      <c r="S60" s="67"/>
      <c r="T60" s="33" t="s">
        <v>166</v>
      </c>
      <c r="U60" s="57">
        <v>5000</v>
      </c>
      <c r="V60" s="57">
        <f>U60+O60</f>
        <v>75000</v>
      </c>
      <c r="W60" s="57">
        <f>V60/0.7</f>
        <v>107142.85714285714</v>
      </c>
      <c r="X60" s="58">
        <f>W60/0.875</f>
        <v>122448.97959183673</v>
      </c>
      <c r="Y60" s="59">
        <f>(X60-W60)/X60</f>
        <v>0.12499999999999996</v>
      </c>
      <c r="Z60" s="58">
        <f>(ROUNDUP((X60/100),0))*100</f>
        <v>122500</v>
      </c>
      <c r="AA60" s="58"/>
      <c r="AB60" s="58"/>
      <c r="AC60" s="180"/>
      <c r="AD60" s="180"/>
      <c r="AE60" s="176"/>
      <c r="AF60" s="176"/>
      <c r="AG60" s="176"/>
      <c r="AH60" s="176"/>
      <c r="AI60" s="85"/>
    </row>
    <row r="61" spans="1:35" s="91" customFormat="1" ht="14.45" customHeight="1" x14ac:dyDescent="0.2">
      <c r="A61" s="47">
        <v>71</v>
      </c>
      <c r="B61" s="48" t="str">
        <f>REPLACE(E61,1,3, )</f>
        <v xml:space="preserve"> 133</v>
      </c>
      <c r="C61" s="70" t="s">
        <v>205</v>
      </c>
      <c r="D61" s="49">
        <f>IF(E61=C61,0,1)</f>
        <v>0</v>
      </c>
      <c r="E61" s="47" t="s">
        <v>205</v>
      </c>
      <c r="F61" s="30" t="str">
        <f>REPLACE(E61,4,4, )</f>
        <v>SDT</v>
      </c>
      <c r="G61" s="30" t="s">
        <v>91</v>
      </c>
      <c r="H61" s="34" t="s">
        <v>178</v>
      </c>
      <c r="I61" s="30" t="s">
        <v>206</v>
      </c>
      <c r="J61" s="51">
        <v>140000</v>
      </c>
      <c r="K61" s="52">
        <f>J61-M61</f>
        <v>6250</v>
      </c>
      <c r="L61" s="49"/>
      <c r="M61" s="53">
        <f>J61-N61</f>
        <v>133750</v>
      </c>
      <c r="N61" s="53">
        <f>2000+200+350+600+3100</f>
        <v>6250</v>
      </c>
      <c r="O61" s="55">
        <f>M61+N61</f>
        <v>140000</v>
      </c>
      <c r="P61" s="47">
        <v>71</v>
      </c>
      <c r="Q61" s="56">
        <v>140000</v>
      </c>
      <c r="R61" s="41">
        <f>O61-Q61</f>
        <v>0</v>
      </c>
      <c r="S61" s="67"/>
      <c r="T61" s="33" t="s">
        <v>185</v>
      </c>
      <c r="U61" s="57"/>
      <c r="V61" s="57">
        <f>U61+O61</f>
        <v>140000</v>
      </c>
      <c r="W61" s="57">
        <f>V61/0.7</f>
        <v>200000</v>
      </c>
      <c r="X61" s="58">
        <f>W61/0.875</f>
        <v>228571.42857142858</v>
      </c>
      <c r="Y61" s="59">
        <f>(X61-W61)/X61</f>
        <v>0.12500000000000003</v>
      </c>
      <c r="Z61" s="58">
        <f>(ROUNDUP((X61/100),0))*100</f>
        <v>228600</v>
      </c>
      <c r="AA61" s="178"/>
      <c r="AB61" s="178"/>
      <c r="AC61" s="177"/>
      <c r="AD61" s="177"/>
      <c r="AE61" s="179"/>
      <c r="AF61" s="179"/>
      <c r="AG61" s="179"/>
      <c r="AH61" s="179"/>
    </row>
    <row r="62" spans="1:35" s="91" customFormat="1" ht="14.45" customHeight="1" x14ac:dyDescent="0.2">
      <c r="A62" s="47">
        <v>447</v>
      </c>
      <c r="B62" s="48" t="str">
        <f>REPLACE(E62,1,3, )</f>
        <v xml:space="preserve"> 369</v>
      </c>
      <c r="C62" s="32" t="s">
        <v>899</v>
      </c>
      <c r="D62" s="49">
        <f>IF(E62=C62,0,1)</f>
        <v>0</v>
      </c>
      <c r="E62" s="50" t="s">
        <v>899</v>
      </c>
      <c r="F62" s="30" t="str">
        <f>REPLACE(E62,4,4, )</f>
        <v>SDY</v>
      </c>
      <c r="G62" s="30" t="s">
        <v>34</v>
      </c>
      <c r="H62" s="34" t="s">
        <v>878</v>
      </c>
      <c r="I62" s="30" t="s">
        <v>557</v>
      </c>
      <c r="J62" s="51">
        <v>28500</v>
      </c>
      <c r="K62" s="52">
        <f>J62-M62</f>
        <v>4450</v>
      </c>
      <c r="L62" s="49" t="s">
        <v>94</v>
      </c>
      <c r="M62" s="53">
        <f>J62-N62</f>
        <v>24050</v>
      </c>
      <c r="N62" s="54">
        <f>2000+1650+600+200</f>
        <v>4450</v>
      </c>
      <c r="O62" s="55">
        <f>M62+N62</f>
        <v>28500</v>
      </c>
      <c r="P62" s="47">
        <v>447</v>
      </c>
      <c r="Q62" s="56">
        <v>28500</v>
      </c>
      <c r="R62" s="41">
        <f>O62-Q62</f>
        <v>0</v>
      </c>
      <c r="S62" s="67"/>
      <c r="T62" s="33" t="s">
        <v>558</v>
      </c>
      <c r="U62" s="57">
        <v>6000</v>
      </c>
      <c r="V62" s="57">
        <f>U62+O62</f>
        <v>34500</v>
      </c>
      <c r="W62" s="57">
        <f>V62/0.7</f>
        <v>49285.71428571429</v>
      </c>
      <c r="X62" s="58">
        <f>W62/0.875</f>
        <v>56326.530612244904</v>
      </c>
      <c r="Y62" s="59">
        <f>(X62-W62)/X62</f>
        <v>0.12500000000000003</v>
      </c>
      <c r="Z62" s="58">
        <f>(ROUNDUP((X62/100),0))*100</f>
        <v>56400</v>
      </c>
      <c r="AA62" s="58"/>
      <c r="AB62" s="58"/>
      <c r="AC62" s="180"/>
      <c r="AD62" s="180"/>
      <c r="AE62" s="176"/>
      <c r="AF62" s="176"/>
      <c r="AG62" s="176"/>
      <c r="AH62" s="176"/>
    </row>
    <row r="63" spans="1:35" ht="14.45" customHeight="1" x14ac:dyDescent="0.2">
      <c r="A63" s="47">
        <v>252</v>
      </c>
      <c r="B63" s="48" t="str">
        <f>REPLACE(E63,1,3, )</f>
        <v xml:space="preserve"> 797</v>
      </c>
      <c r="C63" s="70" t="s">
        <v>556</v>
      </c>
      <c r="D63" s="49">
        <f>IF(E63=C63,0,1)</f>
        <v>0</v>
      </c>
      <c r="E63" s="47" t="s">
        <v>556</v>
      </c>
      <c r="F63" s="30" t="str">
        <f>REPLACE(E63,4,4, )</f>
        <v>SDY</v>
      </c>
      <c r="G63" s="30" t="s">
        <v>91</v>
      </c>
      <c r="H63" s="71" t="s">
        <v>545</v>
      </c>
      <c r="I63" s="30" t="s">
        <v>557</v>
      </c>
      <c r="J63" s="51">
        <f>47500</f>
        <v>47500</v>
      </c>
      <c r="K63" s="52">
        <f>J63-M63</f>
        <v>5450</v>
      </c>
      <c r="L63" s="49" t="s">
        <v>94</v>
      </c>
      <c r="M63" s="53">
        <f>J63-N63</f>
        <v>42050</v>
      </c>
      <c r="N63" s="53">
        <f>2000+2000+600+200+650</f>
        <v>5450</v>
      </c>
      <c r="O63" s="55">
        <f>M63+N63</f>
        <v>47500</v>
      </c>
      <c r="P63" s="47">
        <v>252</v>
      </c>
      <c r="Q63" s="56">
        <v>47500</v>
      </c>
      <c r="R63" s="41">
        <f>O63-Q63</f>
        <v>0</v>
      </c>
      <c r="S63" s="42"/>
      <c r="T63" s="33" t="s">
        <v>558</v>
      </c>
      <c r="U63" s="57"/>
      <c r="V63" s="57">
        <f>U63+O63</f>
        <v>47500</v>
      </c>
      <c r="W63" s="57">
        <f>V63/0.7</f>
        <v>67857.142857142855</v>
      </c>
      <c r="X63" s="58">
        <f>W63/0.875</f>
        <v>77551.020408163269</v>
      </c>
      <c r="Y63" s="59">
        <f>(X63-W63)/X63</f>
        <v>0.12500000000000008</v>
      </c>
      <c r="Z63" s="58">
        <f>(ROUNDUP((X63/100),0))*100</f>
        <v>77600</v>
      </c>
      <c r="AA63" s="178"/>
      <c r="AB63" s="178"/>
      <c r="AC63" s="177"/>
      <c r="AD63" s="177"/>
      <c r="AE63" s="179"/>
      <c r="AF63" s="179"/>
      <c r="AG63" s="179"/>
      <c r="AH63" s="179"/>
      <c r="AI63" s="85"/>
    </row>
    <row r="64" spans="1:35" ht="14.45" customHeight="1" x14ac:dyDescent="0.2">
      <c r="A64" s="47">
        <v>155</v>
      </c>
      <c r="B64" s="48" t="str">
        <f>REPLACE(E64,1,3, )</f>
        <v xml:space="preserve"> 276</v>
      </c>
      <c r="C64" s="70" t="s">
        <v>370</v>
      </c>
      <c r="D64" s="49">
        <f>IF(E64=C64,0,1)</f>
        <v>0</v>
      </c>
      <c r="E64" s="47" t="s">
        <v>370</v>
      </c>
      <c r="F64" s="30" t="str">
        <f>REPLACE(E64,4,4, )</f>
        <v>SFA</v>
      </c>
      <c r="G64" s="30" t="s">
        <v>91</v>
      </c>
      <c r="H64" s="71" t="s">
        <v>360</v>
      </c>
      <c r="I64" s="30" t="s">
        <v>371</v>
      </c>
      <c r="J64" s="51">
        <v>85000</v>
      </c>
      <c r="K64" s="52">
        <f>J64-M64</f>
        <v>7400</v>
      </c>
      <c r="L64" s="49" t="s">
        <v>94</v>
      </c>
      <c r="M64" s="53">
        <f>J64-N64</f>
        <v>77600</v>
      </c>
      <c r="N64" s="53">
        <f>2000+200+600+1000+3600</f>
        <v>7400</v>
      </c>
      <c r="O64" s="55">
        <f>M64+N64</f>
        <v>85000</v>
      </c>
      <c r="P64" s="47">
        <v>155</v>
      </c>
      <c r="Q64" s="56">
        <v>85000</v>
      </c>
      <c r="R64" s="41">
        <f>O64-Q64</f>
        <v>0</v>
      </c>
      <c r="S64" s="67"/>
      <c r="T64" s="33"/>
      <c r="U64" s="57"/>
      <c r="V64" s="57">
        <f>U64+O64</f>
        <v>85000</v>
      </c>
      <c r="W64" s="57">
        <f>V64/0.7</f>
        <v>121428.57142857143</v>
      </c>
      <c r="X64" s="58">
        <f>W64/0.875</f>
        <v>138775.51020408163</v>
      </c>
      <c r="Y64" s="59">
        <f>(X64-W64)/X64</f>
        <v>0.12499999999999992</v>
      </c>
      <c r="Z64" s="58">
        <f>(ROUNDUP((X64/100),0))*100</f>
        <v>138800</v>
      </c>
      <c r="AA64" s="178"/>
      <c r="AB64" s="178"/>
      <c r="AC64" s="177"/>
      <c r="AD64" s="177"/>
      <c r="AE64" s="179"/>
      <c r="AF64" s="179"/>
      <c r="AG64" s="179"/>
      <c r="AH64" s="179"/>
      <c r="AI64" s="85"/>
    </row>
    <row r="65" spans="1:35" s="91" customFormat="1" ht="14.25" customHeight="1" x14ac:dyDescent="0.2">
      <c r="A65" s="47">
        <v>204</v>
      </c>
      <c r="B65" s="48" t="str">
        <f>REPLACE(E65,1,3, )</f>
        <v xml:space="preserve"> 635</v>
      </c>
      <c r="C65" s="70" t="s">
        <v>465</v>
      </c>
      <c r="D65" s="49">
        <f>IF(E65=C65,0,1)</f>
        <v>0</v>
      </c>
      <c r="E65" s="30" t="s">
        <v>465</v>
      </c>
      <c r="F65" s="30" t="str">
        <f>REPLACE(E65,4,4, )</f>
        <v>SFA</v>
      </c>
      <c r="G65" s="30" t="s">
        <v>91</v>
      </c>
      <c r="H65" s="71" t="s">
        <v>441</v>
      </c>
      <c r="I65" s="30" t="s">
        <v>466</v>
      </c>
      <c r="J65" s="51">
        <v>35000</v>
      </c>
      <c r="K65" s="52">
        <v>0</v>
      </c>
      <c r="L65" s="60" t="s">
        <v>97</v>
      </c>
      <c r="M65" s="62">
        <v>35000</v>
      </c>
      <c r="N65" s="53">
        <v>6300</v>
      </c>
      <c r="O65" s="55">
        <v>41300</v>
      </c>
      <c r="P65" s="47">
        <v>204</v>
      </c>
      <c r="Q65" s="41"/>
      <c r="R65" s="41"/>
      <c r="S65" s="67"/>
      <c r="T65" s="33"/>
      <c r="U65" s="57"/>
      <c r="V65" s="57">
        <f>U65+O65</f>
        <v>41300</v>
      </c>
      <c r="W65" s="57">
        <f>V65/0.7</f>
        <v>59000.000000000007</v>
      </c>
      <c r="X65" s="58">
        <f>W65/0.875</f>
        <v>67428.571428571435</v>
      </c>
      <c r="Y65" s="59">
        <f>(X65-W65)/X65</f>
        <v>0.12499999999999997</v>
      </c>
      <c r="Z65" s="58">
        <f>(ROUNDUP((X65/100),0))*100</f>
        <v>67500</v>
      </c>
      <c r="AA65" s="178"/>
      <c r="AB65" s="178"/>
      <c r="AC65" s="177"/>
      <c r="AD65" s="177"/>
      <c r="AE65" s="179"/>
      <c r="AF65" s="179"/>
      <c r="AG65" s="179"/>
      <c r="AH65" s="179"/>
    </row>
    <row r="66" spans="1:35" ht="14.25" customHeight="1" x14ac:dyDescent="0.2">
      <c r="A66" s="47">
        <v>223</v>
      </c>
      <c r="B66" s="48" t="str">
        <f>REPLACE(E66,1,3, )</f>
        <v xml:space="preserve"> 898</v>
      </c>
      <c r="C66" s="70" t="s">
        <v>504</v>
      </c>
      <c r="D66" s="49">
        <f>IF(E66=C66,0,1)</f>
        <v>0</v>
      </c>
      <c r="E66" s="47" t="s">
        <v>504</v>
      </c>
      <c r="F66" s="30" t="str">
        <f>REPLACE(E66,4,4, )</f>
        <v>SFA</v>
      </c>
      <c r="G66" s="30" t="s">
        <v>91</v>
      </c>
      <c r="H66" s="34" t="s">
        <v>493</v>
      </c>
      <c r="I66" s="30" t="s">
        <v>371</v>
      </c>
      <c r="J66" s="51">
        <v>76000</v>
      </c>
      <c r="K66" s="52">
        <f>J66-M66</f>
        <v>6800</v>
      </c>
      <c r="L66" s="49" t="s">
        <v>94</v>
      </c>
      <c r="M66" s="53">
        <f>J66-N66</f>
        <v>69200</v>
      </c>
      <c r="N66" s="53">
        <f>2000+200+600+1000+3000</f>
        <v>6800</v>
      </c>
      <c r="O66" s="55">
        <f>M66+N66</f>
        <v>76000</v>
      </c>
      <c r="P66" s="47">
        <v>223</v>
      </c>
      <c r="Q66" s="56">
        <v>76000</v>
      </c>
      <c r="R66" s="41">
        <f>O66-Q66</f>
        <v>0</v>
      </c>
      <c r="S66" s="67"/>
      <c r="T66" s="33"/>
      <c r="U66" s="57"/>
      <c r="V66" s="57">
        <f>U66+O66</f>
        <v>76000</v>
      </c>
      <c r="W66" s="57">
        <f>V66/0.7</f>
        <v>108571.42857142858</v>
      </c>
      <c r="X66" s="58">
        <f>W66/0.875</f>
        <v>124081.63265306123</v>
      </c>
      <c r="Y66" s="59">
        <f>(X66-W66)/X66</f>
        <v>0.12499999999999996</v>
      </c>
      <c r="Z66" s="58">
        <f>(ROUNDUP((X66/100),0))*100</f>
        <v>124100</v>
      </c>
      <c r="AA66" s="178"/>
      <c r="AB66" s="178"/>
      <c r="AC66" s="177"/>
      <c r="AD66" s="177"/>
      <c r="AE66" s="179"/>
      <c r="AF66" s="179"/>
      <c r="AG66" s="179"/>
      <c r="AH66" s="179"/>
      <c r="AI66" s="85"/>
    </row>
    <row r="67" spans="1:35" ht="14.25" customHeight="1" x14ac:dyDescent="0.2">
      <c r="A67" s="47">
        <v>273</v>
      </c>
      <c r="B67" s="48" t="str">
        <f>REPLACE(E67,1,3, )</f>
        <v xml:space="preserve"> 218</v>
      </c>
      <c r="C67" s="70" t="s">
        <v>590</v>
      </c>
      <c r="D67" s="49">
        <f>IF(E67=C67,0,1)</f>
        <v>0</v>
      </c>
      <c r="E67" s="47" t="s">
        <v>590</v>
      </c>
      <c r="F67" s="30" t="str">
        <f>REPLACE(E67,4,4, )</f>
        <v>SFC</v>
      </c>
      <c r="G67" s="30" t="s">
        <v>91</v>
      </c>
      <c r="H67" s="34" t="s">
        <v>580</v>
      </c>
      <c r="I67" s="30" t="s">
        <v>586</v>
      </c>
      <c r="J67" s="51">
        <v>47000</v>
      </c>
      <c r="K67" s="52">
        <v>3950</v>
      </c>
      <c r="L67" s="49" t="s">
        <v>94</v>
      </c>
      <c r="M67" s="53">
        <v>43050</v>
      </c>
      <c r="N67" s="53">
        <v>3950</v>
      </c>
      <c r="O67" s="55">
        <v>47000</v>
      </c>
      <c r="P67" s="47">
        <v>273</v>
      </c>
      <c r="Q67" s="41"/>
      <c r="R67" s="41"/>
      <c r="S67" s="67"/>
      <c r="T67" s="33"/>
      <c r="U67" s="57"/>
      <c r="V67" s="57">
        <f>U67+O67</f>
        <v>47000</v>
      </c>
      <c r="W67" s="57">
        <f>V67/0.7</f>
        <v>67142.857142857145</v>
      </c>
      <c r="X67" s="58">
        <f>W67/0.875</f>
        <v>76734.693877551021</v>
      </c>
      <c r="Y67" s="59">
        <f>(X67-W67)/X67</f>
        <v>0.12499999999999997</v>
      </c>
      <c r="Z67" s="58">
        <f>(ROUNDUP((X67/100),0))*100</f>
        <v>76800</v>
      </c>
      <c r="AA67" s="178"/>
      <c r="AB67" s="178"/>
      <c r="AC67" s="177"/>
      <c r="AD67" s="177"/>
      <c r="AE67" s="179"/>
      <c r="AF67" s="179"/>
      <c r="AG67" s="179"/>
      <c r="AH67" s="179"/>
      <c r="AI67" s="85"/>
    </row>
    <row r="68" spans="1:35" ht="14.25" customHeight="1" x14ac:dyDescent="0.2">
      <c r="A68" s="47">
        <v>274</v>
      </c>
      <c r="B68" s="48" t="str">
        <f>REPLACE(E68,1,3, )</f>
        <v xml:space="preserve"> 278</v>
      </c>
      <c r="C68" s="70" t="s">
        <v>591</v>
      </c>
      <c r="D68" s="49">
        <f>IF(E68=C68,0,1)</f>
        <v>0</v>
      </c>
      <c r="E68" s="47" t="s">
        <v>591</v>
      </c>
      <c r="F68" s="30" t="str">
        <f>REPLACE(E68,4,4, )</f>
        <v>SFC</v>
      </c>
      <c r="G68" s="30" t="s">
        <v>91</v>
      </c>
      <c r="H68" s="34" t="s">
        <v>580</v>
      </c>
      <c r="I68" s="30" t="s">
        <v>586</v>
      </c>
      <c r="J68" s="51">
        <v>47000</v>
      </c>
      <c r="K68" s="52">
        <v>3950</v>
      </c>
      <c r="L68" s="49" t="s">
        <v>94</v>
      </c>
      <c r="M68" s="53">
        <v>43050</v>
      </c>
      <c r="N68" s="53">
        <v>3950</v>
      </c>
      <c r="O68" s="55">
        <v>47000</v>
      </c>
      <c r="P68" s="47">
        <v>274</v>
      </c>
      <c r="Q68" s="41"/>
      <c r="R68" s="41"/>
      <c r="S68" s="67"/>
      <c r="T68" s="33"/>
      <c r="U68" s="57"/>
      <c r="V68" s="57">
        <f>U68+O68</f>
        <v>47000</v>
      </c>
      <c r="W68" s="57">
        <f>V68/0.7</f>
        <v>67142.857142857145</v>
      </c>
      <c r="X68" s="58">
        <f>W68/0.875</f>
        <v>76734.693877551021</v>
      </c>
      <c r="Y68" s="59">
        <f>(X68-W68)/X68</f>
        <v>0.12499999999999997</v>
      </c>
      <c r="Z68" s="58">
        <f>(ROUNDUP((X68/100),0))*100</f>
        <v>76800</v>
      </c>
      <c r="AA68" s="178"/>
      <c r="AB68" s="178"/>
      <c r="AC68" s="177"/>
      <c r="AD68" s="177"/>
      <c r="AE68" s="179"/>
      <c r="AF68" s="179"/>
      <c r="AG68" s="179"/>
      <c r="AH68" s="179"/>
      <c r="AI68" s="85"/>
    </row>
    <row r="69" spans="1:35" ht="14.25" customHeight="1" x14ac:dyDescent="0.2">
      <c r="A69" s="47">
        <v>272</v>
      </c>
      <c r="B69" s="48" t="str">
        <f>REPLACE(E69,1,3, )</f>
        <v xml:space="preserve"> 337</v>
      </c>
      <c r="C69" s="70" t="s">
        <v>589</v>
      </c>
      <c r="D69" s="49">
        <f>IF(E69=C69,0,1)</f>
        <v>0</v>
      </c>
      <c r="E69" s="47" t="s">
        <v>589</v>
      </c>
      <c r="F69" s="30" t="str">
        <f>REPLACE(E69,4,4, )</f>
        <v>SFC</v>
      </c>
      <c r="G69" s="30" t="s">
        <v>91</v>
      </c>
      <c r="H69" s="34" t="s">
        <v>580</v>
      </c>
      <c r="I69" s="30" t="s">
        <v>586</v>
      </c>
      <c r="J69" s="51">
        <v>47000</v>
      </c>
      <c r="K69" s="52">
        <v>3950</v>
      </c>
      <c r="L69" s="49" t="s">
        <v>94</v>
      </c>
      <c r="M69" s="53">
        <v>43050</v>
      </c>
      <c r="N69" s="53">
        <v>3950</v>
      </c>
      <c r="O69" s="55">
        <v>47000</v>
      </c>
      <c r="P69" s="47">
        <v>272</v>
      </c>
      <c r="Q69" s="41"/>
      <c r="R69" s="41"/>
      <c r="S69" s="67"/>
      <c r="T69" s="33"/>
      <c r="U69" s="57"/>
      <c r="V69" s="57">
        <f>U69+O69</f>
        <v>47000</v>
      </c>
      <c r="W69" s="57">
        <f>V69/0.7</f>
        <v>67142.857142857145</v>
      </c>
      <c r="X69" s="58">
        <f>W69/0.875</f>
        <v>76734.693877551021</v>
      </c>
      <c r="Y69" s="59">
        <f>(X69-W69)/X69</f>
        <v>0.12499999999999997</v>
      </c>
      <c r="Z69" s="58">
        <f>(ROUNDUP((X69/100),0))*100</f>
        <v>76800</v>
      </c>
      <c r="AA69" s="178"/>
      <c r="AB69" s="178"/>
      <c r="AC69" s="177"/>
      <c r="AD69" s="177"/>
      <c r="AE69" s="179"/>
      <c r="AF69" s="179"/>
      <c r="AG69" s="179"/>
      <c r="AH69" s="179"/>
      <c r="AI69" s="85"/>
    </row>
    <row r="70" spans="1:35" ht="14.25" customHeight="1" x14ac:dyDescent="0.2">
      <c r="A70" s="47">
        <v>271</v>
      </c>
      <c r="B70" s="48" t="str">
        <f>REPLACE(E70,1,3, )</f>
        <v xml:space="preserve"> 556</v>
      </c>
      <c r="C70" s="70" t="s">
        <v>584</v>
      </c>
      <c r="D70" s="49">
        <f>IF(E70=C70,0,1)</f>
        <v>0</v>
      </c>
      <c r="E70" s="47" t="s">
        <v>584</v>
      </c>
      <c r="F70" s="30" t="str">
        <f>REPLACE(E70,4,4, )</f>
        <v>SFC</v>
      </c>
      <c r="G70" s="30" t="s">
        <v>91</v>
      </c>
      <c r="H70" s="34" t="s">
        <v>585</v>
      </c>
      <c r="I70" s="30" t="s">
        <v>586</v>
      </c>
      <c r="J70" s="51">
        <v>63000</v>
      </c>
      <c r="K70" s="52">
        <f>J70-M70</f>
        <v>4250</v>
      </c>
      <c r="L70" s="49" t="s">
        <v>94</v>
      </c>
      <c r="M70" s="53">
        <f>J70-N70</f>
        <v>58750</v>
      </c>
      <c r="N70" s="53">
        <f>2000+200+350+600+300+800</f>
        <v>4250</v>
      </c>
      <c r="O70" s="55">
        <f>M70+N70</f>
        <v>63000</v>
      </c>
      <c r="P70" s="47">
        <v>271</v>
      </c>
      <c r="Q70" s="41">
        <v>63000</v>
      </c>
      <c r="R70" s="41">
        <f>O70-Q70</f>
        <v>0</v>
      </c>
      <c r="S70" s="42" t="s">
        <v>587</v>
      </c>
      <c r="T70" s="33" t="s">
        <v>588</v>
      </c>
      <c r="U70" s="57"/>
      <c r="V70" s="57">
        <f>U70+O70</f>
        <v>63000</v>
      </c>
      <c r="W70" s="57">
        <f>V70/0.7</f>
        <v>90000</v>
      </c>
      <c r="X70" s="58">
        <f>W70/0.875</f>
        <v>102857.14285714286</v>
      </c>
      <c r="Y70" s="59">
        <f>(X70-W70)/X70</f>
        <v>0.12499999999999999</v>
      </c>
      <c r="Z70" s="58">
        <f>(ROUNDUP((X70/100),0))*100</f>
        <v>102900</v>
      </c>
      <c r="AA70" s="178"/>
      <c r="AB70" s="178"/>
      <c r="AC70" s="177"/>
      <c r="AD70" s="177"/>
      <c r="AE70" s="179"/>
      <c r="AF70" s="179"/>
      <c r="AG70" s="179"/>
      <c r="AH70" s="179"/>
      <c r="AI70" s="85"/>
    </row>
    <row r="71" spans="1:35" s="91" customFormat="1" ht="14.25" customHeight="1" x14ac:dyDescent="0.2">
      <c r="A71" s="47">
        <v>296</v>
      </c>
      <c r="B71" s="48" t="str">
        <f>REPLACE(E71,1,3, )</f>
        <v xml:space="preserve"> 557</v>
      </c>
      <c r="C71" s="70" t="s">
        <v>626</v>
      </c>
      <c r="D71" s="49">
        <f>IF(E71=C71,0,1)</f>
        <v>0</v>
      </c>
      <c r="E71" s="47" t="s">
        <v>626</v>
      </c>
      <c r="F71" s="30" t="str">
        <f>REPLACE(E71,4,4, )</f>
        <v>SFC</v>
      </c>
      <c r="G71" s="30" t="s">
        <v>91</v>
      </c>
      <c r="H71" s="34" t="s">
        <v>585</v>
      </c>
      <c r="I71" s="30" t="s">
        <v>586</v>
      </c>
      <c r="J71" s="51">
        <v>63000</v>
      </c>
      <c r="K71" s="52">
        <f>J71-M71</f>
        <v>4250</v>
      </c>
      <c r="L71" s="49" t="s">
        <v>94</v>
      </c>
      <c r="M71" s="53">
        <f>J71-N71</f>
        <v>58750</v>
      </c>
      <c r="N71" s="53">
        <f>2000+200+350+600+300+800</f>
        <v>4250</v>
      </c>
      <c r="O71" s="55">
        <f>M71+N71</f>
        <v>63000</v>
      </c>
      <c r="P71" s="47">
        <v>296</v>
      </c>
      <c r="Q71" s="41">
        <v>63000</v>
      </c>
      <c r="R71" s="41">
        <f>O71-Q71</f>
        <v>0</v>
      </c>
      <c r="S71" s="42" t="s">
        <v>88</v>
      </c>
      <c r="T71" s="33" t="s">
        <v>588</v>
      </c>
      <c r="U71" s="57"/>
      <c r="V71" s="57">
        <f>U71+O71</f>
        <v>63000</v>
      </c>
      <c r="W71" s="57">
        <f>V71/0.7</f>
        <v>90000</v>
      </c>
      <c r="X71" s="58">
        <f>W71/0.875</f>
        <v>102857.14285714286</v>
      </c>
      <c r="Y71" s="59">
        <f>(X71-W71)/X71</f>
        <v>0.12499999999999999</v>
      </c>
      <c r="Z71" s="58">
        <f>(ROUNDUP((X71/100),0))*100</f>
        <v>102900</v>
      </c>
      <c r="AA71" s="178"/>
      <c r="AB71" s="178"/>
      <c r="AC71" s="177"/>
      <c r="AD71" s="177"/>
      <c r="AE71" s="179"/>
      <c r="AF71" s="179"/>
      <c r="AG71" s="179"/>
      <c r="AH71" s="179"/>
    </row>
    <row r="72" spans="1:35" ht="14.25" customHeight="1" x14ac:dyDescent="0.2">
      <c r="A72" s="47">
        <v>283</v>
      </c>
      <c r="B72" s="48" t="str">
        <f>REPLACE(E72,1,3, )</f>
        <v xml:space="preserve"> 684</v>
      </c>
      <c r="C72" s="70" t="s">
        <v>607</v>
      </c>
      <c r="D72" s="49">
        <f>IF(E72=C72,0,1)</f>
        <v>0</v>
      </c>
      <c r="E72" s="47" t="s">
        <v>607</v>
      </c>
      <c r="F72" s="30" t="str">
        <f>REPLACE(E72,4,4, )</f>
        <v>SFC</v>
      </c>
      <c r="G72" s="30" t="s">
        <v>91</v>
      </c>
      <c r="H72" s="34" t="s">
        <v>585</v>
      </c>
      <c r="I72" s="30" t="s">
        <v>586</v>
      </c>
      <c r="J72" s="51">
        <v>63000</v>
      </c>
      <c r="K72" s="52">
        <f>J72-M72</f>
        <v>4250</v>
      </c>
      <c r="L72" s="49" t="s">
        <v>94</v>
      </c>
      <c r="M72" s="53">
        <f>J72-N72</f>
        <v>58750</v>
      </c>
      <c r="N72" s="53">
        <f>2000+200+350+600+300+800</f>
        <v>4250</v>
      </c>
      <c r="O72" s="55">
        <f>M72+N72</f>
        <v>63000</v>
      </c>
      <c r="P72" s="47">
        <v>283</v>
      </c>
      <c r="Q72" s="41">
        <v>63000</v>
      </c>
      <c r="R72" s="41">
        <f>O72-Q72</f>
        <v>0</v>
      </c>
      <c r="S72" s="42" t="s">
        <v>88</v>
      </c>
      <c r="T72" s="33" t="s">
        <v>588</v>
      </c>
      <c r="U72" s="57"/>
      <c r="V72" s="57">
        <f>U72+O72</f>
        <v>63000</v>
      </c>
      <c r="W72" s="57">
        <f>V72/0.7</f>
        <v>90000</v>
      </c>
      <c r="X72" s="58">
        <f>W72/0.875</f>
        <v>102857.14285714286</v>
      </c>
      <c r="Y72" s="59">
        <f>(X72-W72)/X72</f>
        <v>0.12499999999999999</v>
      </c>
      <c r="Z72" s="58">
        <f>(ROUNDUP((X72/100),0))*100</f>
        <v>102900</v>
      </c>
      <c r="AA72" s="178"/>
      <c r="AB72" s="178"/>
      <c r="AC72" s="177"/>
      <c r="AD72" s="177"/>
      <c r="AE72" s="179"/>
      <c r="AF72" s="179"/>
      <c r="AG72" s="179"/>
      <c r="AH72" s="179"/>
      <c r="AI72" s="85"/>
    </row>
    <row r="73" spans="1:35" s="91" customFormat="1" ht="14.25" customHeight="1" x14ac:dyDescent="0.2">
      <c r="A73" s="47">
        <v>295</v>
      </c>
      <c r="B73" s="48" t="str">
        <f>REPLACE(E73,1,3, )</f>
        <v xml:space="preserve"> 717</v>
      </c>
      <c r="C73" s="70" t="s">
        <v>625</v>
      </c>
      <c r="D73" s="49">
        <f>IF(E73=C73,0,1)</f>
        <v>0</v>
      </c>
      <c r="E73" s="47" t="s">
        <v>625</v>
      </c>
      <c r="F73" s="30" t="str">
        <f>REPLACE(E73,4,4, )</f>
        <v>SFC</v>
      </c>
      <c r="G73" s="30" t="s">
        <v>91</v>
      </c>
      <c r="H73" s="34" t="s">
        <v>585</v>
      </c>
      <c r="I73" s="30" t="s">
        <v>586</v>
      </c>
      <c r="J73" s="51">
        <v>63000</v>
      </c>
      <c r="K73" s="52">
        <f>J73-M73</f>
        <v>4250</v>
      </c>
      <c r="L73" s="49" t="s">
        <v>94</v>
      </c>
      <c r="M73" s="53">
        <f>J73-N73</f>
        <v>58750</v>
      </c>
      <c r="N73" s="53">
        <f>2000+200+350+600+300+800</f>
        <v>4250</v>
      </c>
      <c r="O73" s="55">
        <f>M73+N73</f>
        <v>63000</v>
      </c>
      <c r="P73" s="47">
        <v>295</v>
      </c>
      <c r="Q73" s="41">
        <v>63000</v>
      </c>
      <c r="R73" s="41">
        <f>O73-Q73</f>
        <v>0</v>
      </c>
      <c r="S73" s="42" t="s">
        <v>88</v>
      </c>
      <c r="T73" s="33" t="s">
        <v>588</v>
      </c>
      <c r="U73" s="57"/>
      <c r="V73" s="57">
        <f>U73+O73</f>
        <v>63000</v>
      </c>
      <c r="W73" s="57">
        <f>V73/0.7</f>
        <v>90000</v>
      </c>
      <c r="X73" s="58">
        <f>W73/0.875</f>
        <v>102857.14285714286</v>
      </c>
      <c r="Y73" s="59">
        <f>(X73-W73)/X73</f>
        <v>0.12499999999999999</v>
      </c>
      <c r="Z73" s="58">
        <f>(ROUNDUP((X73/100),0))*100</f>
        <v>102900</v>
      </c>
      <c r="AA73" s="178"/>
      <c r="AB73" s="178"/>
      <c r="AC73" s="177"/>
      <c r="AD73" s="177"/>
      <c r="AE73" s="179"/>
      <c r="AF73" s="179"/>
      <c r="AG73" s="179"/>
      <c r="AH73" s="179"/>
    </row>
    <row r="74" spans="1:35" ht="14.25" customHeight="1" x14ac:dyDescent="0.2">
      <c r="A74" s="47">
        <v>106</v>
      </c>
      <c r="B74" s="48" t="str">
        <f>REPLACE(E74,1,3, )</f>
        <v xml:space="preserve"> 747</v>
      </c>
      <c r="C74" s="70" t="s">
        <v>274</v>
      </c>
      <c r="D74" s="49">
        <f>IF(E74=C74,0,1)</f>
        <v>0</v>
      </c>
      <c r="E74" s="50" t="s">
        <v>274</v>
      </c>
      <c r="F74" s="30" t="str">
        <f>REPLACE(E74,4,4, )</f>
        <v>SFC</v>
      </c>
      <c r="G74" s="30" t="s">
        <v>34</v>
      </c>
      <c r="H74" s="71" t="s">
        <v>261</v>
      </c>
      <c r="I74" s="30" t="s">
        <v>275</v>
      </c>
      <c r="J74" s="51">
        <v>90000</v>
      </c>
      <c r="K74" s="52">
        <f>J74-M74</f>
        <v>6150</v>
      </c>
      <c r="L74" s="49"/>
      <c r="M74" s="53">
        <f>J74-N74</f>
        <v>83850</v>
      </c>
      <c r="N74" s="54">
        <f>2000+200+350+600+3000</f>
        <v>6150</v>
      </c>
      <c r="O74" s="55">
        <f>M74+N74</f>
        <v>90000</v>
      </c>
      <c r="P74" s="47">
        <v>106</v>
      </c>
      <c r="Q74" s="56">
        <v>90000</v>
      </c>
      <c r="R74" s="41">
        <f>O74-Q74</f>
        <v>0</v>
      </c>
      <c r="S74" s="67" t="s">
        <v>276</v>
      </c>
      <c r="T74" s="33" t="s">
        <v>277</v>
      </c>
      <c r="U74" s="57">
        <v>2000</v>
      </c>
      <c r="V74" s="57">
        <f>U74+O74</f>
        <v>92000</v>
      </c>
      <c r="W74" s="57">
        <f>V74/0.7</f>
        <v>131428.57142857145</v>
      </c>
      <c r="X74" s="58">
        <f>W74/0.875</f>
        <v>150204.08163265308</v>
      </c>
      <c r="Y74" s="59">
        <f>(X74-W74)/X74</f>
        <v>0.12499999999999996</v>
      </c>
      <c r="Z74" s="58">
        <f>(ROUNDUP((X74/100),0))*100</f>
        <v>150300</v>
      </c>
      <c r="AA74" s="58"/>
      <c r="AB74" s="58"/>
      <c r="AC74" s="180"/>
      <c r="AD74" s="180"/>
      <c r="AE74" s="176"/>
      <c r="AF74" s="176"/>
      <c r="AG74" s="176"/>
      <c r="AH74" s="176"/>
      <c r="AI74" s="85"/>
    </row>
    <row r="75" spans="1:35" s="91" customFormat="1" ht="14.25" customHeight="1" x14ac:dyDescent="0.2">
      <c r="A75" s="47">
        <v>275</v>
      </c>
      <c r="B75" s="48" t="str">
        <f>REPLACE(E75,1,3, )</f>
        <v xml:space="preserve"> 901</v>
      </c>
      <c r="C75" s="70" t="s">
        <v>592</v>
      </c>
      <c r="D75" s="49">
        <f>IF(E75=C75,0,1)</f>
        <v>0</v>
      </c>
      <c r="E75" s="47" t="s">
        <v>592</v>
      </c>
      <c r="F75" s="30" t="str">
        <f>REPLACE(E75,4,4, )</f>
        <v>SFC</v>
      </c>
      <c r="G75" s="30" t="s">
        <v>91</v>
      </c>
      <c r="H75" s="34" t="s">
        <v>585</v>
      </c>
      <c r="I75" s="30" t="s">
        <v>586</v>
      </c>
      <c r="J75" s="51">
        <v>63000</v>
      </c>
      <c r="K75" s="52">
        <f>J75-M75</f>
        <v>4250</v>
      </c>
      <c r="L75" s="49" t="s">
        <v>94</v>
      </c>
      <c r="M75" s="53">
        <f>J75-N75</f>
        <v>58750</v>
      </c>
      <c r="N75" s="53">
        <f>2000+200+350+600+300+800</f>
        <v>4250</v>
      </c>
      <c r="O75" s="55">
        <f>M75+N75</f>
        <v>63000</v>
      </c>
      <c r="P75" s="47">
        <v>275</v>
      </c>
      <c r="Q75" s="41">
        <v>63000</v>
      </c>
      <c r="R75" s="41">
        <f>O75-Q75</f>
        <v>0</v>
      </c>
      <c r="S75" s="42" t="s">
        <v>587</v>
      </c>
      <c r="T75" s="33" t="s">
        <v>588</v>
      </c>
      <c r="U75" s="57"/>
      <c r="V75" s="57">
        <f>U75+O75</f>
        <v>63000</v>
      </c>
      <c r="W75" s="57">
        <f>V75/0.7</f>
        <v>90000</v>
      </c>
      <c r="X75" s="58">
        <f>W75/0.875</f>
        <v>102857.14285714286</v>
      </c>
      <c r="Y75" s="59">
        <f>(X75-W75)/X75</f>
        <v>0.12499999999999999</v>
      </c>
      <c r="Z75" s="58">
        <f>(ROUNDUP((X75/100),0))*100</f>
        <v>102900</v>
      </c>
      <c r="AA75" s="178"/>
      <c r="AB75" s="178"/>
      <c r="AC75" s="177"/>
      <c r="AD75" s="177"/>
      <c r="AE75" s="179"/>
      <c r="AF75" s="179"/>
      <c r="AG75" s="179"/>
      <c r="AH75" s="179"/>
    </row>
    <row r="76" spans="1:35" ht="14.45" customHeight="1" x14ac:dyDescent="0.2">
      <c r="A76" s="47">
        <v>437</v>
      </c>
      <c r="B76" s="48" t="str">
        <f>REPLACE(E76,1,3, )</f>
        <v xml:space="preserve"> 273</v>
      </c>
      <c r="C76" s="32" t="s">
        <v>881</v>
      </c>
      <c r="D76" s="49">
        <f>IF(E76=C76,0,1)</f>
        <v>0</v>
      </c>
      <c r="E76" s="50" t="s">
        <v>881</v>
      </c>
      <c r="F76" s="30" t="str">
        <f>REPLACE(E76,4,4, )</f>
        <v>SFL</v>
      </c>
      <c r="G76" s="30" t="s">
        <v>34</v>
      </c>
      <c r="H76" s="34" t="s">
        <v>878</v>
      </c>
      <c r="I76" s="30" t="s">
        <v>568</v>
      </c>
      <c r="J76" s="51">
        <v>26500</v>
      </c>
      <c r="K76" s="52">
        <v>0</v>
      </c>
      <c r="L76" s="60" t="s">
        <v>97</v>
      </c>
      <c r="M76" s="61">
        <v>26500</v>
      </c>
      <c r="N76" s="54">
        <v>4450</v>
      </c>
      <c r="O76" s="55">
        <v>30950</v>
      </c>
      <c r="P76" s="47">
        <v>437</v>
      </c>
      <c r="Q76" s="41"/>
      <c r="R76" s="41"/>
      <c r="S76" s="67"/>
      <c r="T76" s="33"/>
      <c r="U76" s="57">
        <v>5000</v>
      </c>
      <c r="V76" s="57">
        <f>U76+O76</f>
        <v>35950</v>
      </c>
      <c r="W76" s="57">
        <f>V76/0.7</f>
        <v>51357.142857142862</v>
      </c>
      <c r="X76" s="58">
        <f>W76/0.875</f>
        <v>58693.877551020414</v>
      </c>
      <c r="Y76" s="59">
        <f>(X76-W76)/X76</f>
        <v>0.125</v>
      </c>
      <c r="Z76" s="58">
        <f>(ROUNDUP((X76/100),0))*100</f>
        <v>58700</v>
      </c>
      <c r="AA76" s="58"/>
      <c r="AB76" s="58"/>
      <c r="AC76" s="180"/>
      <c r="AD76" s="180"/>
      <c r="AE76" s="176"/>
      <c r="AF76" s="176"/>
      <c r="AG76" s="176"/>
      <c r="AH76" s="176"/>
      <c r="AI76" s="85"/>
    </row>
    <row r="77" spans="1:35" ht="14.45" customHeight="1" x14ac:dyDescent="0.2">
      <c r="A77" s="47">
        <v>259</v>
      </c>
      <c r="B77" s="48" t="str">
        <f>REPLACE(E77,1,3, )</f>
        <v xml:space="preserve"> 647</v>
      </c>
      <c r="C77" s="70" t="s">
        <v>567</v>
      </c>
      <c r="D77" s="49">
        <f>IF(E77=C77,0,1)</f>
        <v>0</v>
      </c>
      <c r="E77" s="50" t="s">
        <v>567</v>
      </c>
      <c r="F77" s="30" t="str">
        <f>REPLACE(E77,4,4, )</f>
        <v>SFL</v>
      </c>
      <c r="G77" s="30" t="s">
        <v>34</v>
      </c>
      <c r="H77" s="71" t="s">
        <v>545</v>
      </c>
      <c r="I77" s="30" t="s">
        <v>568</v>
      </c>
      <c r="J77" s="51">
        <v>35500</v>
      </c>
      <c r="K77" s="52">
        <v>0</v>
      </c>
      <c r="L77" s="60" t="s">
        <v>97</v>
      </c>
      <c r="M77" s="61">
        <v>35500</v>
      </c>
      <c r="N77" s="54">
        <v>5450</v>
      </c>
      <c r="O77" s="55">
        <v>40950</v>
      </c>
      <c r="P77" s="47">
        <v>259</v>
      </c>
      <c r="Q77" s="41"/>
      <c r="R77" s="41">
        <f>O77-Q77</f>
        <v>40950</v>
      </c>
      <c r="S77" s="67"/>
      <c r="T77" s="33"/>
      <c r="U77" s="57">
        <v>3000</v>
      </c>
      <c r="V77" s="57">
        <f>U77+O77</f>
        <v>43950</v>
      </c>
      <c r="W77" s="57">
        <f>V77/0.7</f>
        <v>62785.71428571429</v>
      </c>
      <c r="X77" s="58">
        <f>W77/0.875</f>
        <v>71755.102040816331</v>
      </c>
      <c r="Y77" s="59">
        <f>(X77-W77)/X77</f>
        <v>0.125</v>
      </c>
      <c r="Z77" s="58">
        <f>(ROUNDUP((X77/100),0))*100</f>
        <v>71800</v>
      </c>
      <c r="AA77" s="58"/>
      <c r="AB77" s="58"/>
      <c r="AC77" s="180"/>
      <c r="AD77" s="180"/>
      <c r="AE77" s="176"/>
      <c r="AF77" s="176"/>
      <c r="AG77" s="176"/>
      <c r="AH77" s="176"/>
      <c r="AI77" s="85"/>
    </row>
    <row r="78" spans="1:35" s="91" customFormat="1" ht="14.45" customHeight="1" x14ac:dyDescent="0.2">
      <c r="A78" s="47">
        <v>194</v>
      </c>
      <c r="B78" s="48" t="str">
        <f>REPLACE(E78,1,3, )</f>
        <v xml:space="preserve"> 158</v>
      </c>
      <c r="C78" s="70" t="s">
        <v>446</v>
      </c>
      <c r="D78" s="49">
        <f>IF(E78=C78,0,1)</f>
        <v>0</v>
      </c>
      <c r="E78" s="77" t="s">
        <v>446</v>
      </c>
      <c r="F78" s="30" t="str">
        <f>REPLACE(E78,4,4, )</f>
        <v>SFM</v>
      </c>
      <c r="G78" s="33" t="s">
        <v>34</v>
      </c>
      <c r="H78" s="71" t="s">
        <v>441</v>
      </c>
      <c r="I78" s="33" t="s">
        <v>404</v>
      </c>
      <c r="J78" s="51">
        <f>M78</f>
        <v>65000</v>
      </c>
      <c r="K78" s="52">
        <f>J78-M78</f>
        <v>0</v>
      </c>
      <c r="L78" s="60" t="s">
        <v>97</v>
      </c>
      <c r="M78" s="61">
        <v>65000</v>
      </c>
      <c r="N78" s="54">
        <f>2000+200+600+650+3000</f>
        <v>6450</v>
      </c>
      <c r="O78" s="55">
        <f>M78+N78</f>
        <v>71450</v>
      </c>
      <c r="P78" s="47">
        <v>194</v>
      </c>
      <c r="Q78" s="56">
        <v>71450</v>
      </c>
      <c r="R78" s="41"/>
      <c r="S78" s="42"/>
      <c r="T78" s="33"/>
      <c r="U78" s="57">
        <v>-4000</v>
      </c>
      <c r="V78" s="57">
        <f>U78+O78</f>
        <v>67450</v>
      </c>
      <c r="W78" s="57">
        <f>V78/0.7</f>
        <v>96357.14285714287</v>
      </c>
      <c r="X78" s="58">
        <f>W78/0.875</f>
        <v>110122.44897959185</v>
      </c>
      <c r="Y78" s="59">
        <f>(X78-W78)/X78</f>
        <v>0.12499999999999999</v>
      </c>
      <c r="Z78" s="58">
        <f>(ROUNDUP((X78/100),0))*100</f>
        <v>110200</v>
      </c>
      <c r="AA78" s="58"/>
      <c r="AB78" s="58"/>
      <c r="AC78" s="180"/>
      <c r="AD78" s="180"/>
      <c r="AE78" s="176"/>
      <c r="AF78" s="176"/>
      <c r="AG78" s="176"/>
      <c r="AH78" s="176"/>
    </row>
    <row r="79" spans="1:35" s="91" customFormat="1" ht="14.45" customHeight="1" x14ac:dyDescent="0.2">
      <c r="A79" s="47">
        <v>233</v>
      </c>
      <c r="B79" s="48" t="str">
        <f>REPLACE(E79,1,3, )</f>
        <v xml:space="preserve"> 419</v>
      </c>
      <c r="C79" s="70" t="s">
        <v>522</v>
      </c>
      <c r="D79" s="49">
        <f>IF(E79=C79,0,1)</f>
        <v>0</v>
      </c>
      <c r="E79" s="47" t="s">
        <v>522</v>
      </c>
      <c r="F79" s="30" t="str">
        <f>REPLACE(E79,4,4, )</f>
        <v>SFM</v>
      </c>
      <c r="G79" s="30" t="s">
        <v>91</v>
      </c>
      <c r="H79" s="34" t="s">
        <v>493</v>
      </c>
      <c r="I79" s="30" t="s">
        <v>404</v>
      </c>
      <c r="J79" s="51">
        <f>M79</f>
        <v>65000</v>
      </c>
      <c r="K79" s="52">
        <f>J79-M79</f>
        <v>0</v>
      </c>
      <c r="L79" s="60" t="s">
        <v>97</v>
      </c>
      <c r="M79" s="62">
        <v>65000</v>
      </c>
      <c r="N79" s="53">
        <f>2000+200+600+650+3000</f>
        <v>6450</v>
      </c>
      <c r="O79" s="55">
        <f>M79+N79</f>
        <v>71450</v>
      </c>
      <c r="P79" s="47">
        <v>233</v>
      </c>
      <c r="Q79" s="56">
        <v>71450</v>
      </c>
      <c r="R79" s="41"/>
      <c r="S79" s="67"/>
      <c r="T79" s="33"/>
      <c r="U79" s="57"/>
      <c r="V79" s="57">
        <f>U79+O79</f>
        <v>71450</v>
      </c>
      <c r="W79" s="57">
        <f>V79/0.7</f>
        <v>102071.42857142858</v>
      </c>
      <c r="X79" s="58">
        <f>W79/0.875</f>
        <v>116653.06122448981</v>
      </c>
      <c r="Y79" s="59">
        <f>(X79-W79)/X79</f>
        <v>0.12500000000000003</v>
      </c>
      <c r="Z79" s="58">
        <f>(ROUNDUP((X79/100),0))*100</f>
        <v>116700</v>
      </c>
      <c r="AA79" s="178"/>
      <c r="AB79" s="178"/>
      <c r="AC79" s="177"/>
      <c r="AD79" s="177"/>
      <c r="AE79" s="179"/>
      <c r="AF79" s="179"/>
      <c r="AG79" s="179"/>
      <c r="AH79" s="179"/>
    </row>
    <row r="80" spans="1:35" ht="14.45" customHeight="1" x14ac:dyDescent="0.2">
      <c r="A80" s="47">
        <v>173</v>
      </c>
      <c r="B80" s="48" t="str">
        <f>REPLACE(E80,1,3, )</f>
        <v xml:space="preserve"> 866</v>
      </c>
      <c r="C80" s="70" t="s">
        <v>403</v>
      </c>
      <c r="D80" s="49">
        <f>IF(E80=C80,0,1)</f>
        <v>0</v>
      </c>
      <c r="E80" s="32" t="s">
        <v>403</v>
      </c>
      <c r="F80" s="30" t="str">
        <f>REPLACE(E80,4,4, )</f>
        <v>SFM</v>
      </c>
      <c r="G80" s="33" t="s">
        <v>34</v>
      </c>
      <c r="H80" s="71" t="s">
        <v>360</v>
      </c>
      <c r="I80" s="33" t="s">
        <v>404</v>
      </c>
      <c r="J80" s="51">
        <f>M80</f>
        <v>85000</v>
      </c>
      <c r="K80" s="52">
        <f>J80-M80</f>
        <v>0</v>
      </c>
      <c r="L80" s="60" t="s">
        <v>97</v>
      </c>
      <c r="M80" s="61">
        <v>85000</v>
      </c>
      <c r="N80" s="54">
        <f>2000+200+600+1000+3600</f>
        <v>7400</v>
      </c>
      <c r="O80" s="55">
        <f>M80+N80</f>
        <v>92400</v>
      </c>
      <c r="P80" s="47">
        <v>173</v>
      </c>
      <c r="Q80" s="56">
        <v>92400</v>
      </c>
      <c r="R80" s="41"/>
      <c r="S80" s="67"/>
      <c r="T80" s="33"/>
      <c r="U80" s="57">
        <v>-2000</v>
      </c>
      <c r="V80" s="57">
        <f>U80+O80</f>
        <v>90400</v>
      </c>
      <c r="W80" s="57">
        <f>V80/0.7</f>
        <v>129142.85714285714</v>
      </c>
      <c r="X80" s="58">
        <f>W80/0.875</f>
        <v>147591.83673469388</v>
      </c>
      <c r="Y80" s="59">
        <f>(X80-W80)/X80</f>
        <v>0.12499999999999997</v>
      </c>
      <c r="Z80" s="58">
        <f>(ROUNDUP((X80/100),0))*100</f>
        <v>147600</v>
      </c>
      <c r="AA80" s="58"/>
      <c r="AB80" s="58"/>
      <c r="AC80" s="180"/>
      <c r="AD80" s="180"/>
      <c r="AE80" s="176"/>
      <c r="AF80" s="176"/>
      <c r="AG80" s="176"/>
      <c r="AH80" s="176"/>
      <c r="AI80" s="85"/>
    </row>
    <row r="81" spans="1:35" ht="14.45" customHeight="1" x14ac:dyDescent="0.2">
      <c r="A81" s="47">
        <v>331</v>
      </c>
      <c r="B81" s="48" t="str">
        <f>REPLACE(E81,1,3, )</f>
        <v xml:space="preserve"> 694</v>
      </c>
      <c r="C81" s="70" t="s">
        <v>692</v>
      </c>
      <c r="D81" s="49">
        <f>IF(E81=C81,0,1)</f>
        <v>0</v>
      </c>
      <c r="E81" s="47" t="s">
        <v>692</v>
      </c>
      <c r="F81" s="30" t="str">
        <f>REPLACE(E81,4,4, )</f>
        <v>SFN</v>
      </c>
      <c r="G81" s="30" t="s">
        <v>91</v>
      </c>
      <c r="H81" s="71" t="s">
        <v>340</v>
      </c>
      <c r="I81" s="30" t="s">
        <v>693</v>
      </c>
      <c r="J81" s="51">
        <v>80000</v>
      </c>
      <c r="K81" s="52">
        <f>J81-M81</f>
        <v>6800</v>
      </c>
      <c r="L81" s="49" t="s">
        <v>94</v>
      </c>
      <c r="M81" s="53">
        <f>J81-N81</f>
        <v>73200</v>
      </c>
      <c r="N81" s="53">
        <f>2000+200+350+600+650+3000</f>
        <v>6800</v>
      </c>
      <c r="O81" s="55">
        <f>M81+N81</f>
        <v>80000</v>
      </c>
      <c r="P81" s="47">
        <v>331</v>
      </c>
      <c r="Q81" s="56">
        <v>80000</v>
      </c>
      <c r="R81" s="41">
        <f>O81-Q81</f>
        <v>0</v>
      </c>
      <c r="S81" s="67"/>
      <c r="T81" s="33" t="s">
        <v>694</v>
      </c>
      <c r="U81" s="57"/>
      <c r="V81" s="57">
        <f>U81+O81</f>
        <v>80000</v>
      </c>
      <c r="W81" s="57">
        <f>V81/0.7</f>
        <v>114285.71428571429</v>
      </c>
      <c r="X81" s="58">
        <f>W81/0.875</f>
        <v>130612.24489795919</v>
      </c>
      <c r="Y81" s="59">
        <f>(X81-W81)/X81</f>
        <v>0.12499999999999999</v>
      </c>
      <c r="Z81" s="58">
        <f>(ROUNDUP((X81/100),0))*100</f>
        <v>130700</v>
      </c>
      <c r="AA81" s="178"/>
      <c r="AB81" s="178"/>
      <c r="AC81" s="177"/>
      <c r="AD81" s="177"/>
      <c r="AE81" s="179"/>
      <c r="AF81" s="179"/>
      <c r="AG81" s="179"/>
      <c r="AH81" s="179"/>
      <c r="AI81" s="85"/>
    </row>
    <row r="82" spans="1:35" ht="14.45" customHeight="1" x14ac:dyDescent="0.2">
      <c r="A82" s="86">
        <v>216</v>
      </c>
      <c r="B82" s="48" t="str">
        <f>REPLACE(E82,1,3, )</f>
        <v xml:space="preserve"> 195</v>
      </c>
      <c r="C82" s="70" t="s">
        <v>490</v>
      </c>
      <c r="D82" s="49">
        <f>IF(E82=C82,0,1)</f>
        <v>0</v>
      </c>
      <c r="E82" s="49" t="s">
        <v>490</v>
      </c>
      <c r="F82" s="30" t="str">
        <f>REPLACE(E82,4,4, )</f>
        <v>SFR</v>
      </c>
      <c r="G82" s="33" t="s">
        <v>91</v>
      </c>
      <c r="H82" s="71" t="s">
        <v>441</v>
      </c>
      <c r="I82" s="33" t="s">
        <v>416</v>
      </c>
      <c r="J82" s="51">
        <v>87000</v>
      </c>
      <c r="K82" s="52">
        <f>J82-M82</f>
        <v>6900</v>
      </c>
      <c r="L82" s="49" t="s">
        <v>94</v>
      </c>
      <c r="M82" s="53">
        <f>J82-N82</f>
        <v>80100</v>
      </c>
      <c r="N82" s="53">
        <v>6900</v>
      </c>
      <c r="O82" s="55">
        <f>M82+N82</f>
        <v>87000</v>
      </c>
      <c r="P82" s="86">
        <v>216</v>
      </c>
      <c r="Q82" s="56">
        <v>87000</v>
      </c>
      <c r="R82" s="41">
        <f>O82-Q82</f>
        <v>0</v>
      </c>
      <c r="S82" s="67"/>
      <c r="T82" s="33" t="s">
        <v>442</v>
      </c>
      <c r="U82" s="57"/>
      <c r="V82" s="57">
        <f>U82+O82</f>
        <v>87000</v>
      </c>
      <c r="W82" s="57">
        <f>V82/0.7</f>
        <v>124285.71428571429</v>
      </c>
      <c r="X82" s="58">
        <f>W82/0.875</f>
        <v>142040.81632653062</v>
      </c>
      <c r="Y82" s="59">
        <f>(X82-W82)/X82</f>
        <v>0.12500000000000003</v>
      </c>
      <c r="Z82" s="58">
        <f>(ROUNDUP((X82/100),0))*100</f>
        <v>142100</v>
      </c>
      <c r="AA82" s="178" t="s">
        <v>1780</v>
      </c>
      <c r="AB82" s="224">
        <v>43432</v>
      </c>
      <c r="AC82" s="177"/>
      <c r="AD82" s="177"/>
      <c r="AE82" s="179"/>
      <c r="AF82" s="179"/>
      <c r="AG82" s="179"/>
      <c r="AH82" s="179"/>
      <c r="AI82" s="85"/>
    </row>
    <row r="83" spans="1:35" s="91" customFormat="1" ht="14.45" customHeight="1" x14ac:dyDescent="0.2">
      <c r="A83" s="86">
        <v>230</v>
      </c>
      <c r="B83" s="48" t="str">
        <f>REPLACE(E83,1,3, )</f>
        <v xml:space="preserve"> 203</v>
      </c>
      <c r="C83" s="70" t="s">
        <v>516</v>
      </c>
      <c r="D83" s="49">
        <f>IF(E83=C83,0,1)</f>
        <v>0</v>
      </c>
      <c r="E83" s="49" t="s">
        <v>516</v>
      </c>
      <c r="F83" s="30" t="str">
        <f>REPLACE(E83,4,4, )</f>
        <v>SFR</v>
      </c>
      <c r="G83" s="33" t="s">
        <v>91</v>
      </c>
      <c r="H83" s="34" t="s">
        <v>493</v>
      </c>
      <c r="I83" s="33" t="s">
        <v>416</v>
      </c>
      <c r="J83" s="51">
        <v>79000</v>
      </c>
      <c r="K83" s="52">
        <f>J83-M83</f>
        <v>7150</v>
      </c>
      <c r="L83" s="49" t="s">
        <v>94</v>
      </c>
      <c r="M83" s="53">
        <f>J83-N83</f>
        <v>71850</v>
      </c>
      <c r="N83" s="53">
        <f>2000+300+600+650+3600</f>
        <v>7150</v>
      </c>
      <c r="O83" s="55">
        <f>M83+N83</f>
        <v>79000</v>
      </c>
      <c r="P83" s="86">
        <v>230</v>
      </c>
      <c r="Q83" s="56">
        <v>79000</v>
      </c>
      <c r="R83" s="41">
        <f>O83-Q83</f>
        <v>0</v>
      </c>
      <c r="S83" s="67"/>
      <c r="T83" s="33" t="s">
        <v>517</v>
      </c>
      <c r="U83" s="57"/>
      <c r="V83" s="57">
        <f>U83+O83</f>
        <v>79000</v>
      </c>
      <c r="W83" s="57">
        <f>V83/0.7</f>
        <v>112857.14285714287</v>
      </c>
      <c r="X83" s="58">
        <f>W83/0.875</f>
        <v>128979.5918367347</v>
      </c>
      <c r="Y83" s="59">
        <f>(X83-W83)/X83</f>
        <v>0.12499999999999997</v>
      </c>
      <c r="Z83" s="58">
        <f>(ROUNDUP((X83/100),0))*100</f>
        <v>129000</v>
      </c>
      <c r="AA83" s="178" t="s">
        <v>1780</v>
      </c>
      <c r="AB83" s="224">
        <v>43432</v>
      </c>
      <c r="AC83" s="177"/>
      <c r="AD83" s="177"/>
      <c r="AE83" s="179"/>
      <c r="AF83" s="179"/>
      <c r="AG83" s="179"/>
      <c r="AH83" s="179"/>
    </row>
    <row r="84" spans="1:35" s="91" customFormat="1" ht="14.45" customHeight="1" x14ac:dyDescent="0.2">
      <c r="A84" s="86">
        <v>240</v>
      </c>
      <c r="B84" s="48" t="str">
        <f>REPLACE(E84,1,3, )</f>
        <v xml:space="preserve"> 288</v>
      </c>
      <c r="C84" s="70" t="s">
        <v>532</v>
      </c>
      <c r="D84" s="49">
        <f>IF(E84=C84,0,1)</f>
        <v>0</v>
      </c>
      <c r="E84" s="49" t="s">
        <v>532</v>
      </c>
      <c r="F84" s="30" t="str">
        <f>REPLACE(E84,4,4, )</f>
        <v>SFR</v>
      </c>
      <c r="G84" s="33" t="s">
        <v>91</v>
      </c>
      <c r="H84" s="34" t="s">
        <v>493</v>
      </c>
      <c r="I84" s="33" t="s">
        <v>416</v>
      </c>
      <c r="J84" s="51">
        <v>84000</v>
      </c>
      <c r="K84" s="52">
        <f>J84-M84</f>
        <v>7150</v>
      </c>
      <c r="L84" s="49" t="s">
        <v>94</v>
      </c>
      <c r="M84" s="53">
        <f>J84-N84</f>
        <v>76850</v>
      </c>
      <c r="N84" s="53">
        <f>2000+300+600+650+3600</f>
        <v>7150</v>
      </c>
      <c r="O84" s="55">
        <f>M84+N84</f>
        <v>84000</v>
      </c>
      <c r="P84" s="86">
        <v>240</v>
      </c>
      <c r="Q84" s="56">
        <v>84000</v>
      </c>
      <c r="R84" s="41">
        <f>O84-Q84</f>
        <v>0</v>
      </c>
      <c r="S84" s="67"/>
      <c r="T84" s="33" t="s">
        <v>517</v>
      </c>
      <c r="U84" s="57"/>
      <c r="V84" s="57">
        <f>U84+O84</f>
        <v>84000</v>
      </c>
      <c r="W84" s="57">
        <f>V84/0.7</f>
        <v>120000.00000000001</v>
      </c>
      <c r="X84" s="58">
        <f>W84/0.875</f>
        <v>137142.85714285716</v>
      </c>
      <c r="Y84" s="59">
        <f>(X84-W84)/X84</f>
        <v>0.125</v>
      </c>
      <c r="Z84" s="58">
        <f>(ROUNDUP((X84/100),0))*100</f>
        <v>137200</v>
      </c>
      <c r="AA84" s="178" t="s">
        <v>1780</v>
      </c>
      <c r="AB84" s="224">
        <v>43432</v>
      </c>
      <c r="AC84" s="177"/>
      <c r="AD84" s="177"/>
      <c r="AE84" s="179"/>
      <c r="AF84" s="179"/>
      <c r="AG84" s="179"/>
      <c r="AH84" s="179"/>
    </row>
    <row r="85" spans="1:35" s="91" customFormat="1" ht="14.45" customHeight="1" x14ac:dyDescent="0.2">
      <c r="A85" s="86">
        <v>215</v>
      </c>
      <c r="B85" s="48" t="str">
        <f>REPLACE(E85,1,3, )</f>
        <v xml:space="preserve"> 348</v>
      </c>
      <c r="C85" s="70" t="s">
        <v>488</v>
      </c>
      <c r="D85" s="49">
        <f>IF(E85=C85,0,1)</f>
        <v>0</v>
      </c>
      <c r="E85" s="48" t="s">
        <v>488</v>
      </c>
      <c r="F85" s="30" t="str">
        <f>REPLACE(E85,4,4, )</f>
        <v>SFR</v>
      </c>
      <c r="G85" s="33" t="s">
        <v>34</v>
      </c>
      <c r="H85" s="71" t="s">
        <v>441</v>
      </c>
      <c r="I85" s="33" t="s">
        <v>416</v>
      </c>
      <c r="J85" s="51">
        <v>56450</v>
      </c>
      <c r="K85" s="52">
        <f>J85-M85</f>
        <v>6950</v>
      </c>
      <c r="L85" s="49" t="s">
        <v>94</v>
      </c>
      <c r="M85" s="53">
        <f>J85-N85</f>
        <v>49500</v>
      </c>
      <c r="N85" s="54">
        <f>2000+300+800+1000+2850</f>
        <v>6950</v>
      </c>
      <c r="O85" s="55">
        <f>M85+N85</f>
        <v>56450</v>
      </c>
      <c r="P85" s="86">
        <v>215</v>
      </c>
      <c r="Q85" s="56">
        <v>56450</v>
      </c>
      <c r="R85" s="41">
        <f>O85-Q85</f>
        <v>0</v>
      </c>
      <c r="S85" s="67"/>
      <c r="T85" s="33" t="s">
        <v>489</v>
      </c>
      <c r="U85" s="57"/>
      <c r="V85" s="57">
        <f>U85+O85</f>
        <v>56450</v>
      </c>
      <c r="W85" s="57">
        <f>V85/0.7</f>
        <v>80642.857142857145</v>
      </c>
      <c r="X85" s="58">
        <f>W85/0.875</f>
        <v>92163.265306122456</v>
      </c>
      <c r="Y85" s="59">
        <f>(X85-W85)/X85</f>
        <v>0.12500000000000003</v>
      </c>
      <c r="Z85" s="58">
        <f>(ROUNDUP((X85/100),0))*100</f>
        <v>92200</v>
      </c>
      <c r="AA85" s="58"/>
      <c r="AB85" s="58"/>
      <c r="AC85" s="180"/>
      <c r="AD85" s="180"/>
      <c r="AE85" s="176"/>
      <c r="AF85" s="176"/>
      <c r="AG85" s="176"/>
      <c r="AH85" s="176"/>
    </row>
    <row r="86" spans="1:35" ht="14.45" customHeight="1" x14ac:dyDescent="0.2">
      <c r="A86" s="86">
        <v>237</v>
      </c>
      <c r="B86" s="48" t="str">
        <f>REPLACE(E86,1,3, )</f>
        <v xml:space="preserve"> 480</v>
      </c>
      <c r="C86" s="70" t="s">
        <v>528</v>
      </c>
      <c r="D86" s="49">
        <f>IF(E86=C86,0,1)</f>
        <v>0</v>
      </c>
      <c r="E86" s="49" t="s">
        <v>528</v>
      </c>
      <c r="F86" s="30" t="str">
        <f>REPLACE(E86,4,4, )</f>
        <v>SFR</v>
      </c>
      <c r="G86" s="33" t="s">
        <v>91</v>
      </c>
      <c r="H86" s="34" t="s">
        <v>493</v>
      </c>
      <c r="I86" s="33" t="s">
        <v>416</v>
      </c>
      <c r="J86" s="51">
        <v>81500</v>
      </c>
      <c r="K86" s="52">
        <f>J86-M86</f>
        <v>7500</v>
      </c>
      <c r="L86" s="49" t="s">
        <v>94</v>
      </c>
      <c r="M86" s="53">
        <f>J86-N86</f>
        <v>74000</v>
      </c>
      <c r="N86" s="53">
        <f>2000+300+600+1000+3600</f>
        <v>7500</v>
      </c>
      <c r="O86" s="55">
        <f>M86+N86</f>
        <v>81500</v>
      </c>
      <c r="P86" s="86">
        <v>237</v>
      </c>
      <c r="Q86" s="56">
        <v>81500</v>
      </c>
      <c r="R86" s="41">
        <f>O86-Q86</f>
        <v>0</v>
      </c>
      <c r="S86" s="67"/>
      <c r="T86" s="33" t="s">
        <v>517</v>
      </c>
      <c r="U86" s="57"/>
      <c r="V86" s="57">
        <f>U86+O86</f>
        <v>81500</v>
      </c>
      <c r="W86" s="57">
        <f>V86/0.7</f>
        <v>116428.57142857143</v>
      </c>
      <c r="X86" s="58">
        <f>W86/0.875</f>
        <v>133061.22448979592</v>
      </c>
      <c r="Y86" s="59">
        <f>(X86-W86)/X86</f>
        <v>0.12499999999999994</v>
      </c>
      <c r="Z86" s="58">
        <f>(ROUNDUP((X86/100),0))*100</f>
        <v>133100</v>
      </c>
      <c r="AA86" s="178"/>
      <c r="AB86" s="178"/>
      <c r="AC86" s="177"/>
      <c r="AD86" s="177"/>
      <c r="AE86" s="179"/>
      <c r="AF86" s="179"/>
      <c r="AG86" s="179"/>
      <c r="AH86" s="179"/>
      <c r="AI86" s="85"/>
    </row>
    <row r="87" spans="1:35" s="91" customFormat="1" ht="14.45" customHeight="1" x14ac:dyDescent="0.2">
      <c r="A87" s="86">
        <v>181</v>
      </c>
      <c r="B87" s="48" t="str">
        <f>REPLACE(E87,1,3, )</f>
        <v xml:space="preserve"> 605</v>
      </c>
      <c r="C87" s="70" t="s">
        <v>415</v>
      </c>
      <c r="D87" s="49">
        <f>IF(E87=C87,0,1)</f>
        <v>0</v>
      </c>
      <c r="E87" s="48" t="s">
        <v>415</v>
      </c>
      <c r="F87" s="30" t="str">
        <f>REPLACE(E87,4,4, )</f>
        <v>SFR</v>
      </c>
      <c r="G87" s="33" t="s">
        <v>34</v>
      </c>
      <c r="H87" s="71" t="s">
        <v>360</v>
      </c>
      <c r="I87" s="33" t="s">
        <v>416</v>
      </c>
      <c r="J87" s="51">
        <v>84950</v>
      </c>
      <c r="K87" s="52">
        <f>J87-M87</f>
        <v>5950</v>
      </c>
      <c r="L87" s="49" t="s">
        <v>94</v>
      </c>
      <c r="M87" s="53">
        <f>J87-N87</f>
        <v>79000</v>
      </c>
      <c r="N87" s="54">
        <f>2000+300+800+2850</f>
        <v>5950</v>
      </c>
      <c r="O87" s="55">
        <f>M87+N87</f>
        <v>84950</v>
      </c>
      <c r="P87" s="86">
        <v>181</v>
      </c>
      <c r="Q87" s="56">
        <v>84950</v>
      </c>
      <c r="R87" s="41">
        <f>O87-Q87</f>
        <v>0</v>
      </c>
      <c r="S87" s="67" t="s">
        <v>406</v>
      </c>
      <c r="T87" s="33" t="s">
        <v>417</v>
      </c>
      <c r="U87" s="57">
        <v>-2000</v>
      </c>
      <c r="V87" s="57">
        <f>U87+O87</f>
        <v>82950</v>
      </c>
      <c r="W87" s="57">
        <f>V87/0.7</f>
        <v>118500.00000000001</v>
      </c>
      <c r="X87" s="58">
        <f>W87/0.875</f>
        <v>135428.57142857145</v>
      </c>
      <c r="Y87" s="59">
        <f>(X87-W87)/X87</f>
        <v>0.12500000000000003</v>
      </c>
      <c r="Z87" s="58">
        <f>(ROUNDUP((X87/100),0))*100</f>
        <v>135500</v>
      </c>
      <c r="AA87" s="58"/>
      <c r="AB87" s="58"/>
      <c r="AC87" s="180"/>
      <c r="AD87" s="180"/>
      <c r="AE87" s="176"/>
      <c r="AF87" s="176"/>
      <c r="AG87" s="176"/>
      <c r="AH87" s="176"/>
    </row>
    <row r="88" spans="1:35" ht="14.45" customHeight="1" x14ac:dyDescent="0.2">
      <c r="A88" s="86">
        <v>226</v>
      </c>
      <c r="B88" s="48" t="str">
        <f>REPLACE(E88,1,3, )</f>
        <v xml:space="preserve"> 620</v>
      </c>
      <c r="C88" s="70" t="s">
        <v>509</v>
      </c>
      <c r="D88" s="49">
        <f>IF(E88=C88,0,1)</f>
        <v>0</v>
      </c>
      <c r="E88" s="49" t="s">
        <v>509</v>
      </c>
      <c r="F88" s="30" t="str">
        <f>REPLACE(E88,4,4, )</f>
        <v>SFR</v>
      </c>
      <c r="G88" s="33" t="s">
        <v>91</v>
      </c>
      <c r="H88" s="34" t="s">
        <v>493</v>
      </c>
      <c r="I88" s="33" t="s">
        <v>416</v>
      </c>
      <c r="J88" s="51">
        <v>81000</v>
      </c>
      <c r="K88" s="52">
        <f>J88-M88</f>
        <v>7500</v>
      </c>
      <c r="L88" s="49" t="s">
        <v>94</v>
      </c>
      <c r="M88" s="53">
        <f>J88-N88</f>
        <v>73500</v>
      </c>
      <c r="N88" s="53">
        <f>2000+300+600+1000+3600</f>
        <v>7500</v>
      </c>
      <c r="O88" s="55">
        <f>M88+N88</f>
        <v>81000</v>
      </c>
      <c r="P88" s="86">
        <v>226</v>
      </c>
      <c r="Q88" s="56">
        <v>81000</v>
      </c>
      <c r="R88" s="41">
        <f>O88-Q88</f>
        <v>0</v>
      </c>
      <c r="S88" s="67"/>
      <c r="T88" s="33" t="s">
        <v>510</v>
      </c>
      <c r="U88" s="57"/>
      <c r="V88" s="57">
        <f>U88+O88</f>
        <v>81000</v>
      </c>
      <c r="W88" s="57">
        <f>V88/0.7</f>
        <v>115714.28571428572</v>
      </c>
      <c r="X88" s="58">
        <f>W88/0.875</f>
        <v>132244.8979591837</v>
      </c>
      <c r="Y88" s="59">
        <f>(X88-W88)/X88</f>
        <v>0.12500000000000008</v>
      </c>
      <c r="Z88" s="58">
        <f>(ROUNDUP((X88/100),0))*100</f>
        <v>132300</v>
      </c>
      <c r="AA88" s="178" t="s">
        <v>1780</v>
      </c>
      <c r="AB88" s="224">
        <v>43432</v>
      </c>
      <c r="AC88" s="177"/>
      <c r="AD88" s="177"/>
      <c r="AE88" s="179"/>
      <c r="AF88" s="179"/>
      <c r="AG88" s="179"/>
      <c r="AH88" s="179"/>
      <c r="AI88" s="85"/>
    </row>
    <row r="89" spans="1:35" ht="14.45" customHeight="1" x14ac:dyDescent="0.2">
      <c r="A89" s="86">
        <v>197</v>
      </c>
      <c r="B89" s="48" t="str">
        <f>REPLACE(E89,1,3, )</f>
        <v xml:space="preserve"> 739</v>
      </c>
      <c r="C89" s="70" t="s">
        <v>450</v>
      </c>
      <c r="D89" s="49">
        <f>IF(E89=C89,0,1)</f>
        <v>0</v>
      </c>
      <c r="E89" s="49" t="s">
        <v>450</v>
      </c>
      <c r="F89" s="30" t="str">
        <f>REPLACE(E89,4,4, )</f>
        <v>SFR</v>
      </c>
      <c r="G89" s="33" t="s">
        <v>91</v>
      </c>
      <c r="H89" s="71" t="s">
        <v>441</v>
      </c>
      <c r="I89" s="33" t="s">
        <v>416</v>
      </c>
      <c r="J89" s="51">
        <v>81000</v>
      </c>
      <c r="K89" s="52">
        <f>J89-M89</f>
        <v>6900</v>
      </c>
      <c r="L89" s="49" t="s">
        <v>94</v>
      </c>
      <c r="M89" s="53">
        <f>J89-N89</f>
        <v>74100</v>
      </c>
      <c r="N89" s="53">
        <f>2000+300+600+1000+3000</f>
        <v>6900</v>
      </c>
      <c r="O89" s="55">
        <f>M89+N89</f>
        <v>81000</v>
      </c>
      <c r="P89" s="86">
        <v>197</v>
      </c>
      <c r="Q89" s="56">
        <v>81000</v>
      </c>
      <c r="R89" s="41">
        <f>O89-Q89</f>
        <v>0</v>
      </c>
      <c r="S89" s="67"/>
      <c r="T89" s="33" t="s">
        <v>442</v>
      </c>
      <c r="U89" s="57"/>
      <c r="V89" s="57">
        <f>U89+O89</f>
        <v>81000</v>
      </c>
      <c r="W89" s="57">
        <f>V89/0.7</f>
        <v>115714.28571428572</v>
      </c>
      <c r="X89" s="58">
        <f>W89/0.875</f>
        <v>132244.8979591837</v>
      </c>
      <c r="Y89" s="59">
        <f>(X89-W89)/X89</f>
        <v>0.12500000000000008</v>
      </c>
      <c r="Z89" s="58">
        <f>(ROUNDUP((X89/100),0))*100</f>
        <v>132300</v>
      </c>
      <c r="AA89" s="178" t="s">
        <v>1780</v>
      </c>
      <c r="AB89" s="224">
        <v>43432</v>
      </c>
      <c r="AC89" s="177"/>
      <c r="AD89" s="177"/>
      <c r="AE89" s="179"/>
      <c r="AF89" s="179"/>
      <c r="AG89" s="179"/>
      <c r="AH89" s="179"/>
      <c r="AI89" s="85"/>
    </row>
    <row r="90" spans="1:35" ht="14.45" customHeight="1" x14ac:dyDescent="0.2">
      <c r="A90" s="86">
        <v>231</v>
      </c>
      <c r="B90" s="48" t="str">
        <f>REPLACE(E90,1,3, )</f>
        <v xml:space="preserve"> 740</v>
      </c>
      <c r="C90" s="70" t="s">
        <v>518</v>
      </c>
      <c r="D90" s="49">
        <f>IF(E90=C90,0,1)</f>
        <v>0</v>
      </c>
      <c r="E90" s="49" t="s">
        <v>518</v>
      </c>
      <c r="F90" s="30" t="str">
        <f>REPLACE(E90,4,4, )</f>
        <v>SFR</v>
      </c>
      <c r="G90" s="33" t="s">
        <v>91</v>
      </c>
      <c r="H90" s="34" t="s">
        <v>493</v>
      </c>
      <c r="I90" s="33" t="s">
        <v>416</v>
      </c>
      <c r="J90" s="51">
        <v>85000</v>
      </c>
      <c r="K90" s="52">
        <f>J90-M90</f>
        <v>7500</v>
      </c>
      <c r="L90" s="49" t="s">
        <v>94</v>
      </c>
      <c r="M90" s="53">
        <f>J90-N90</f>
        <v>77500</v>
      </c>
      <c r="N90" s="53">
        <f>2000+300+600+1000+3600</f>
        <v>7500</v>
      </c>
      <c r="O90" s="55">
        <f>M90+N90</f>
        <v>85000</v>
      </c>
      <c r="P90" s="86">
        <v>231</v>
      </c>
      <c r="Q90" s="56">
        <v>85000</v>
      </c>
      <c r="R90" s="41">
        <f>O90-Q90</f>
        <v>0</v>
      </c>
      <c r="S90" s="67"/>
      <c r="T90" s="33" t="s">
        <v>510</v>
      </c>
      <c r="U90" s="57"/>
      <c r="V90" s="57">
        <f>U90+O90</f>
        <v>85000</v>
      </c>
      <c r="W90" s="57">
        <f>V90/0.7</f>
        <v>121428.57142857143</v>
      </c>
      <c r="X90" s="58">
        <f>W90/0.875</f>
        <v>138775.51020408163</v>
      </c>
      <c r="Y90" s="59">
        <f>(X90-W90)/X90</f>
        <v>0.12499999999999992</v>
      </c>
      <c r="Z90" s="58">
        <f>(ROUNDUP((X90/100),0))*100</f>
        <v>138800</v>
      </c>
      <c r="AA90" s="178" t="s">
        <v>1780</v>
      </c>
      <c r="AB90" s="224">
        <v>43432</v>
      </c>
      <c r="AC90" s="177"/>
      <c r="AD90" s="177"/>
      <c r="AE90" s="179"/>
      <c r="AF90" s="179"/>
      <c r="AG90" s="179"/>
      <c r="AH90" s="179"/>
      <c r="AI90" s="85"/>
    </row>
    <row r="91" spans="1:35" ht="14.45" customHeight="1" x14ac:dyDescent="0.2">
      <c r="A91" s="86">
        <v>228</v>
      </c>
      <c r="B91" s="48" t="str">
        <f>REPLACE(E91,1,3, )</f>
        <v xml:space="preserve"> 840</v>
      </c>
      <c r="C91" s="70" t="s">
        <v>512</v>
      </c>
      <c r="D91" s="49">
        <f>IF(E91=C91,0,1)</f>
        <v>0</v>
      </c>
      <c r="E91" s="48" t="s">
        <v>512</v>
      </c>
      <c r="F91" s="30" t="str">
        <f>REPLACE(E91,4,4, )</f>
        <v>SFR</v>
      </c>
      <c r="G91" s="33" t="s">
        <v>34</v>
      </c>
      <c r="H91" s="34" t="s">
        <v>493</v>
      </c>
      <c r="I91" s="33" t="s">
        <v>416</v>
      </c>
      <c r="J91" s="51">
        <v>90050</v>
      </c>
      <c r="K91" s="52">
        <f>J91-M91</f>
        <v>7550</v>
      </c>
      <c r="L91" s="49" t="s">
        <v>94</v>
      </c>
      <c r="M91" s="53">
        <f>J91-N91</f>
        <v>82500</v>
      </c>
      <c r="N91" s="54">
        <f>2000+300+800+1000+3450</f>
        <v>7550</v>
      </c>
      <c r="O91" s="55">
        <f>M91+N91</f>
        <v>90050</v>
      </c>
      <c r="P91" s="86">
        <v>228</v>
      </c>
      <c r="Q91" s="56">
        <v>90050</v>
      </c>
      <c r="R91" s="41">
        <f>O91-Q91</f>
        <v>0</v>
      </c>
      <c r="S91" s="67"/>
      <c r="T91" s="33" t="s">
        <v>513</v>
      </c>
      <c r="U91" s="57">
        <v>6000</v>
      </c>
      <c r="V91" s="57">
        <f>U91+O91</f>
        <v>96050</v>
      </c>
      <c r="W91" s="57">
        <f>V91/0.7</f>
        <v>137214.28571428571</v>
      </c>
      <c r="X91" s="58">
        <f>W91/0.875</f>
        <v>156816.32653061225</v>
      </c>
      <c r="Y91" s="59">
        <f>(X91-W91)/X91</f>
        <v>0.12500000000000006</v>
      </c>
      <c r="Z91" s="58">
        <f>(ROUNDUP((X91/100),0))*100</f>
        <v>156900</v>
      </c>
      <c r="AA91" s="58"/>
      <c r="AB91" s="58"/>
      <c r="AC91" s="180"/>
      <c r="AD91" s="180"/>
      <c r="AE91" s="176"/>
      <c r="AF91" s="176"/>
      <c r="AG91" s="176"/>
      <c r="AH91" s="176"/>
      <c r="AI91" s="85"/>
    </row>
    <row r="92" spans="1:35" ht="14.45" customHeight="1" x14ac:dyDescent="0.2">
      <c r="A92" s="47">
        <v>229</v>
      </c>
      <c r="B92" s="48" t="str">
        <f>REPLACE(E92,1,3, )</f>
        <v xml:space="preserve"> 184</v>
      </c>
      <c r="C92" s="70" t="s">
        <v>514</v>
      </c>
      <c r="D92" s="49">
        <f>IF(E92=C92,0,1)</f>
        <v>0</v>
      </c>
      <c r="E92" s="48" t="s">
        <v>514</v>
      </c>
      <c r="F92" s="30" t="str">
        <f>REPLACE(E92,4,4, )</f>
        <v>SFS</v>
      </c>
      <c r="G92" s="33" t="s">
        <v>34</v>
      </c>
      <c r="H92" s="34" t="s">
        <v>493</v>
      </c>
      <c r="I92" s="33" t="s">
        <v>427</v>
      </c>
      <c r="J92" s="51">
        <f>M92</f>
        <v>68000</v>
      </c>
      <c r="K92" s="52">
        <f>J92-M92</f>
        <v>0</v>
      </c>
      <c r="L92" s="60" t="s">
        <v>97</v>
      </c>
      <c r="M92" s="62">
        <v>68000</v>
      </c>
      <c r="N92" s="53">
        <f>2000+300+600+1000+3600</f>
        <v>7500</v>
      </c>
      <c r="O92" s="55">
        <f>M92+N92</f>
        <v>75500</v>
      </c>
      <c r="P92" s="47">
        <v>229</v>
      </c>
      <c r="Q92" s="56">
        <v>75500</v>
      </c>
      <c r="R92" s="41">
        <f>O92-Q92</f>
        <v>0</v>
      </c>
      <c r="S92" s="42"/>
      <c r="T92" s="33" t="s">
        <v>515</v>
      </c>
      <c r="U92" s="57"/>
      <c r="V92" s="57">
        <f>U92+O92</f>
        <v>75500</v>
      </c>
      <c r="W92" s="57">
        <f>V92/0.7</f>
        <v>107857.14285714287</v>
      </c>
      <c r="X92" s="58">
        <f>W92/0.875</f>
        <v>123265.30612244899</v>
      </c>
      <c r="Y92" s="59">
        <f>(X92-W92)/X92</f>
        <v>0.125</v>
      </c>
      <c r="Z92" s="58">
        <f>(ROUNDUP((X92/100),0))*100</f>
        <v>123300</v>
      </c>
      <c r="AA92" s="58"/>
      <c r="AB92" s="58"/>
      <c r="AC92" s="180"/>
      <c r="AD92" s="180"/>
      <c r="AE92" s="176"/>
      <c r="AF92" s="176"/>
      <c r="AG92" s="176"/>
      <c r="AH92" s="176"/>
      <c r="AI92" s="85"/>
    </row>
    <row r="93" spans="1:35" s="91" customFormat="1" ht="14.45" customHeight="1" x14ac:dyDescent="0.2">
      <c r="A93" s="47">
        <v>460</v>
      </c>
      <c r="B93" s="48" t="str">
        <f>REPLACE(E93,1,3, )</f>
        <v xml:space="preserve"> 493</v>
      </c>
      <c r="C93" s="32" t="s">
        <v>924</v>
      </c>
      <c r="D93" s="49">
        <f>IF(E93=C93,0,1)</f>
        <v>0</v>
      </c>
      <c r="E93" s="49" t="s">
        <v>924</v>
      </c>
      <c r="F93" s="30" t="str">
        <f>REPLACE(E93,4,4, )</f>
        <v>SFS</v>
      </c>
      <c r="G93" s="33" t="s">
        <v>91</v>
      </c>
      <c r="H93" s="71" t="s">
        <v>910</v>
      </c>
      <c r="I93" s="33" t="s">
        <v>427</v>
      </c>
      <c r="J93" s="51">
        <f>M93</f>
        <v>55000</v>
      </c>
      <c r="K93" s="52">
        <f>J93-M93</f>
        <v>0</v>
      </c>
      <c r="L93" s="60" t="s">
        <v>97</v>
      </c>
      <c r="M93" s="62">
        <v>55000</v>
      </c>
      <c r="N93" s="53">
        <f>2000+200+250+600+3600</f>
        <v>6650</v>
      </c>
      <c r="O93" s="55">
        <f>M93+N93</f>
        <v>61650</v>
      </c>
      <c r="P93" s="47">
        <v>460</v>
      </c>
      <c r="Q93" s="56">
        <v>61650</v>
      </c>
      <c r="R93" s="41">
        <f>O93-Q93</f>
        <v>0</v>
      </c>
      <c r="S93" s="67"/>
      <c r="T93" s="33" t="s">
        <v>925</v>
      </c>
      <c r="U93" s="57"/>
      <c r="V93" s="57">
        <f>U93+O93</f>
        <v>61650</v>
      </c>
      <c r="W93" s="57">
        <f>V93/0.7</f>
        <v>88071.42857142858</v>
      </c>
      <c r="X93" s="58">
        <f>W93/0.875</f>
        <v>100653.06122448981</v>
      </c>
      <c r="Y93" s="59">
        <f>(X93-W93)/X93</f>
        <v>0.12500000000000003</v>
      </c>
      <c r="Z93" s="58">
        <f>(ROUNDUP((X93/100),0))*100</f>
        <v>100700</v>
      </c>
      <c r="AA93" s="178" t="s">
        <v>1780</v>
      </c>
      <c r="AB93" s="224">
        <v>43424</v>
      </c>
      <c r="AC93" s="177"/>
      <c r="AD93" s="177"/>
      <c r="AE93" s="179"/>
      <c r="AF93" s="179"/>
      <c r="AG93" s="179"/>
      <c r="AH93" s="179"/>
    </row>
    <row r="94" spans="1:35" ht="14.45" customHeight="1" x14ac:dyDescent="0.2">
      <c r="A94" s="47">
        <v>208</v>
      </c>
      <c r="B94" s="48" t="str">
        <f>REPLACE(E94,1,3, )</f>
        <v xml:space="preserve"> 590</v>
      </c>
      <c r="C94" s="70" t="s">
        <v>475</v>
      </c>
      <c r="D94" s="49">
        <f>IF(E94=C94,0,1)</f>
        <v>0</v>
      </c>
      <c r="E94" s="49" t="s">
        <v>475</v>
      </c>
      <c r="F94" s="30" t="str">
        <f>REPLACE(E94,4,4, )</f>
        <v>SFS</v>
      </c>
      <c r="G94" s="33" t="s">
        <v>91</v>
      </c>
      <c r="H94" s="71" t="s">
        <v>441</v>
      </c>
      <c r="I94" s="33" t="s">
        <v>427</v>
      </c>
      <c r="J94" s="51">
        <f>M94</f>
        <v>66000</v>
      </c>
      <c r="K94" s="52">
        <f>J94-M94</f>
        <v>0</v>
      </c>
      <c r="L94" s="60" t="s">
        <v>97</v>
      </c>
      <c r="M94" s="62">
        <v>66000</v>
      </c>
      <c r="N94" s="53">
        <f>2000+300+600+3000</f>
        <v>5900</v>
      </c>
      <c r="O94" s="55">
        <f>M94+N94</f>
        <v>71900</v>
      </c>
      <c r="P94" s="47">
        <v>208</v>
      </c>
      <c r="Q94" s="56">
        <v>71900</v>
      </c>
      <c r="R94" s="41">
        <f>O94-Q94</f>
        <v>0</v>
      </c>
      <c r="S94" s="67"/>
      <c r="T94" s="33" t="s">
        <v>434</v>
      </c>
      <c r="U94" s="57"/>
      <c r="V94" s="57">
        <f>U94+O94</f>
        <v>71900</v>
      </c>
      <c r="W94" s="57">
        <f>V94/0.7</f>
        <v>102714.28571428572</v>
      </c>
      <c r="X94" s="58">
        <f>W94/0.875</f>
        <v>117387.75510204083</v>
      </c>
      <c r="Y94" s="59">
        <f>(X94-W94)/X94</f>
        <v>0.125</v>
      </c>
      <c r="Z94" s="58">
        <f>(ROUNDUP((X94/100),0))*100</f>
        <v>117400</v>
      </c>
      <c r="AA94" s="178"/>
      <c r="AB94" s="178"/>
      <c r="AC94" s="177"/>
      <c r="AD94" s="177"/>
      <c r="AE94" s="179"/>
      <c r="AF94" s="179"/>
      <c r="AG94" s="179"/>
      <c r="AH94" s="179"/>
      <c r="AI94" s="85"/>
    </row>
    <row r="95" spans="1:35" s="91" customFormat="1" ht="14.45" customHeight="1" x14ac:dyDescent="0.2">
      <c r="A95" s="47">
        <v>185</v>
      </c>
      <c r="B95" s="48" t="str">
        <f>REPLACE(E95,1,3, )</f>
        <v xml:space="preserve"> 629</v>
      </c>
      <c r="C95" s="70" t="s">
        <v>426</v>
      </c>
      <c r="D95" s="49">
        <f>IF(E95=C95,0,1)</f>
        <v>0</v>
      </c>
      <c r="E95" s="49" t="s">
        <v>426</v>
      </c>
      <c r="F95" s="30" t="str">
        <f>REPLACE(E95,4,4, )</f>
        <v>SFS</v>
      </c>
      <c r="G95" s="33" t="s">
        <v>91</v>
      </c>
      <c r="H95" s="71" t="s">
        <v>360</v>
      </c>
      <c r="I95" s="33" t="s">
        <v>427</v>
      </c>
      <c r="J95" s="51">
        <f>M95</f>
        <v>65000</v>
      </c>
      <c r="K95" s="52">
        <f>J95-M95</f>
        <v>0</v>
      </c>
      <c r="L95" s="60" t="s">
        <v>97</v>
      </c>
      <c r="M95" s="62">
        <v>65000</v>
      </c>
      <c r="N95" s="53">
        <f>2000+300+600+1000+3000</f>
        <v>6900</v>
      </c>
      <c r="O95" s="55">
        <f>M95+N95</f>
        <v>71900</v>
      </c>
      <c r="P95" s="47">
        <v>185</v>
      </c>
      <c r="Q95" s="56">
        <v>71900</v>
      </c>
      <c r="R95" s="41">
        <f>O95-Q95</f>
        <v>0</v>
      </c>
      <c r="S95" s="67"/>
      <c r="T95" s="33" t="s">
        <v>428</v>
      </c>
      <c r="U95" s="57"/>
      <c r="V95" s="57">
        <f>U95+O95</f>
        <v>71900</v>
      </c>
      <c r="W95" s="57">
        <f>V95/0.7</f>
        <v>102714.28571428572</v>
      </c>
      <c r="X95" s="58">
        <f>W95/0.875</f>
        <v>117387.75510204083</v>
      </c>
      <c r="Y95" s="59">
        <f>(X95-W95)/X95</f>
        <v>0.125</v>
      </c>
      <c r="Z95" s="58">
        <f>(ROUNDUP((X95/100),0))*100</f>
        <v>117400</v>
      </c>
      <c r="AA95" s="178"/>
      <c r="AB95" s="178"/>
      <c r="AC95" s="177"/>
      <c r="AD95" s="177"/>
      <c r="AE95" s="179"/>
      <c r="AF95" s="179"/>
      <c r="AG95" s="179"/>
      <c r="AH95" s="179"/>
    </row>
    <row r="96" spans="1:35" ht="14.45" customHeight="1" x14ac:dyDescent="0.2">
      <c r="A96" s="47">
        <v>454</v>
      </c>
      <c r="B96" s="48" t="str">
        <f>REPLACE(E96,1,3, )</f>
        <v xml:space="preserve"> 973</v>
      </c>
      <c r="C96" s="32" t="s">
        <v>909</v>
      </c>
      <c r="D96" s="49">
        <f>IF(E96=C96,0,1)</f>
        <v>0</v>
      </c>
      <c r="E96" s="48" t="s">
        <v>909</v>
      </c>
      <c r="F96" s="30" t="str">
        <f>REPLACE(E96,4,4, )</f>
        <v>SFS</v>
      </c>
      <c r="G96" s="33" t="s">
        <v>34</v>
      </c>
      <c r="H96" s="71" t="s">
        <v>910</v>
      </c>
      <c r="I96" s="33" t="s">
        <v>427</v>
      </c>
      <c r="J96" s="51">
        <f>M96</f>
        <v>58000</v>
      </c>
      <c r="K96" s="52">
        <f>J96-M96</f>
        <v>0</v>
      </c>
      <c r="L96" s="60" t="s">
        <v>97</v>
      </c>
      <c r="M96" s="62">
        <v>58000</v>
      </c>
      <c r="N96" s="53">
        <f>2000+200+250+600+3600</f>
        <v>6650</v>
      </c>
      <c r="O96" s="55">
        <f>M96+N96</f>
        <v>64650</v>
      </c>
      <c r="P96" s="47">
        <v>454</v>
      </c>
      <c r="Q96" s="56">
        <v>64650</v>
      </c>
      <c r="R96" s="41">
        <f>O96-Q96</f>
        <v>0</v>
      </c>
      <c r="S96" s="67"/>
      <c r="T96" s="33" t="s">
        <v>911</v>
      </c>
      <c r="U96" s="57"/>
      <c r="V96" s="57">
        <f>U96+O96</f>
        <v>64650</v>
      </c>
      <c r="W96" s="57">
        <f>V96/0.7</f>
        <v>92357.14285714287</v>
      </c>
      <c r="X96" s="58">
        <f>W96/0.875</f>
        <v>105551.02040816328</v>
      </c>
      <c r="Y96" s="59">
        <f>(X96-W96)/X96</f>
        <v>0.12500000000000003</v>
      </c>
      <c r="Z96" s="58">
        <f>(ROUNDUP((X96/100),0))*100</f>
        <v>105600</v>
      </c>
      <c r="AA96" s="58"/>
      <c r="AB96" s="58"/>
      <c r="AC96" s="180"/>
      <c r="AD96" s="180"/>
      <c r="AE96" s="176"/>
      <c r="AF96" s="176"/>
      <c r="AG96" s="176"/>
      <c r="AH96" s="176"/>
      <c r="AI96" s="85"/>
    </row>
    <row r="97" spans="1:35" ht="14.45" customHeight="1" x14ac:dyDescent="0.2">
      <c r="A97" s="47">
        <v>73</v>
      </c>
      <c r="B97" s="48" t="str">
        <f>REPLACE(E97,1,3, )</f>
        <v xml:space="preserve"> 223</v>
      </c>
      <c r="C97" s="70" t="s">
        <v>208</v>
      </c>
      <c r="D97" s="49">
        <f>IF(E97=C97,0,1)</f>
        <v>0</v>
      </c>
      <c r="E97" s="49" t="s">
        <v>208</v>
      </c>
      <c r="F97" s="30" t="str">
        <f>REPLACE(E97,4,4, )</f>
        <v>SFT</v>
      </c>
      <c r="G97" s="33" t="s">
        <v>209</v>
      </c>
      <c r="H97" s="34" t="s">
        <v>178</v>
      </c>
      <c r="I97" s="33" t="s">
        <v>145</v>
      </c>
      <c r="J97" s="51">
        <v>132000</v>
      </c>
      <c r="K97" s="52">
        <v>6150</v>
      </c>
      <c r="L97" s="49" t="s">
        <v>94</v>
      </c>
      <c r="M97" s="53">
        <v>125850</v>
      </c>
      <c r="N97" s="53">
        <v>6150</v>
      </c>
      <c r="O97" s="55">
        <v>132000</v>
      </c>
      <c r="P97" s="47">
        <v>73</v>
      </c>
      <c r="Q97" s="41"/>
      <c r="R97" s="41"/>
      <c r="S97" s="67"/>
      <c r="T97" s="33"/>
      <c r="U97" s="57"/>
      <c r="V97" s="57">
        <f>U97+O97</f>
        <v>132000</v>
      </c>
      <c r="W97" s="57">
        <f>V97/0.7</f>
        <v>188571.42857142858</v>
      </c>
      <c r="X97" s="58">
        <f>W97/0.875</f>
        <v>215510.20408163266</v>
      </c>
      <c r="Y97" s="59">
        <f>(X97-W97)/X97</f>
        <v>0.125</v>
      </c>
      <c r="Z97" s="58">
        <f>(ROUNDUP((X97/100),0))*100</f>
        <v>215600</v>
      </c>
      <c r="AA97" s="178"/>
      <c r="AB97" s="178"/>
      <c r="AC97" s="177"/>
      <c r="AD97" s="177"/>
      <c r="AE97" s="179"/>
      <c r="AF97" s="179"/>
      <c r="AG97" s="179"/>
      <c r="AH97" s="179"/>
      <c r="AI97" s="85"/>
    </row>
    <row r="98" spans="1:35" s="91" customFormat="1" ht="14.45" customHeight="1" x14ac:dyDescent="0.2">
      <c r="A98" s="47">
        <v>56</v>
      </c>
      <c r="B98" s="48" t="str">
        <f>REPLACE(E98,1,3, )</f>
        <v xml:space="preserve"> 716</v>
      </c>
      <c r="C98" s="70" t="s">
        <v>182</v>
      </c>
      <c r="D98" s="49">
        <f>IF(E98=C98,0,1)</f>
        <v>0</v>
      </c>
      <c r="E98" s="48" t="s">
        <v>182</v>
      </c>
      <c r="F98" s="30" t="str">
        <f>REPLACE(E98,4,4, )</f>
        <v>SFT</v>
      </c>
      <c r="G98" s="33" t="s">
        <v>34</v>
      </c>
      <c r="H98" s="34" t="s">
        <v>178</v>
      </c>
      <c r="I98" s="33" t="s">
        <v>145</v>
      </c>
      <c r="J98" s="51">
        <v>132500</v>
      </c>
      <c r="K98" s="52">
        <f>J98-M98</f>
        <v>6250</v>
      </c>
      <c r="L98" s="49" t="s">
        <v>94</v>
      </c>
      <c r="M98" s="53">
        <f>J98-N98</f>
        <v>126250</v>
      </c>
      <c r="N98" s="54">
        <f>2000+200+350+600+3100</f>
        <v>6250</v>
      </c>
      <c r="O98" s="55">
        <f>M98+N98</f>
        <v>132500</v>
      </c>
      <c r="P98" s="47">
        <v>56</v>
      </c>
      <c r="Q98" s="56">
        <v>132500</v>
      </c>
      <c r="R98" s="41">
        <f>O98-Q98</f>
        <v>0</v>
      </c>
      <c r="S98" s="67" t="s">
        <v>180</v>
      </c>
      <c r="T98" s="33" t="s">
        <v>183</v>
      </c>
      <c r="U98" s="57"/>
      <c r="V98" s="57">
        <f>U98+O98</f>
        <v>132500</v>
      </c>
      <c r="W98" s="57">
        <f>V98/0.7</f>
        <v>189285.71428571429</v>
      </c>
      <c r="X98" s="58">
        <f>W98/0.875</f>
        <v>216326.53061224491</v>
      </c>
      <c r="Y98" s="59">
        <f>(X98-W98)/X98</f>
        <v>0.12500000000000003</v>
      </c>
      <c r="Z98" s="58">
        <f>(ROUNDUP((X98/100),0))*100</f>
        <v>216400</v>
      </c>
      <c r="AA98" s="58"/>
      <c r="AB98" s="58"/>
      <c r="AC98" s="180"/>
      <c r="AD98" s="180"/>
      <c r="AE98" s="176"/>
      <c r="AF98" s="176"/>
      <c r="AG98" s="176"/>
      <c r="AH98" s="176"/>
    </row>
    <row r="99" spans="1:35" ht="14.45" customHeight="1" x14ac:dyDescent="0.2">
      <c r="A99" s="47">
        <v>74</v>
      </c>
      <c r="B99" s="48" t="str">
        <f>REPLACE(E99,1,3, )</f>
        <v xml:space="preserve"> 720</v>
      </c>
      <c r="C99" s="70" t="s">
        <v>210</v>
      </c>
      <c r="D99" s="49">
        <f>IF(E99=C99,0,1)</f>
        <v>0</v>
      </c>
      <c r="E99" s="49" t="s">
        <v>210</v>
      </c>
      <c r="F99" s="30" t="str">
        <f>REPLACE(E99,4,4, )</f>
        <v>SFT</v>
      </c>
      <c r="G99" s="33" t="s">
        <v>91</v>
      </c>
      <c r="H99" s="34" t="s">
        <v>178</v>
      </c>
      <c r="I99" s="33" t="s">
        <v>145</v>
      </c>
      <c r="J99" s="51">
        <v>132500</v>
      </c>
      <c r="K99" s="52">
        <f>J99-M99</f>
        <v>6250</v>
      </c>
      <c r="L99" s="49" t="s">
        <v>94</v>
      </c>
      <c r="M99" s="53">
        <f>J99-N99</f>
        <v>126250</v>
      </c>
      <c r="N99" s="53">
        <f>2000+200+350+600+3100</f>
        <v>6250</v>
      </c>
      <c r="O99" s="55">
        <f>M99+N99</f>
        <v>132500</v>
      </c>
      <c r="P99" s="47">
        <v>74</v>
      </c>
      <c r="Q99" s="56">
        <v>132500</v>
      </c>
      <c r="R99" s="41">
        <f>O99-Q99</f>
        <v>0</v>
      </c>
      <c r="S99" s="67" t="s">
        <v>180</v>
      </c>
      <c r="T99" s="33" t="s">
        <v>183</v>
      </c>
      <c r="U99" s="57"/>
      <c r="V99" s="57">
        <f>U99+O99</f>
        <v>132500</v>
      </c>
      <c r="W99" s="57">
        <f>V99/0.7</f>
        <v>189285.71428571429</v>
      </c>
      <c r="X99" s="58">
        <f>W99/0.875</f>
        <v>216326.53061224491</v>
      </c>
      <c r="Y99" s="59">
        <f>(X99-W99)/X99</f>
        <v>0.12500000000000003</v>
      </c>
      <c r="Z99" s="58">
        <f>(ROUNDUP((X99/100),0))*100</f>
        <v>216400</v>
      </c>
      <c r="AA99" s="178"/>
      <c r="AB99" s="178"/>
      <c r="AC99" s="177"/>
      <c r="AD99" s="177"/>
      <c r="AE99" s="179"/>
      <c r="AF99" s="179"/>
      <c r="AG99" s="179"/>
      <c r="AH99" s="179"/>
      <c r="AI99" s="85"/>
    </row>
    <row r="100" spans="1:35" ht="14.25" customHeight="1" x14ac:dyDescent="0.2">
      <c r="A100" s="47">
        <v>32</v>
      </c>
      <c r="B100" s="48" t="str">
        <f>REPLACE(E100,1,3, )</f>
        <v xml:space="preserve"> 766</v>
      </c>
      <c r="C100" s="70" t="s">
        <v>144</v>
      </c>
      <c r="D100" s="49">
        <f>IF(E100=C100,0,1)</f>
        <v>0</v>
      </c>
      <c r="E100" s="49" t="s">
        <v>144</v>
      </c>
      <c r="F100" s="30" t="str">
        <f>REPLACE(E100,4,4, )</f>
        <v>SFT</v>
      </c>
      <c r="G100" s="33" t="s">
        <v>91</v>
      </c>
      <c r="H100" s="34" t="s">
        <v>92</v>
      </c>
      <c r="I100" s="33" t="s">
        <v>145</v>
      </c>
      <c r="J100" s="51">
        <v>72000</v>
      </c>
      <c r="K100" s="52">
        <f>J100-M100</f>
        <v>3900</v>
      </c>
      <c r="L100" s="49" t="s">
        <v>94</v>
      </c>
      <c r="M100" s="53">
        <f>J100-N100</f>
        <v>68100</v>
      </c>
      <c r="N100" s="53">
        <f>2000+200+350+600+750</f>
        <v>3900</v>
      </c>
      <c r="O100" s="55">
        <f>M100+N100</f>
        <v>72000</v>
      </c>
      <c r="P100" s="47">
        <v>32</v>
      </c>
      <c r="Q100" s="56">
        <v>72000</v>
      </c>
      <c r="R100" s="41">
        <f>O100-Q100</f>
        <v>0</v>
      </c>
      <c r="S100" s="67"/>
      <c r="T100" s="33" t="s">
        <v>111</v>
      </c>
      <c r="U100" s="57">
        <v>1000</v>
      </c>
      <c r="V100" s="57">
        <f>U100+O100</f>
        <v>73000</v>
      </c>
      <c r="W100" s="57">
        <f>V100/0.7</f>
        <v>104285.71428571429</v>
      </c>
      <c r="X100" s="58">
        <f>W100/0.875</f>
        <v>119183.67346938777</v>
      </c>
      <c r="Y100" s="59">
        <f>(X100-W100)/X100</f>
        <v>0.12500000000000006</v>
      </c>
      <c r="Z100" s="58">
        <f>(ROUNDUP((X100/100),0))*100</f>
        <v>119200</v>
      </c>
      <c r="AA100" s="178"/>
      <c r="AB100" s="178"/>
      <c r="AC100" s="177"/>
      <c r="AD100" s="177"/>
      <c r="AE100" s="179"/>
      <c r="AF100" s="179"/>
      <c r="AG100" s="179"/>
      <c r="AH100" s="179"/>
      <c r="AI100" s="85"/>
    </row>
    <row r="101" spans="1:35" ht="14.45" customHeight="1" x14ac:dyDescent="0.2">
      <c r="A101" s="47">
        <v>47</v>
      </c>
      <c r="B101" s="48" t="str">
        <f>REPLACE(E101,1,3, )</f>
        <v xml:space="preserve"> 316</v>
      </c>
      <c r="C101" s="70" t="s">
        <v>168</v>
      </c>
      <c r="D101" s="49">
        <f>IF(E101=C101,0,1)</f>
        <v>0</v>
      </c>
      <c r="E101" s="49" t="s">
        <v>168</v>
      </c>
      <c r="F101" s="30" t="str">
        <f>REPLACE(E101,4,4, )</f>
        <v>SGB</v>
      </c>
      <c r="G101" s="33" t="s">
        <v>91</v>
      </c>
      <c r="H101" s="71" t="s">
        <v>160</v>
      </c>
      <c r="I101" s="33" t="s">
        <v>161</v>
      </c>
      <c r="J101" s="51">
        <v>88000</v>
      </c>
      <c r="K101" s="52">
        <f>J101-M101</f>
        <v>6150</v>
      </c>
      <c r="L101" s="49" t="s">
        <v>94</v>
      </c>
      <c r="M101" s="53">
        <f>J101-N101</f>
        <v>81850</v>
      </c>
      <c r="N101" s="53">
        <f>2000+200+350+600+3000</f>
        <v>6150</v>
      </c>
      <c r="O101" s="55">
        <f>M101+N101</f>
        <v>88000</v>
      </c>
      <c r="P101" s="47">
        <v>47</v>
      </c>
      <c r="Q101" s="56">
        <v>88000</v>
      </c>
      <c r="R101" s="41">
        <f>O101-Q101</f>
        <v>0</v>
      </c>
      <c r="S101" s="67"/>
      <c r="T101" s="33" t="s">
        <v>169</v>
      </c>
      <c r="U101" s="57"/>
      <c r="V101" s="57">
        <f>U101+O101</f>
        <v>88000</v>
      </c>
      <c r="W101" s="57">
        <f>V101/0.7</f>
        <v>125714.28571428572</v>
      </c>
      <c r="X101" s="58">
        <f>W101/0.875</f>
        <v>143673.46938775512</v>
      </c>
      <c r="Y101" s="59">
        <f>(X101-W101)/X101</f>
        <v>0.12500000000000003</v>
      </c>
      <c r="Z101" s="58">
        <f>(ROUNDUP((X101/100),0))*100</f>
        <v>143700</v>
      </c>
      <c r="AA101" s="178" t="s">
        <v>1780</v>
      </c>
      <c r="AB101" s="224">
        <v>43432</v>
      </c>
      <c r="AC101" s="177"/>
      <c r="AD101" s="177"/>
      <c r="AE101" s="179"/>
      <c r="AF101" s="179"/>
      <c r="AG101" s="179"/>
      <c r="AH101" s="179"/>
      <c r="AI101" s="85"/>
    </row>
    <row r="102" spans="1:35" s="91" customFormat="1" ht="14.45" customHeight="1" x14ac:dyDescent="0.2">
      <c r="A102" s="47">
        <v>44</v>
      </c>
      <c r="B102" s="48" t="str">
        <f>REPLACE(E102,1,3, )</f>
        <v xml:space="preserve"> 333</v>
      </c>
      <c r="C102" s="70" t="s">
        <v>162</v>
      </c>
      <c r="D102" s="49">
        <f>IF(E102=C102,0,1)</f>
        <v>0</v>
      </c>
      <c r="E102" s="49" t="s">
        <v>162</v>
      </c>
      <c r="F102" s="30" t="str">
        <f>REPLACE(E102,4,4, )</f>
        <v>SGB</v>
      </c>
      <c r="G102" s="33" t="s">
        <v>91</v>
      </c>
      <c r="H102" s="71" t="s">
        <v>163</v>
      </c>
      <c r="I102" s="33" t="s">
        <v>161</v>
      </c>
      <c r="J102" s="51">
        <v>68000</v>
      </c>
      <c r="K102" s="52">
        <f>J102-M102</f>
        <v>3900</v>
      </c>
      <c r="L102" s="49" t="s">
        <v>94</v>
      </c>
      <c r="M102" s="53">
        <f>J102-N102</f>
        <v>64100</v>
      </c>
      <c r="N102" s="53">
        <f>2000+200+350+600+750</f>
        <v>3900</v>
      </c>
      <c r="O102" s="55">
        <f>M102+N102</f>
        <v>68000</v>
      </c>
      <c r="P102" s="47">
        <v>44</v>
      </c>
      <c r="Q102" s="56">
        <v>68000</v>
      </c>
      <c r="R102" s="41">
        <f>O102-Q102</f>
        <v>0</v>
      </c>
      <c r="S102" s="67"/>
      <c r="T102" s="33" t="s">
        <v>134</v>
      </c>
      <c r="U102" s="57">
        <v>2000</v>
      </c>
      <c r="V102" s="57">
        <f>U102+O102</f>
        <v>70000</v>
      </c>
      <c r="W102" s="57">
        <f>V102/0.7</f>
        <v>100000</v>
      </c>
      <c r="X102" s="58">
        <f>W102/0.875</f>
        <v>114285.71428571429</v>
      </c>
      <c r="Y102" s="59">
        <f>(X102-W102)/X102</f>
        <v>0.12500000000000003</v>
      </c>
      <c r="Z102" s="58">
        <f>(ROUNDUP((X102/100),0))*100</f>
        <v>114300</v>
      </c>
      <c r="AA102" s="178" t="s">
        <v>1780</v>
      </c>
      <c r="AB102" s="224">
        <v>43420</v>
      </c>
      <c r="AC102" s="177" t="s">
        <v>1780</v>
      </c>
      <c r="AD102" s="224">
        <v>43432</v>
      </c>
      <c r="AE102" s="179">
        <v>64050</v>
      </c>
      <c r="AF102" s="233" t="s">
        <v>1784</v>
      </c>
      <c r="AG102" s="233">
        <v>3950</v>
      </c>
      <c r="AH102" s="233">
        <v>68000</v>
      </c>
    </row>
    <row r="103" spans="1:35" s="91" customFormat="1" ht="14.45" customHeight="1" x14ac:dyDescent="0.2">
      <c r="A103" s="47">
        <v>51</v>
      </c>
      <c r="B103" s="48" t="str">
        <f>REPLACE(E103,1,3, )</f>
        <v xml:space="preserve"> 368</v>
      </c>
      <c r="C103" s="70" t="s">
        <v>173</v>
      </c>
      <c r="D103" s="49">
        <f>IF(E103=C103,0,1)</f>
        <v>0</v>
      </c>
      <c r="E103" s="48" t="s">
        <v>173</v>
      </c>
      <c r="F103" s="30" t="str">
        <f>REPLACE(E103,4,4, )</f>
        <v>SGB</v>
      </c>
      <c r="G103" s="33" t="s">
        <v>34</v>
      </c>
      <c r="H103" s="71" t="s">
        <v>160</v>
      </c>
      <c r="I103" s="33" t="s">
        <v>161</v>
      </c>
      <c r="J103" s="51">
        <v>87500</v>
      </c>
      <c r="K103" s="52">
        <f>J103-M103</f>
        <v>6150</v>
      </c>
      <c r="L103" s="49" t="s">
        <v>94</v>
      </c>
      <c r="M103" s="53">
        <f>J103-N103</f>
        <v>81350</v>
      </c>
      <c r="N103" s="54">
        <f>2000+200+350+600+3000</f>
        <v>6150</v>
      </c>
      <c r="O103" s="55">
        <f>M103+N103</f>
        <v>87500</v>
      </c>
      <c r="P103" s="47">
        <v>51</v>
      </c>
      <c r="Q103" s="56">
        <v>87500</v>
      </c>
      <c r="R103" s="41">
        <f>O103-Q103</f>
        <v>0</v>
      </c>
      <c r="S103" s="67"/>
      <c r="T103" s="33" t="s">
        <v>169</v>
      </c>
      <c r="U103" s="57">
        <v>3000</v>
      </c>
      <c r="V103" s="57">
        <f>U103+O103</f>
        <v>90500</v>
      </c>
      <c r="W103" s="57">
        <f>V103/0.7</f>
        <v>129285.71428571429</v>
      </c>
      <c r="X103" s="58">
        <f>W103/0.875</f>
        <v>147755.10204081633</v>
      </c>
      <c r="Y103" s="59">
        <f>(X103-W103)/X103</f>
        <v>0.125</v>
      </c>
      <c r="Z103" s="58">
        <f>(ROUNDUP((X103/100),0))*100</f>
        <v>147800</v>
      </c>
      <c r="AA103" s="58"/>
      <c r="AB103" s="58"/>
      <c r="AC103" s="180"/>
      <c r="AD103" s="180"/>
      <c r="AE103" s="176"/>
      <c r="AF103" s="176"/>
      <c r="AG103" s="176"/>
      <c r="AH103" s="176"/>
    </row>
    <row r="104" spans="1:35" s="91" customFormat="1" ht="14.45" customHeight="1" x14ac:dyDescent="0.2">
      <c r="A104" s="47">
        <v>52</v>
      </c>
      <c r="B104" s="48" t="str">
        <f>REPLACE(E104,1,3, )</f>
        <v xml:space="preserve"> 432</v>
      </c>
      <c r="C104" s="70" t="s">
        <v>174</v>
      </c>
      <c r="D104" s="49">
        <f>IF(E104=C104,0,1)</f>
        <v>0</v>
      </c>
      <c r="E104" s="48" t="s">
        <v>174</v>
      </c>
      <c r="F104" s="30" t="str">
        <f>REPLACE(E104,4,4, )</f>
        <v>SGB</v>
      </c>
      <c r="G104" s="33" t="s">
        <v>34</v>
      </c>
      <c r="H104" s="71" t="s">
        <v>163</v>
      </c>
      <c r="I104" s="33" t="s">
        <v>161</v>
      </c>
      <c r="J104" s="51">
        <v>82500</v>
      </c>
      <c r="K104" s="52">
        <f>J104-M104</f>
        <v>6150</v>
      </c>
      <c r="L104" s="49" t="s">
        <v>94</v>
      </c>
      <c r="M104" s="53">
        <f>J104-N104</f>
        <v>76350</v>
      </c>
      <c r="N104" s="54">
        <f>2000+200+350+600+3000</f>
        <v>6150</v>
      </c>
      <c r="O104" s="55">
        <f>M104+N104</f>
        <v>82500</v>
      </c>
      <c r="P104" s="47">
        <v>52</v>
      </c>
      <c r="Q104" s="56">
        <v>82500</v>
      </c>
      <c r="R104" s="41">
        <f>O104-Q104</f>
        <v>0</v>
      </c>
      <c r="S104" s="67"/>
      <c r="T104" s="33" t="s">
        <v>169</v>
      </c>
      <c r="U104" s="57">
        <v>4000</v>
      </c>
      <c r="V104" s="57">
        <f>U104+O104</f>
        <v>86500</v>
      </c>
      <c r="W104" s="57">
        <f>V104/0.7</f>
        <v>123571.42857142858</v>
      </c>
      <c r="X104" s="58">
        <f>W104/0.875</f>
        <v>141224.48979591837</v>
      </c>
      <c r="Y104" s="59">
        <f>(X104-W104)/X104</f>
        <v>0.12499999999999997</v>
      </c>
      <c r="Z104" s="58">
        <f>(ROUNDUP((X104/100),0))*100</f>
        <v>141300</v>
      </c>
      <c r="AA104" s="58"/>
      <c r="AB104" s="58"/>
      <c r="AC104" s="180"/>
      <c r="AD104" s="180"/>
      <c r="AE104" s="176"/>
      <c r="AF104" s="176"/>
      <c r="AG104" s="176"/>
      <c r="AH104" s="176"/>
    </row>
    <row r="105" spans="1:35" ht="14.45" customHeight="1" x14ac:dyDescent="0.2">
      <c r="A105" s="47">
        <v>43</v>
      </c>
      <c r="B105" s="48" t="str">
        <f>REPLACE(E105,1,3, )</f>
        <v xml:space="preserve"> 435</v>
      </c>
      <c r="C105" s="70" t="s">
        <v>159</v>
      </c>
      <c r="D105" s="49">
        <f>IF(E105=C105,0,1)</f>
        <v>0</v>
      </c>
      <c r="E105" s="49" t="s">
        <v>159</v>
      </c>
      <c r="F105" s="30" t="str">
        <f>REPLACE(E105,4,4, )</f>
        <v>SGB</v>
      </c>
      <c r="G105" s="33" t="s">
        <v>91</v>
      </c>
      <c r="H105" s="71" t="s">
        <v>160</v>
      </c>
      <c r="I105" s="33" t="s">
        <v>161</v>
      </c>
      <c r="J105" s="51">
        <v>68000</v>
      </c>
      <c r="K105" s="52">
        <f>J105-M105</f>
        <v>3900</v>
      </c>
      <c r="L105" s="49" t="s">
        <v>94</v>
      </c>
      <c r="M105" s="53">
        <f>J105-N105</f>
        <v>64100</v>
      </c>
      <c r="N105" s="53">
        <f>2000+200+350+600+750</f>
        <v>3900</v>
      </c>
      <c r="O105" s="55">
        <f>M105+N105</f>
        <v>68000</v>
      </c>
      <c r="P105" s="47">
        <v>43</v>
      </c>
      <c r="Q105" s="56">
        <v>68000</v>
      </c>
      <c r="R105" s="41">
        <f>O105-Q105</f>
        <v>0</v>
      </c>
      <c r="S105" s="67"/>
      <c r="T105" s="33" t="s">
        <v>134</v>
      </c>
      <c r="U105" s="57"/>
      <c r="V105" s="57">
        <f>U105+O105</f>
        <v>68000</v>
      </c>
      <c r="W105" s="57">
        <f>V105/0.7</f>
        <v>97142.857142857145</v>
      </c>
      <c r="X105" s="58">
        <f>W105/0.875</f>
        <v>111020.40816326531</v>
      </c>
      <c r="Y105" s="59">
        <f>(X105-W105)/X105</f>
        <v>0.12500000000000003</v>
      </c>
      <c r="Z105" s="58">
        <f>(ROUNDUP((X105/100),0))*100</f>
        <v>111100</v>
      </c>
      <c r="AA105" s="178" t="s">
        <v>1780</v>
      </c>
      <c r="AB105" s="224">
        <v>43420</v>
      </c>
      <c r="AC105" s="177" t="s">
        <v>1780</v>
      </c>
      <c r="AD105" s="224">
        <v>43432</v>
      </c>
      <c r="AE105" s="179">
        <v>64050</v>
      </c>
      <c r="AF105" s="233" t="s">
        <v>1784</v>
      </c>
      <c r="AG105" s="233">
        <v>3950</v>
      </c>
      <c r="AH105" s="233">
        <v>68000</v>
      </c>
      <c r="AI105" s="85"/>
    </row>
    <row r="106" spans="1:35" s="91" customFormat="1" ht="14.45" customHeight="1" x14ac:dyDescent="0.2">
      <c r="A106" s="47">
        <v>50</v>
      </c>
      <c r="B106" s="48" t="str">
        <f>REPLACE(E106,1,3, )</f>
        <v xml:space="preserve"> 446</v>
      </c>
      <c r="C106" s="70" t="s">
        <v>172</v>
      </c>
      <c r="D106" s="49">
        <f>IF(E106=C106,0,1)</f>
        <v>0</v>
      </c>
      <c r="E106" s="49" t="s">
        <v>172</v>
      </c>
      <c r="F106" s="30" t="str">
        <f>REPLACE(E106,4,4, )</f>
        <v>SGB</v>
      </c>
      <c r="G106" s="33" t="s">
        <v>91</v>
      </c>
      <c r="H106" s="71" t="s">
        <v>163</v>
      </c>
      <c r="I106" s="33" t="s">
        <v>161</v>
      </c>
      <c r="J106" s="51">
        <v>83000</v>
      </c>
      <c r="K106" s="52">
        <f>J106-M106</f>
        <v>6150</v>
      </c>
      <c r="L106" s="49" t="s">
        <v>94</v>
      </c>
      <c r="M106" s="53">
        <f>J106-N106</f>
        <v>76850</v>
      </c>
      <c r="N106" s="53">
        <f>2000+200+350+600+3000</f>
        <v>6150</v>
      </c>
      <c r="O106" s="55">
        <f>M106+N106</f>
        <v>83000</v>
      </c>
      <c r="P106" s="47">
        <v>50</v>
      </c>
      <c r="Q106" s="56">
        <v>83000</v>
      </c>
      <c r="R106" s="41">
        <f>O106-Q106</f>
        <v>0</v>
      </c>
      <c r="S106" s="67"/>
      <c r="T106" s="33" t="s">
        <v>169</v>
      </c>
      <c r="U106" s="57">
        <v>2000</v>
      </c>
      <c r="V106" s="57">
        <f>U106+O106</f>
        <v>85000</v>
      </c>
      <c r="W106" s="57">
        <f>V106/0.7</f>
        <v>121428.57142857143</v>
      </c>
      <c r="X106" s="58">
        <f>W106/0.875</f>
        <v>138775.51020408163</v>
      </c>
      <c r="Y106" s="59">
        <f>(X106-W106)/X106</f>
        <v>0.12499999999999992</v>
      </c>
      <c r="Z106" s="58">
        <f>(ROUNDUP((X106/100),0))*100</f>
        <v>138800</v>
      </c>
      <c r="AA106" s="178" t="s">
        <v>1780</v>
      </c>
      <c r="AB106" s="224">
        <v>43432</v>
      </c>
      <c r="AC106" s="177"/>
      <c r="AD106" s="177"/>
      <c r="AE106" s="179"/>
      <c r="AF106" s="179"/>
      <c r="AG106" s="179"/>
      <c r="AH106" s="179"/>
    </row>
    <row r="107" spans="1:35" ht="14.45" customHeight="1" x14ac:dyDescent="0.2">
      <c r="A107" s="47">
        <v>49</v>
      </c>
      <c r="B107" s="48" t="str">
        <f>REPLACE(E107,1,3, )</f>
        <v xml:space="preserve"> 517</v>
      </c>
      <c r="C107" s="70" t="s">
        <v>171</v>
      </c>
      <c r="D107" s="49">
        <f>IF(E107=C107,0,1)</f>
        <v>0</v>
      </c>
      <c r="E107" s="49" t="s">
        <v>171</v>
      </c>
      <c r="F107" s="30" t="str">
        <f>REPLACE(E107,4,4, )</f>
        <v>SGB</v>
      </c>
      <c r="G107" s="33" t="s">
        <v>91</v>
      </c>
      <c r="H107" s="71" t="s">
        <v>160</v>
      </c>
      <c r="I107" s="33" t="s">
        <v>161</v>
      </c>
      <c r="J107" s="51">
        <v>88000</v>
      </c>
      <c r="K107" s="52">
        <f>J107-M107</f>
        <v>6150</v>
      </c>
      <c r="L107" s="49" t="s">
        <v>94</v>
      </c>
      <c r="M107" s="53">
        <f>J107-N107</f>
        <v>81850</v>
      </c>
      <c r="N107" s="53">
        <f>2000+200+350+600+3000</f>
        <v>6150</v>
      </c>
      <c r="O107" s="55">
        <f>M107+N107</f>
        <v>88000</v>
      </c>
      <c r="P107" s="47">
        <v>49</v>
      </c>
      <c r="Q107" s="56">
        <v>88000</v>
      </c>
      <c r="R107" s="41">
        <f>O107-Q107</f>
        <v>0</v>
      </c>
      <c r="S107" s="67"/>
      <c r="T107" s="33" t="s">
        <v>169</v>
      </c>
      <c r="U107" s="57"/>
      <c r="V107" s="57">
        <f>U107+O107</f>
        <v>88000</v>
      </c>
      <c r="W107" s="57">
        <f>V107/0.7</f>
        <v>125714.28571428572</v>
      </c>
      <c r="X107" s="58">
        <f>W107/0.875</f>
        <v>143673.46938775512</v>
      </c>
      <c r="Y107" s="59">
        <f>(X107-W107)/X107</f>
        <v>0.12500000000000003</v>
      </c>
      <c r="Z107" s="58">
        <f>(ROUNDUP((X107/100),0))*100</f>
        <v>143700</v>
      </c>
      <c r="AA107" s="178" t="s">
        <v>1780</v>
      </c>
      <c r="AB107" s="224">
        <v>43432</v>
      </c>
      <c r="AC107" s="177"/>
      <c r="AD107" s="177"/>
      <c r="AE107" s="179"/>
      <c r="AF107" s="179"/>
      <c r="AG107" s="179"/>
      <c r="AH107" s="179"/>
      <c r="AI107" s="85"/>
    </row>
    <row r="108" spans="1:35" s="91" customFormat="1" ht="14.45" customHeight="1" x14ac:dyDescent="0.2">
      <c r="A108" s="47">
        <v>48</v>
      </c>
      <c r="B108" s="48" t="str">
        <f>REPLACE(E108,1,3, )</f>
        <v xml:space="preserve"> 562</v>
      </c>
      <c r="C108" s="70" t="s">
        <v>170</v>
      </c>
      <c r="D108" s="49">
        <f>IF(E108=C108,0,1)</f>
        <v>0</v>
      </c>
      <c r="E108" s="49" t="s">
        <v>170</v>
      </c>
      <c r="F108" s="30" t="str">
        <f>REPLACE(E108,4,4, )</f>
        <v>SGB</v>
      </c>
      <c r="G108" s="33" t="s">
        <v>91</v>
      </c>
      <c r="H108" s="71" t="s">
        <v>163</v>
      </c>
      <c r="I108" s="33" t="s">
        <v>161</v>
      </c>
      <c r="J108" s="51">
        <v>83000</v>
      </c>
      <c r="K108" s="52">
        <f>J108-M108</f>
        <v>6150</v>
      </c>
      <c r="L108" s="49" t="s">
        <v>94</v>
      </c>
      <c r="M108" s="53">
        <f>J108-N108</f>
        <v>76850</v>
      </c>
      <c r="N108" s="53">
        <f>2000+200+350+600+3000</f>
        <v>6150</v>
      </c>
      <c r="O108" s="55">
        <f>M108+N108</f>
        <v>83000</v>
      </c>
      <c r="P108" s="47">
        <v>48</v>
      </c>
      <c r="Q108" s="56">
        <v>83000</v>
      </c>
      <c r="R108" s="41">
        <f>O108-Q108</f>
        <v>0</v>
      </c>
      <c r="S108" s="67"/>
      <c r="T108" s="33" t="s">
        <v>169</v>
      </c>
      <c r="U108" s="57">
        <v>2000</v>
      </c>
      <c r="V108" s="57">
        <f>U108+O108</f>
        <v>85000</v>
      </c>
      <c r="W108" s="57">
        <f>V108/0.7</f>
        <v>121428.57142857143</v>
      </c>
      <c r="X108" s="58">
        <f>W108/0.875</f>
        <v>138775.51020408163</v>
      </c>
      <c r="Y108" s="59">
        <f>(X108-W108)/X108</f>
        <v>0.12499999999999992</v>
      </c>
      <c r="Z108" s="58">
        <f>(ROUNDUP((X108/100),0))*100</f>
        <v>138800</v>
      </c>
      <c r="AA108" s="178" t="s">
        <v>1780</v>
      </c>
      <c r="AB108" s="224">
        <v>43432</v>
      </c>
      <c r="AC108" s="177"/>
      <c r="AD108" s="177"/>
      <c r="AE108" s="179"/>
      <c r="AF108" s="179"/>
      <c r="AG108" s="179"/>
      <c r="AH108" s="179"/>
    </row>
    <row r="109" spans="1:35" s="91" customFormat="1" ht="14.45" customHeight="1" x14ac:dyDescent="0.2">
      <c r="A109" s="47">
        <v>54</v>
      </c>
      <c r="B109" s="48" t="str">
        <f>REPLACE(E109,1,3, )</f>
        <v xml:space="preserve"> 636</v>
      </c>
      <c r="C109" s="70" t="s">
        <v>176</v>
      </c>
      <c r="D109" s="49">
        <f>IF(E109=C109,0,1)</f>
        <v>0</v>
      </c>
      <c r="E109" s="48" t="s">
        <v>176</v>
      </c>
      <c r="F109" s="30" t="str">
        <f>REPLACE(E109,4,4, )</f>
        <v>SGB</v>
      </c>
      <c r="G109" s="33" t="s">
        <v>34</v>
      </c>
      <c r="H109" s="71" t="s">
        <v>163</v>
      </c>
      <c r="I109" s="33" t="s">
        <v>161</v>
      </c>
      <c r="J109" s="51">
        <v>82500</v>
      </c>
      <c r="K109" s="52">
        <f>J109-M109</f>
        <v>6150</v>
      </c>
      <c r="L109" s="49" t="s">
        <v>94</v>
      </c>
      <c r="M109" s="53">
        <f>J109-N109</f>
        <v>76350</v>
      </c>
      <c r="N109" s="54">
        <f>2000+200+350+600+3000</f>
        <v>6150</v>
      </c>
      <c r="O109" s="55">
        <f>M109+N109</f>
        <v>82500</v>
      </c>
      <c r="P109" s="47">
        <v>54</v>
      </c>
      <c r="Q109" s="56">
        <v>82500</v>
      </c>
      <c r="R109" s="41">
        <f>O109-Q109</f>
        <v>0</v>
      </c>
      <c r="S109" s="67"/>
      <c r="T109" s="33" t="s">
        <v>169</v>
      </c>
      <c r="U109" s="57">
        <v>3000</v>
      </c>
      <c r="V109" s="57">
        <f>U109+O109</f>
        <v>85500</v>
      </c>
      <c r="W109" s="57">
        <f>V109/0.7</f>
        <v>122142.85714285714</v>
      </c>
      <c r="X109" s="58">
        <f>W109/0.875</f>
        <v>139591.83673469388</v>
      </c>
      <c r="Y109" s="59">
        <f>(X109-W109)/X109</f>
        <v>0.12499999999999997</v>
      </c>
      <c r="Z109" s="58">
        <f>(ROUNDUP((X109/100),0))*100</f>
        <v>139600</v>
      </c>
      <c r="AA109" s="58"/>
      <c r="AB109" s="58"/>
      <c r="AC109" s="180"/>
      <c r="AD109" s="180"/>
      <c r="AE109" s="176"/>
      <c r="AF109" s="176"/>
      <c r="AG109" s="176"/>
      <c r="AH109" s="176"/>
    </row>
    <row r="110" spans="1:35" ht="14.45" customHeight="1" x14ac:dyDescent="0.2">
      <c r="A110" s="47">
        <v>53</v>
      </c>
      <c r="B110" s="48" t="str">
        <f>REPLACE(E110,1,3, )</f>
        <v xml:space="preserve"> 876</v>
      </c>
      <c r="C110" s="70" t="s">
        <v>175</v>
      </c>
      <c r="D110" s="49">
        <f>IF(E110=C110,0,1)</f>
        <v>0</v>
      </c>
      <c r="E110" s="48" t="s">
        <v>175</v>
      </c>
      <c r="F110" s="30" t="str">
        <f>REPLACE(E110,4,4, )</f>
        <v>SGB</v>
      </c>
      <c r="G110" s="33" t="s">
        <v>34</v>
      </c>
      <c r="H110" s="71" t="s">
        <v>160</v>
      </c>
      <c r="I110" s="33" t="s">
        <v>161</v>
      </c>
      <c r="J110" s="51">
        <v>87500</v>
      </c>
      <c r="K110" s="52">
        <f>J110-M110</f>
        <v>6150</v>
      </c>
      <c r="L110" s="49" t="s">
        <v>94</v>
      </c>
      <c r="M110" s="53">
        <f>J110-N110</f>
        <v>81350</v>
      </c>
      <c r="N110" s="54">
        <f>2000+200+350+600+3000</f>
        <v>6150</v>
      </c>
      <c r="O110" s="55">
        <f>M110+N110</f>
        <v>87500</v>
      </c>
      <c r="P110" s="47">
        <v>53</v>
      </c>
      <c r="Q110" s="56">
        <v>87500</v>
      </c>
      <c r="R110" s="41">
        <f>O110-Q110</f>
        <v>0</v>
      </c>
      <c r="S110" s="67"/>
      <c r="T110" s="33" t="s">
        <v>169</v>
      </c>
      <c r="U110" s="57">
        <v>2000</v>
      </c>
      <c r="V110" s="57">
        <f>U110+O110</f>
        <v>89500</v>
      </c>
      <c r="W110" s="57">
        <f>V110/0.7</f>
        <v>127857.14285714287</v>
      </c>
      <c r="X110" s="58">
        <f>W110/0.875</f>
        <v>146122.44897959186</v>
      </c>
      <c r="Y110" s="59">
        <f>(X110-W110)/X110</f>
        <v>0.12500000000000008</v>
      </c>
      <c r="Z110" s="58">
        <f>(ROUNDUP((X110/100),0))*100</f>
        <v>146200</v>
      </c>
      <c r="AA110" s="58"/>
      <c r="AB110" s="58"/>
      <c r="AC110" s="180"/>
      <c r="AD110" s="180"/>
      <c r="AE110" s="176"/>
      <c r="AF110" s="176"/>
      <c r="AG110" s="176"/>
      <c r="AH110" s="176"/>
      <c r="AI110" s="85"/>
    </row>
    <row r="111" spans="1:35" ht="14.45" customHeight="1" x14ac:dyDescent="0.2">
      <c r="A111" s="47">
        <v>483</v>
      </c>
      <c r="B111" s="48" t="str">
        <f>REPLACE(E111,1,3, )</f>
        <v xml:space="preserve"> 513</v>
      </c>
      <c r="C111" s="32" t="s">
        <v>961</v>
      </c>
      <c r="D111" s="49">
        <f>IF(E111=C111,0,1)</f>
        <v>0</v>
      </c>
      <c r="E111" s="47" t="s">
        <v>961</v>
      </c>
      <c r="F111" s="30" t="str">
        <f>REPLACE(E111,4,4, )</f>
        <v>SGD</v>
      </c>
      <c r="G111" s="30" t="s">
        <v>91</v>
      </c>
      <c r="H111" s="71" t="s">
        <v>958</v>
      </c>
      <c r="I111" s="30" t="s">
        <v>726</v>
      </c>
      <c r="J111" s="51">
        <v>68000</v>
      </c>
      <c r="K111" s="52">
        <f>J111-M111</f>
        <v>4250</v>
      </c>
      <c r="L111" s="49" t="s">
        <v>94</v>
      </c>
      <c r="M111" s="53">
        <f>J111-N111</f>
        <v>63750</v>
      </c>
      <c r="N111" s="53">
        <f>2000+200+350+600+300+800</f>
        <v>4250</v>
      </c>
      <c r="O111" s="55">
        <f>M111+N111</f>
        <v>68000</v>
      </c>
      <c r="P111" s="47">
        <v>483</v>
      </c>
      <c r="Q111" s="56">
        <v>68000</v>
      </c>
      <c r="R111" s="41">
        <f>O111-Q111</f>
        <v>0</v>
      </c>
      <c r="S111" s="67"/>
      <c r="T111" s="33" t="s">
        <v>588</v>
      </c>
      <c r="U111" s="57">
        <v>-2000</v>
      </c>
      <c r="V111" s="57">
        <f>U111+O111</f>
        <v>66000</v>
      </c>
      <c r="W111" s="57">
        <f>V111/0.7</f>
        <v>94285.71428571429</v>
      </c>
      <c r="X111" s="58">
        <f>W111/0.875</f>
        <v>107755.10204081633</v>
      </c>
      <c r="Y111" s="59">
        <f>(X111-W111)/X111</f>
        <v>0.125</v>
      </c>
      <c r="Z111" s="58">
        <f>(ROUNDUP((X111/100),0))*100</f>
        <v>107800</v>
      </c>
      <c r="AA111" s="178"/>
      <c r="AB111" s="178"/>
      <c r="AC111" s="177"/>
      <c r="AD111" s="177"/>
      <c r="AE111" s="179"/>
      <c r="AF111" s="179"/>
      <c r="AG111" s="179"/>
      <c r="AH111" s="179"/>
      <c r="AI111" s="85"/>
    </row>
    <row r="112" spans="1:35" ht="14.45" customHeight="1" x14ac:dyDescent="0.2">
      <c r="A112" s="47">
        <v>484</v>
      </c>
      <c r="B112" s="48" t="str">
        <f>REPLACE(E112,1,3, )</f>
        <v xml:space="preserve"> 584</v>
      </c>
      <c r="C112" s="32" t="s">
        <v>962</v>
      </c>
      <c r="D112" s="49">
        <f>IF(E112=C112,0,1)</f>
        <v>0</v>
      </c>
      <c r="E112" s="47" t="s">
        <v>962</v>
      </c>
      <c r="F112" s="30" t="str">
        <f>REPLACE(E112,4,4, )</f>
        <v>SGD</v>
      </c>
      <c r="G112" s="30" t="s">
        <v>91</v>
      </c>
      <c r="H112" s="34" t="s">
        <v>963</v>
      </c>
      <c r="I112" s="30" t="s">
        <v>726</v>
      </c>
      <c r="J112" s="51">
        <v>70000</v>
      </c>
      <c r="K112" s="52">
        <f>J112-M112</f>
        <v>4250</v>
      </c>
      <c r="L112" s="49" t="s">
        <v>94</v>
      </c>
      <c r="M112" s="53">
        <f>J112-N112</f>
        <v>65750</v>
      </c>
      <c r="N112" s="53">
        <f>2000+200+350+600+300+800</f>
        <v>4250</v>
      </c>
      <c r="O112" s="55">
        <f>M112+N112</f>
        <v>70000</v>
      </c>
      <c r="P112" s="47">
        <v>484</v>
      </c>
      <c r="Q112" s="56">
        <v>70000</v>
      </c>
      <c r="R112" s="41">
        <f>O112-Q112</f>
        <v>0</v>
      </c>
      <c r="S112" s="67"/>
      <c r="T112" s="33" t="s">
        <v>588</v>
      </c>
      <c r="U112" s="57">
        <v>-1000</v>
      </c>
      <c r="V112" s="57">
        <f>U112+O112</f>
        <v>69000</v>
      </c>
      <c r="W112" s="57">
        <f>V112/0.7</f>
        <v>98571.42857142858</v>
      </c>
      <c r="X112" s="58">
        <f>W112/0.875</f>
        <v>112653.06122448981</v>
      </c>
      <c r="Y112" s="59">
        <f>(X112-W112)/X112</f>
        <v>0.12500000000000003</v>
      </c>
      <c r="Z112" s="58">
        <f>(ROUNDUP((X112/100),0))*100</f>
        <v>112700</v>
      </c>
      <c r="AA112" s="178"/>
      <c r="AB112" s="178"/>
      <c r="AC112" s="177"/>
      <c r="AD112" s="177"/>
      <c r="AE112" s="179"/>
      <c r="AF112" s="179"/>
      <c r="AG112" s="179"/>
      <c r="AH112" s="179"/>
      <c r="AI112" s="85"/>
    </row>
    <row r="113" spans="1:35" s="91" customFormat="1" ht="14.45" customHeight="1" x14ac:dyDescent="0.2">
      <c r="A113" s="47">
        <v>353</v>
      </c>
      <c r="B113" s="48" t="str">
        <f>REPLACE(E113,1,3, )</f>
        <v xml:space="preserve"> 944</v>
      </c>
      <c r="C113" s="70" t="s">
        <v>725</v>
      </c>
      <c r="D113" s="49">
        <f>IF(E113=C113,0,1)</f>
        <v>0</v>
      </c>
      <c r="E113" s="47" t="s">
        <v>725</v>
      </c>
      <c r="F113" s="30" t="str">
        <f>REPLACE(E113,4,4, )</f>
        <v>SGD</v>
      </c>
      <c r="G113" s="30" t="s">
        <v>91</v>
      </c>
      <c r="H113" s="71" t="s">
        <v>340</v>
      </c>
      <c r="I113" s="30" t="s">
        <v>726</v>
      </c>
      <c r="J113" s="51">
        <v>103000</v>
      </c>
      <c r="K113" s="52">
        <f>J113-M113</f>
        <v>6450</v>
      </c>
      <c r="L113" s="49" t="s">
        <v>94</v>
      </c>
      <c r="M113" s="53">
        <f>J113-N113</f>
        <v>96550</v>
      </c>
      <c r="N113" s="53">
        <f>2000+200+350+600+300+3000</f>
        <v>6450</v>
      </c>
      <c r="O113" s="55">
        <f>M113+N113</f>
        <v>103000</v>
      </c>
      <c r="P113" s="47">
        <v>353</v>
      </c>
      <c r="Q113" s="56">
        <v>103000</v>
      </c>
      <c r="R113" s="41">
        <f>O113-Q113</f>
        <v>0</v>
      </c>
      <c r="S113" s="67"/>
      <c r="T113" s="33" t="s">
        <v>727</v>
      </c>
      <c r="U113" s="57"/>
      <c r="V113" s="57">
        <f>U113+O113</f>
        <v>103000</v>
      </c>
      <c r="W113" s="57">
        <f>V113/0.7</f>
        <v>147142.85714285716</v>
      </c>
      <c r="X113" s="58">
        <f>W113/0.875</f>
        <v>168163.26530612246</v>
      </c>
      <c r="Y113" s="59">
        <f>(X113-W113)/X113</f>
        <v>0.12499999999999993</v>
      </c>
      <c r="Z113" s="58">
        <f>(ROUNDUP((X113/100),0))*100</f>
        <v>168200</v>
      </c>
      <c r="AA113" s="178"/>
      <c r="AB113" s="178"/>
      <c r="AC113" s="177"/>
      <c r="AD113" s="177"/>
      <c r="AE113" s="179"/>
      <c r="AF113" s="179"/>
      <c r="AG113" s="179"/>
      <c r="AH113" s="179"/>
    </row>
    <row r="114" spans="1:35" ht="14.45" customHeight="1" x14ac:dyDescent="0.2">
      <c r="A114" s="47">
        <v>96</v>
      </c>
      <c r="B114" s="48" t="str">
        <f>REPLACE(E114,1,3, )</f>
        <v xml:space="preserve"> 382</v>
      </c>
      <c r="C114" s="70" t="s">
        <v>254</v>
      </c>
      <c r="D114" s="49">
        <f>IF(E114=C114,0,1)</f>
        <v>0</v>
      </c>
      <c r="E114" s="47" t="s">
        <v>254</v>
      </c>
      <c r="F114" s="30" t="str">
        <f>REPLACE(E114,4,4, )</f>
        <v>SGG</v>
      </c>
      <c r="G114" s="30" t="s">
        <v>91</v>
      </c>
      <c r="H114" s="34" t="s">
        <v>245</v>
      </c>
      <c r="I114" s="30" t="s">
        <v>252</v>
      </c>
      <c r="J114" s="51"/>
      <c r="K114" s="52">
        <f>J114-M114</f>
        <v>0</v>
      </c>
      <c r="L114" s="49"/>
      <c r="M114" s="53">
        <f>J114-N114</f>
        <v>0</v>
      </c>
      <c r="N114" s="53"/>
      <c r="O114" s="55">
        <f>M114+N114</f>
        <v>0</v>
      </c>
      <c r="P114" s="47">
        <v>96</v>
      </c>
      <c r="Q114" s="41"/>
      <c r="R114" s="41"/>
      <c r="S114" s="67"/>
      <c r="T114" s="33"/>
      <c r="U114" s="57"/>
      <c r="V114" s="57">
        <f>U114+O114</f>
        <v>0</v>
      </c>
      <c r="W114" s="57">
        <f>V114/0.7</f>
        <v>0</v>
      </c>
      <c r="X114" s="58">
        <f>W114/0.875</f>
        <v>0</v>
      </c>
      <c r="Y114" s="59" t="e">
        <f>(X114-W114)/X114</f>
        <v>#DIV/0!</v>
      </c>
      <c r="Z114" s="58">
        <f>(ROUNDUP((X114/100),0))*100</f>
        <v>0</v>
      </c>
      <c r="AA114" s="178"/>
      <c r="AB114" s="178"/>
      <c r="AC114" s="177"/>
      <c r="AD114" s="177"/>
      <c r="AE114" s="179"/>
      <c r="AF114" s="179"/>
      <c r="AG114" s="179"/>
      <c r="AH114" s="179"/>
      <c r="AI114" s="85"/>
    </row>
    <row r="115" spans="1:35" ht="14.45" customHeight="1" x14ac:dyDescent="0.2">
      <c r="A115" s="47">
        <v>94</v>
      </c>
      <c r="B115" s="48" t="str">
        <f>REPLACE(E115,1,3, )</f>
        <v xml:space="preserve"> 524</v>
      </c>
      <c r="C115" s="70" t="s">
        <v>251</v>
      </c>
      <c r="D115" s="49">
        <f>IF(E115=C115,0,1)</f>
        <v>0</v>
      </c>
      <c r="E115" s="47" t="s">
        <v>251</v>
      </c>
      <c r="F115" s="30" t="str">
        <f>REPLACE(E115,4,4, )</f>
        <v>SGG</v>
      </c>
      <c r="G115" s="30" t="s">
        <v>91</v>
      </c>
      <c r="H115" s="34" t="s">
        <v>245</v>
      </c>
      <c r="I115" s="30" t="s">
        <v>252</v>
      </c>
      <c r="J115" s="51"/>
      <c r="K115" s="52">
        <f>J115-M115</f>
        <v>0</v>
      </c>
      <c r="L115" s="49"/>
      <c r="M115" s="53">
        <f>J115-N115</f>
        <v>0</v>
      </c>
      <c r="N115" s="53"/>
      <c r="O115" s="55">
        <f>M115+N115</f>
        <v>0</v>
      </c>
      <c r="P115" s="47">
        <v>94</v>
      </c>
      <c r="Q115" s="41"/>
      <c r="R115" s="41"/>
      <c r="S115" s="67"/>
      <c r="T115" s="33"/>
      <c r="U115" s="57"/>
      <c r="V115" s="57">
        <f>U115+O115</f>
        <v>0</v>
      </c>
      <c r="W115" s="57">
        <f>V115/0.7</f>
        <v>0</v>
      </c>
      <c r="X115" s="58">
        <f>W115/0.875</f>
        <v>0</v>
      </c>
      <c r="Y115" s="59" t="e">
        <f>(X115-W115)/X115</f>
        <v>#DIV/0!</v>
      </c>
      <c r="Z115" s="58">
        <f>(ROUNDUP((X115/100),0))*100</f>
        <v>0</v>
      </c>
      <c r="AA115" s="178"/>
      <c r="AB115" s="178"/>
      <c r="AC115" s="177"/>
      <c r="AD115" s="177"/>
      <c r="AE115" s="179"/>
      <c r="AF115" s="179"/>
      <c r="AG115" s="179"/>
      <c r="AH115" s="179"/>
      <c r="AI115" s="85"/>
    </row>
    <row r="116" spans="1:35" ht="14.45" customHeight="1" x14ac:dyDescent="0.2">
      <c r="A116" s="47">
        <v>117</v>
      </c>
      <c r="B116" s="48" t="str">
        <f>REPLACE(E116,1,3, )</f>
        <v xml:space="preserve"> 895</v>
      </c>
      <c r="C116" s="70" t="s">
        <v>301</v>
      </c>
      <c r="D116" s="49">
        <f>IF(E116=C116,0,1)</f>
        <v>0</v>
      </c>
      <c r="E116" s="47" t="s">
        <v>301</v>
      </c>
      <c r="F116" s="30" t="str">
        <f>REPLACE(E116,4,4, )</f>
        <v>SGG</v>
      </c>
      <c r="G116" s="30" t="s">
        <v>91</v>
      </c>
      <c r="H116" s="34" t="s">
        <v>302</v>
      </c>
      <c r="I116" s="30" t="s">
        <v>252</v>
      </c>
      <c r="J116" s="51"/>
      <c r="K116" s="52">
        <f>J116-M116</f>
        <v>0</v>
      </c>
      <c r="L116" s="49"/>
      <c r="M116" s="53">
        <f>J116-N116</f>
        <v>0</v>
      </c>
      <c r="N116" s="53"/>
      <c r="O116" s="55">
        <f>M116+N116</f>
        <v>0</v>
      </c>
      <c r="P116" s="47">
        <v>117</v>
      </c>
      <c r="Q116" s="41"/>
      <c r="R116" s="41"/>
      <c r="S116" s="67"/>
      <c r="T116" s="33"/>
      <c r="U116" s="57"/>
      <c r="V116" s="57">
        <f>U116+O116</f>
        <v>0</v>
      </c>
      <c r="W116" s="57">
        <f>V116/0.7</f>
        <v>0</v>
      </c>
      <c r="X116" s="58">
        <f>W116/0.875</f>
        <v>0</v>
      </c>
      <c r="Y116" s="59" t="e">
        <f>(X116-W116)/X116</f>
        <v>#DIV/0!</v>
      </c>
      <c r="Z116" s="58">
        <f>(ROUNDUP((X116/100),0))*100</f>
        <v>0</v>
      </c>
      <c r="AA116" s="178"/>
      <c r="AB116" s="178"/>
      <c r="AC116" s="177"/>
      <c r="AD116" s="177"/>
      <c r="AE116" s="179"/>
      <c r="AF116" s="179"/>
      <c r="AG116" s="179"/>
      <c r="AH116" s="179"/>
      <c r="AI116" s="85"/>
    </row>
    <row r="117" spans="1:35" ht="14.45" customHeight="1" x14ac:dyDescent="0.2">
      <c r="A117" s="47">
        <v>187</v>
      </c>
      <c r="B117" s="48" t="str">
        <f>REPLACE(E117,1,3, )</f>
        <v xml:space="preserve"> 445</v>
      </c>
      <c r="C117" s="70" t="s">
        <v>431</v>
      </c>
      <c r="D117" s="49">
        <f>IF(E117=C117,0,1)</f>
        <v>0</v>
      </c>
      <c r="E117" s="48" t="s">
        <v>431</v>
      </c>
      <c r="F117" s="30" t="str">
        <f>REPLACE(E117,4,4, )</f>
        <v>SGI</v>
      </c>
      <c r="G117" s="33" t="s">
        <v>34</v>
      </c>
      <c r="H117" s="71" t="s">
        <v>360</v>
      </c>
      <c r="I117" s="33" t="s">
        <v>423</v>
      </c>
      <c r="J117" s="72">
        <v>48000</v>
      </c>
      <c r="K117" s="72">
        <f>J117-M117</f>
        <v>0</v>
      </c>
      <c r="L117" s="64" t="s">
        <v>87</v>
      </c>
      <c r="M117" s="73">
        <f>J117</f>
        <v>48000</v>
      </c>
      <c r="N117" s="74">
        <f>2000+2850+800+300</f>
        <v>5950</v>
      </c>
      <c r="O117" s="75">
        <f>M117+N117</f>
        <v>53950</v>
      </c>
      <c r="P117" s="47">
        <v>187</v>
      </c>
      <c r="Q117" s="76">
        <v>53950</v>
      </c>
      <c r="R117" s="41">
        <f>O117-Q117</f>
        <v>0</v>
      </c>
      <c r="S117" s="42" t="s">
        <v>88</v>
      </c>
      <c r="T117" s="47" t="s">
        <v>432</v>
      </c>
      <c r="U117" s="57">
        <v>1000</v>
      </c>
      <c r="V117" s="57">
        <f>U117+O117</f>
        <v>54950</v>
      </c>
      <c r="W117" s="57">
        <f>V117/0.7</f>
        <v>78500</v>
      </c>
      <c r="X117" s="58">
        <f>W117/0.875</f>
        <v>89714.28571428571</v>
      </c>
      <c r="Y117" s="59">
        <f>(X117-W117)/X117</f>
        <v>0.12499999999999996</v>
      </c>
      <c r="Z117" s="58">
        <f>(ROUNDUP((X117/100),0))*100</f>
        <v>89800</v>
      </c>
      <c r="AA117" s="58"/>
      <c r="AB117" s="58"/>
      <c r="AC117" s="180"/>
      <c r="AD117" s="180"/>
      <c r="AE117" s="176"/>
      <c r="AF117" s="176"/>
      <c r="AG117" s="176"/>
      <c r="AH117" s="176"/>
      <c r="AI117" s="85"/>
    </row>
    <row r="118" spans="1:35" s="91" customFormat="1" ht="14.45" customHeight="1" x14ac:dyDescent="0.2">
      <c r="A118" s="47">
        <v>196</v>
      </c>
      <c r="B118" s="48" t="str">
        <f>REPLACE(E118,1,3, )</f>
        <v xml:space="preserve"> 496</v>
      </c>
      <c r="C118" s="70" t="s">
        <v>449</v>
      </c>
      <c r="D118" s="49">
        <f>IF(E118=C118,0,1)</f>
        <v>0</v>
      </c>
      <c r="E118" s="32" t="s">
        <v>449</v>
      </c>
      <c r="F118" s="30" t="str">
        <f>REPLACE(E118,4,4, )</f>
        <v>SGI</v>
      </c>
      <c r="G118" s="30" t="s">
        <v>34</v>
      </c>
      <c r="H118" s="71" t="s">
        <v>441</v>
      </c>
      <c r="I118" s="30" t="s">
        <v>423</v>
      </c>
      <c r="J118" s="72">
        <v>53000</v>
      </c>
      <c r="K118" s="72">
        <f>J118-M118</f>
        <v>0</v>
      </c>
      <c r="L118" s="64" t="s">
        <v>87</v>
      </c>
      <c r="M118" s="73">
        <f>J118</f>
        <v>53000</v>
      </c>
      <c r="N118" s="74">
        <f>2000+2850+800+300</f>
        <v>5950</v>
      </c>
      <c r="O118" s="75">
        <f>M118+N118</f>
        <v>58950</v>
      </c>
      <c r="P118" s="47">
        <v>196</v>
      </c>
      <c r="Q118" s="76">
        <v>58950</v>
      </c>
      <c r="R118" s="41">
        <f>O118-Q118</f>
        <v>0</v>
      </c>
      <c r="S118" s="42" t="s">
        <v>88</v>
      </c>
      <c r="T118" s="47" t="s">
        <v>432</v>
      </c>
      <c r="U118" s="57"/>
      <c r="V118" s="57">
        <f>U118+O118</f>
        <v>58950</v>
      </c>
      <c r="W118" s="57">
        <f>V118/0.7</f>
        <v>84214.285714285725</v>
      </c>
      <c r="X118" s="58">
        <f>W118/0.875</f>
        <v>96244.897959183683</v>
      </c>
      <c r="Y118" s="59">
        <f>(X118-W118)/X118</f>
        <v>0.12499999999999999</v>
      </c>
      <c r="Z118" s="58">
        <f>(ROUNDUP((X118/100),0))*100</f>
        <v>96300</v>
      </c>
      <c r="AA118" s="58"/>
      <c r="AB118" s="58"/>
      <c r="AC118" s="180"/>
      <c r="AD118" s="180"/>
      <c r="AE118" s="176"/>
      <c r="AF118" s="176"/>
      <c r="AG118" s="176"/>
      <c r="AH118" s="176"/>
    </row>
    <row r="119" spans="1:35" ht="14.45" customHeight="1" x14ac:dyDescent="0.2">
      <c r="A119" s="47">
        <v>184</v>
      </c>
      <c r="B119" s="48" t="str">
        <f>REPLACE(E119,1,3, )</f>
        <v xml:space="preserve"> 778</v>
      </c>
      <c r="C119" s="70" t="s">
        <v>422</v>
      </c>
      <c r="D119" s="49">
        <f>IF(E119=C119,0,1)</f>
        <v>0</v>
      </c>
      <c r="E119" s="48" t="s">
        <v>422</v>
      </c>
      <c r="F119" s="30" t="str">
        <f>REPLACE(E119,4,4, )</f>
        <v>SGI</v>
      </c>
      <c r="G119" s="33" t="s">
        <v>34</v>
      </c>
      <c r="H119" s="71" t="s">
        <v>360</v>
      </c>
      <c r="I119" s="33" t="s">
        <v>423</v>
      </c>
      <c r="J119" s="72">
        <v>48000</v>
      </c>
      <c r="K119" s="72">
        <f>J119-M119</f>
        <v>0</v>
      </c>
      <c r="L119" s="64" t="s">
        <v>87</v>
      </c>
      <c r="M119" s="73">
        <f>J119</f>
        <v>48000</v>
      </c>
      <c r="N119" s="74">
        <f>2000+2850+800+300+800</f>
        <v>6750</v>
      </c>
      <c r="O119" s="75">
        <f>M119+N119</f>
        <v>54750</v>
      </c>
      <c r="P119" s="47">
        <v>184</v>
      </c>
      <c r="Q119" s="76">
        <v>54750</v>
      </c>
      <c r="R119" s="41">
        <f>O119-Q119</f>
        <v>0</v>
      </c>
      <c r="S119" s="67" t="s">
        <v>424</v>
      </c>
      <c r="T119" s="47" t="s">
        <v>425</v>
      </c>
      <c r="U119" s="57">
        <v>1000</v>
      </c>
      <c r="V119" s="57">
        <f>U119+O119</f>
        <v>55750</v>
      </c>
      <c r="W119" s="57">
        <f>V119/0.7</f>
        <v>79642.857142857145</v>
      </c>
      <c r="X119" s="58">
        <f>W119/0.875</f>
        <v>91020.408163265311</v>
      </c>
      <c r="Y119" s="59">
        <f>(X119-W119)/X119</f>
        <v>0.12500000000000003</v>
      </c>
      <c r="Z119" s="58">
        <f>(ROUNDUP((X119/100),0))*100</f>
        <v>91100</v>
      </c>
      <c r="AA119" s="58"/>
      <c r="AB119" s="58"/>
      <c r="AC119" s="180"/>
      <c r="AD119" s="180"/>
      <c r="AE119" s="176"/>
      <c r="AF119" s="176"/>
      <c r="AG119" s="176"/>
      <c r="AH119" s="176"/>
      <c r="AI119" s="85"/>
    </row>
    <row r="120" spans="1:35" ht="14.45" customHeight="1" x14ac:dyDescent="0.2">
      <c r="A120" s="47">
        <v>270</v>
      </c>
      <c r="B120" s="48" t="str">
        <f>REPLACE(E120,1,3, )</f>
        <v xml:space="preserve"> 115</v>
      </c>
      <c r="C120" s="70" t="s">
        <v>581</v>
      </c>
      <c r="D120" s="49">
        <f>IF(E120=C120,0,1)</f>
        <v>0</v>
      </c>
      <c r="E120" s="50" t="s">
        <v>581</v>
      </c>
      <c r="F120" s="30" t="str">
        <f>REPLACE(E120,4,4, )</f>
        <v>SGN</v>
      </c>
      <c r="G120" s="30" t="s">
        <v>34</v>
      </c>
      <c r="H120" s="34" t="s">
        <v>580</v>
      </c>
      <c r="I120" s="30" t="s">
        <v>582</v>
      </c>
      <c r="J120" s="72">
        <v>48000</v>
      </c>
      <c r="K120" s="72">
        <f>J120-M120</f>
        <v>3650</v>
      </c>
      <c r="L120" s="64" t="s">
        <v>106</v>
      </c>
      <c r="M120" s="74">
        <f>J120-N120</f>
        <v>44350</v>
      </c>
      <c r="N120" s="74">
        <f>2000+650+500+200+300</f>
        <v>3650</v>
      </c>
      <c r="O120" s="75">
        <f>M120+N120</f>
        <v>48000</v>
      </c>
      <c r="P120" s="47">
        <v>270</v>
      </c>
      <c r="Q120" s="76">
        <v>48000</v>
      </c>
      <c r="R120" s="41">
        <f>O120-Q120</f>
        <v>0</v>
      </c>
      <c r="S120" s="42" t="s">
        <v>88</v>
      </c>
      <c r="T120" s="47" t="s">
        <v>583</v>
      </c>
      <c r="U120" s="57">
        <v>5000</v>
      </c>
      <c r="V120" s="57">
        <f>U120+O120</f>
        <v>53000</v>
      </c>
      <c r="W120" s="57">
        <f>V120/0.7</f>
        <v>75714.285714285725</v>
      </c>
      <c r="X120" s="58">
        <f>W120/0.875</f>
        <v>86530.612244897973</v>
      </c>
      <c r="Y120" s="59">
        <f>(X120-W120)/X120</f>
        <v>0.12500000000000003</v>
      </c>
      <c r="Z120" s="58">
        <f>(ROUNDUP((X120/100),0))*100</f>
        <v>86600</v>
      </c>
      <c r="AA120" s="58"/>
      <c r="AB120" s="58"/>
      <c r="AC120" s="180"/>
      <c r="AD120" s="180"/>
      <c r="AE120" s="176"/>
      <c r="AF120" s="176"/>
      <c r="AG120" s="176"/>
      <c r="AH120" s="176"/>
      <c r="AI120" s="85"/>
    </row>
    <row r="121" spans="1:35" s="91" customFormat="1" ht="14.45" customHeight="1" x14ac:dyDescent="0.2">
      <c r="A121" s="47">
        <v>342</v>
      </c>
      <c r="B121" s="48" t="str">
        <f>REPLACE(E121,1,3, )</f>
        <v xml:space="preserve"> 754</v>
      </c>
      <c r="C121" s="70" t="s">
        <v>708</v>
      </c>
      <c r="D121" s="49">
        <f>IF(E121=C121,0,1)</f>
        <v>0</v>
      </c>
      <c r="E121" s="47" t="s">
        <v>708</v>
      </c>
      <c r="F121" s="30" t="str">
        <f>REPLACE(E121,4,4, )</f>
        <v>SGO</v>
      </c>
      <c r="G121" s="30" t="s">
        <v>91</v>
      </c>
      <c r="H121" s="71" t="s">
        <v>335</v>
      </c>
      <c r="I121" s="30" t="s">
        <v>709</v>
      </c>
      <c r="J121" s="51">
        <v>105000</v>
      </c>
      <c r="K121" s="52">
        <v>6050</v>
      </c>
      <c r="L121" s="49" t="s">
        <v>94</v>
      </c>
      <c r="M121" s="53">
        <v>98950</v>
      </c>
      <c r="N121" s="53">
        <v>6050</v>
      </c>
      <c r="O121" s="55">
        <v>105000</v>
      </c>
      <c r="P121" s="47">
        <v>342</v>
      </c>
      <c r="Q121" s="41"/>
      <c r="R121" s="41"/>
      <c r="S121" s="67"/>
      <c r="T121" s="33"/>
      <c r="U121" s="57"/>
      <c r="V121" s="57">
        <f>U121+O121</f>
        <v>105000</v>
      </c>
      <c r="W121" s="57">
        <f>V121/0.7</f>
        <v>150000</v>
      </c>
      <c r="X121" s="58">
        <f>W121/0.875</f>
        <v>171428.57142857142</v>
      </c>
      <c r="Y121" s="59"/>
      <c r="Z121" s="58">
        <f>(ROUNDUP((X121/100),0))*100</f>
        <v>171500</v>
      </c>
      <c r="AA121" s="178"/>
      <c r="AB121" s="178"/>
      <c r="AC121" s="177"/>
      <c r="AD121" s="177"/>
      <c r="AE121" s="179"/>
      <c r="AF121" s="179"/>
      <c r="AG121" s="179"/>
      <c r="AH121" s="179"/>
    </row>
    <row r="122" spans="1:35" ht="14.45" customHeight="1" x14ac:dyDescent="0.2">
      <c r="A122" s="47">
        <v>76</v>
      </c>
      <c r="B122" s="48" t="str">
        <f>REPLACE(E122,1,3, )</f>
        <v xml:space="preserve"> 534</v>
      </c>
      <c r="C122" s="70" t="s">
        <v>212</v>
      </c>
      <c r="D122" s="49">
        <f>IF(E122=C122,0,1)</f>
        <v>0</v>
      </c>
      <c r="E122" s="50" t="s">
        <v>212</v>
      </c>
      <c r="F122" s="30" t="str">
        <f>REPLACE(E122,4,4, )</f>
        <v>SGS</v>
      </c>
      <c r="G122" s="30" t="s">
        <v>34</v>
      </c>
      <c r="H122" s="34" t="s">
        <v>178</v>
      </c>
      <c r="I122" s="30" t="s">
        <v>213</v>
      </c>
      <c r="J122" s="72">
        <v>126000</v>
      </c>
      <c r="K122" s="72">
        <f>J122-M122</f>
        <v>0</v>
      </c>
      <c r="L122" s="64" t="s">
        <v>87</v>
      </c>
      <c r="M122" s="73">
        <f>J122</f>
        <v>126000</v>
      </c>
      <c r="N122" s="74">
        <f>2000+3000+500+200+300</f>
        <v>6000</v>
      </c>
      <c r="O122" s="75">
        <f>M122+N122</f>
        <v>132000</v>
      </c>
      <c r="P122" s="47">
        <v>76</v>
      </c>
      <c r="Q122" s="76"/>
      <c r="R122" s="41">
        <f>O122-Q122</f>
        <v>132000</v>
      </c>
      <c r="S122" s="67" t="s">
        <v>214</v>
      </c>
      <c r="T122" s="47" t="s">
        <v>215</v>
      </c>
      <c r="U122" s="57">
        <v>2000</v>
      </c>
      <c r="V122" s="57">
        <f>U122+O122</f>
        <v>134000</v>
      </c>
      <c r="W122" s="57">
        <f>V122/0.7</f>
        <v>191428.57142857145</v>
      </c>
      <c r="X122" s="58">
        <f>W122/0.875</f>
        <v>218775.51020408166</v>
      </c>
      <c r="Y122" s="59">
        <f>(X122-W122)/X122</f>
        <v>0.125</v>
      </c>
      <c r="Z122" s="58">
        <f>(ROUNDUP((X122/100),0))*100</f>
        <v>218800</v>
      </c>
      <c r="AA122" s="58"/>
      <c r="AB122" s="58"/>
      <c r="AC122" s="180"/>
      <c r="AD122" s="180"/>
      <c r="AE122" s="176"/>
      <c r="AF122" s="176"/>
      <c r="AG122" s="176"/>
      <c r="AH122" s="176"/>
      <c r="AI122" s="85"/>
    </row>
    <row r="123" spans="1:35" s="91" customFormat="1" ht="14.45" customHeight="1" x14ac:dyDescent="0.2">
      <c r="A123" s="47">
        <v>463</v>
      </c>
      <c r="B123" s="48" t="str">
        <f>REPLACE(E123,1,3, )</f>
        <v xml:space="preserve"> 472</v>
      </c>
      <c r="C123" s="32" t="s">
        <v>929</v>
      </c>
      <c r="D123" s="49">
        <f>IF(E123=C123,0,1)</f>
        <v>0</v>
      </c>
      <c r="E123" s="48" t="s">
        <v>929</v>
      </c>
      <c r="F123" s="30" t="str">
        <f>REPLACE(E123,4,4, )</f>
        <v>SGT</v>
      </c>
      <c r="G123" s="33" t="s">
        <v>34</v>
      </c>
      <c r="H123" s="71" t="s">
        <v>910</v>
      </c>
      <c r="I123" s="33" t="s">
        <v>927</v>
      </c>
      <c r="J123" s="51">
        <v>54000</v>
      </c>
      <c r="K123" s="52">
        <f>J123-M123</f>
        <v>6650</v>
      </c>
      <c r="L123" s="49" t="s">
        <v>94</v>
      </c>
      <c r="M123" s="53">
        <f>J123-N123</f>
        <v>47350</v>
      </c>
      <c r="N123" s="53">
        <f>2000+200+250+600+3600</f>
        <v>6650</v>
      </c>
      <c r="O123" s="55">
        <f>M123+N123</f>
        <v>54000</v>
      </c>
      <c r="P123" s="47">
        <v>463</v>
      </c>
      <c r="Q123" s="56">
        <v>54000</v>
      </c>
      <c r="R123" s="41">
        <f>O123-Q123</f>
        <v>0</v>
      </c>
      <c r="S123" s="67"/>
      <c r="T123" s="33" t="s">
        <v>857</v>
      </c>
      <c r="U123" s="57">
        <v>500</v>
      </c>
      <c r="V123" s="57">
        <f>U123+O123</f>
        <v>54500</v>
      </c>
      <c r="W123" s="57">
        <f>V123/0.7</f>
        <v>77857.142857142855</v>
      </c>
      <c r="X123" s="58">
        <f>W123/0.875</f>
        <v>88979.591836734689</v>
      </c>
      <c r="Y123" s="59">
        <f>(X123-W123)/X123</f>
        <v>0.12499999999999999</v>
      </c>
      <c r="Z123" s="58">
        <f>(ROUNDUP((X123/100),0))*100</f>
        <v>89000</v>
      </c>
      <c r="AA123" s="58"/>
      <c r="AB123" s="58"/>
      <c r="AC123" s="180"/>
      <c r="AD123" s="180"/>
      <c r="AE123" s="176"/>
      <c r="AF123" s="176"/>
      <c r="AG123" s="176"/>
      <c r="AH123" s="176"/>
    </row>
    <row r="124" spans="1:35" ht="14.45" customHeight="1" x14ac:dyDescent="0.2">
      <c r="A124" s="47">
        <v>472</v>
      </c>
      <c r="B124" s="48" t="str">
        <f>REPLACE(E124,1,3, )</f>
        <v xml:space="preserve"> 687</v>
      </c>
      <c r="C124" s="32" t="s">
        <v>943</v>
      </c>
      <c r="D124" s="49">
        <f>IF(E124=C124,0,1)</f>
        <v>0</v>
      </c>
      <c r="E124" s="49" t="s">
        <v>943</v>
      </c>
      <c r="F124" s="30" t="str">
        <f>REPLACE(E124,4,4, )</f>
        <v>SGT</v>
      </c>
      <c r="G124" s="33" t="s">
        <v>91</v>
      </c>
      <c r="H124" s="71" t="s">
        <v>910</v>
      </c>
      <c r="I124" s="33" t="s">
        <v>927</v>
      </c>
      <c r="J124" s="51">
        <v>52500</v>
      </c>
      <c r="K124" s="52">
        <f>J124-M124</f>
        <v>6650</v>
      </c>
      <c r="L124" s="49" t="s">
        <v>94</v>
      </c>
      <c r="M124" s="53">
        <f>J124-N124</f>
        <v>45850</v>
      </c>
      <c r="N124" s="53">
        <f>2000+200+250+600+3600</f>
        <v>6650</v>
      </c>
      <c r="O124" s="55">
        <f>M124+N124</f>
        <v>52500</v>
      </c>
      <c r="P124" s="47">
        <v>472</v>
      </c>
      <c r="Q124" s="56">
        <v>52500</v>
      </c>
      <c r="R124" s="41">
        <f>O124-Q124</f>
        <v>0</v>
      </c>
      <c r="S124" s="67"/>
      <c r="T124" s="33" t="s">
        <v>857</v>
      </c>
      <c r="U124" s="57"/>
      <c r="V124" s="57">
        <f>U124+O124</f>
        <v>52500</v>
      </c>
      <c r="W124" s="57">
        <f>V124/0.7</f>
        <v>75000</v>
      </c>
      <c r="X124" s="58">
        <f>W124/0.875</f>
        <v>85714.28571428571</v>
      </c>
      <c r="Y124" s="59">
        <f>(X124-W124)/X124</f>
        <v>0.12499999999999996</v>
      </c>
      <c r="Z124" s="58">
        <f>(ROUNDUP((X124/100),0))*100</f>
        <v>85800</v>
      </c>
      <c r="AA124" s="178" t="s">
        <v>1780</v>
      </c>
      <c r="AB124" s="224">
        <v>43420</v>
      </c>
      <c r="AC124" s="177"/>
      <c r="AD124" s="177"/>
      <c r="AE124" s="179"/>
      <c r="AF124" s="179"/>
      <c r="AG124" s="179"/>
      <c r="AH124" s="179"/>
      <c r="AI124" s="85"/>
    </row>
    <row r="125" spans="1:35" ht="14.45" customHeight="1" x14ac:dyDescent="0.2">
      <c r="A125" s="47">
        <v>474</v>
      </c>
      <c r="B125" s="48" t="str">
        <f>REPLACE(E125,1,3, )</f>
        <v xml:space="preserve"> 743</v>
      </c>
      <c r="C125" s="32" t="s">
        <v>945</v>
      </c>
      <c r="D125" s="49">
        <f>IF(E125=C125,0,1)</f>
        <v>0</v>
      </c>
      <c r="E125" s="49" t="s">
        <v>945</v>
      </c>
      <c r="F125" s="30" t="str">
        <f>REPLACE(E125,4,4, )</f>
        <v>SGT</v>
      </c>
      <c r="G125" s="33" t="s">
        <v>91</v>
      </c>
      <c r="H125" s="71" t="s">
        <v>910</v>
      </c>
      <c r="I125" s="33" t="s">
        <v>927</v>
      </c>
      <c r="J125" s="51">
        <v>52500</v>
      </c>
      <c r="K125" s="52">
        <f>J125-M125</f>
        <v>6650</v>
      </c>
      <c r="L125" s="49" t="s">
        <v>94</v>
      </c>
      <c r="M125" s="53">
        <f>J125-N125</f>
        <v>45850</v>
      </c>
      <c r="N125" s="53">
        <f>2000+200+250+600+3600</f>
        <v>6650</v>
      </c>
      <c r="O125" s="55">
        <f>M125+N125</f>
        <v>52500</v>
      </c>
      <c r="P125" s="47">
        <v>474</v>
      </c>
      <c r="Q125" s="56">
        <v>52500</v>
      </c>
      <c r="R125" s="41">
        <f>O125-Q125</f>
        <v>0</v>
      </c>
      <c r="S125" s="67"/>
      <c r="T125" s="33" t="s">
        <v>857</v>
      </c>
      <c r="U125" s="57"/>
      <c r="V125" s="57">
        <f>U125+O125</f>
        <v>52500</v>
      </c>
      <c r="W125" s="57">
        <f>V125/0.7</f>
        <v>75000</v>
      </c>
      <c r="X125" s="58">
        <f>W125/0.875</f>
        <v>85714.28571428571</v>
      </c>
      <c r="Y125" s="59">
        <f>(X125-W125)/X125</f>
        <v>0.12499999999999996</v>
      </c>
      <c r="Z125" s="58">
        <f>(ROUNDUP((X125/100),0))*100</f>
        <v>85800</v>
      </c>
      <c r="AA125" s="178" t="s">
        <v>1780</v>
      </c>
      <c r="AB125" s="224">
        <v>43420</v>
      </c>
      <c r="AC125" s="177" t="s">
        <v>1790</v>
      </c>
      <c r="AD125" s="224">
        <v>43445</v>
      </c>
      <c r="AE125" s="179">
        <v>45850</v>
      </c>
      <c r="AF125" s="179" t="s">
        <v>1803</v>
      </c>
      <c r="AG125" s="179">
        <v>6650</v>
      </c>
      <c r="AH125" s="179">
        <v>52500</v>
      </c>
      <c r="AI125" s="85"/>
    </row>
    <row r="126" spans="1:35" ht="14.45" customHeight="1" x14ac:dyDescent="0.2">
      <c r="A126" s="47">
        <v>468</v>
      </c>
      <c r="B126" s="48" t="str">
        <f>REPLACE(E126,1,3, )</f>
        <v xml:space="preserve"> 783</v>
      </c>
      <c r="C126" s="58" t="s">
        <v>1780</v>
      </c>
      <c r="D126" s="217">
        <v>43420</v>
      </c>
      <c r="E126" s="49" t="s">
        <v>939</v>
      </c>
      <c r="F126" s="30" t="str">
        <f>REPLACE(E126,4,4, )</f>
        <v>SGT</v>
      </c>
      <c r="G126" s="33" t="s">
        <v>91</v>
      </c>
      <c r="H126" s="71" t="s">
        <v>910</v>
      </c>
      <c r="I126" s="33" t="s">
        <v>927</v>
      </c>
      <c r="J126" s="51">
        <v>52500</v>
      </c>
      <c r="K126" s="52">
        <f>J126-M126</f>
        <v>6650</v>
      </c>
      <c r="L126" s="49" t="s">
        <v>94</v>
      </c>
      <c r="M126" s="53">
        <f>J126-N126</f>
        <v>45850</v>
      </c>
      <c r="N126" s="53">
        <f>2000+200+250+600+3600</f>
        <v>6650</v>
      </c>
      <c r="O126" s="55">
        <f>M126+N126</f>
        <v>52500</v>
      </c>
      <c r="P126" s="47">
        <v>468</v>
      </c>
      <c r="Q126" s="56">
        <v>52500</v>
      </c>
      <c r="R126" s="41">
        <f>O126-Q126</f>
        <v>0</v>
      </c>
      <c r="S126" s="42"/>
      <c r="T126" s="33" t="s">
        <v>857</v>
      </c>
      <c r="U126" s="57"/>
      <c r="V126" s="57">
        <f>U126+O126</f>
        <v>52500</v>
      </c>
      <c r="W126" s="57">
        <f>V126/0.7</f>
        <v>75000</v>
      </c>
      <c r="X126" s="58">
        <f>W126/0.875</f>
        <v>85714.28571428571</v>
      </c>
      <c r="Y126" s="59">
        <f>(X126-W126)/X126</f>
        <v>0.12499999999999996</v>
      </c>
      <c r="Z126" s="58">
        <f>(ROUNDUP((X126/100),0))*100</f>
        <v>85800</v>
      </c>
      <c r="AA126" s="178"/>
      <c r="AB126" s="178"/>
      <c r="AC126" s="177"/>
      <c r="AD126" s="177"/>
      <c r="AE126" s="179"/>
      <c r="AF126" s="179"/>
      <c r="AG126" s="179"/>
      <c r="AH126" s="179"/>
      <c r="AI126" s="85"/>
    </row>
    <row r="127" spans="1:35" ht="14.45" customHeight="1" x14ac:dyDescent="0.2">
      <c r="A127" s="47">
        <v>462</v>
      </c>
      <c r="B127" s="48" t="str">
        <f>REPLACE(E127,1,3, )</f>
        <v xml:space="preserve"> 935</v>
      </c>
      <c r="C127" s="32" t="s">
        <v>928</v>
      </c>
      <c r="D127" s="49">
        <f>IF(E127=C127,0,1)</f>
        <v>0</v>
      </c>
      <c r="E127" s="49" t="s">
        <v>928</v>
      </c>
      <c r="F127" s="30" t="str">
        <f>REPLACE(E127,4,4, )</f>
        <v>SGT</v>
      </c>
      <c r="G127" s="33" t="s">
        <v>91</v>
      </c>
      <c r="H127" s="71" t="s">
        <v>910</v>
      </c>
      <c r="I127" s="33" t="s">
        <v>927</v>
      </c>
      <c r="J127" s="51">
        <v>49000</v>
      </c>
      <c r="K127" s="52">
        <f>J127-M127</f>
        <v>6650</v>
      </c>
      <c r="L127" s="49" t="s">
        <v>94</v>
      </c>
      <c r="M127" s="53">
        <f>J127-N127</f>
        <v>42350</v>
      </c>
      <c r="N127" s="53">
        <f>2000+200+250+600+3600</f>
        <v>6650</v>
      </c>
      <c r="O127" s="55">
        <f>M127+N127</f>
        <v>49000</v>
      </c>
      <c r="P127" s="47">
        <v>462</v>
      </c>
      <c r="Q127" s="56">
        <v>49000</v>
      </c>
      <c r="R127" s="41">
        <f>O127-Q127</f>
        <v>0</v>
      </c>
      <c r="S127" s="67"/>
      <c r="T127" s="33" t="s">
        <v>857</v>
      </c>
      <c r="U127" s="57"/>
      <c r="V127" s="57">
        <f>U127+O127</f>
        <v>49000</v>
      </c>
      <c r="W127" s="57">
        <f>V127/0.7</f>
        <v>70000</v>
      </c>
      <c r="X127" s="58">
        <f>W127/0.875</f>
        <v>80000</v>
      </c>
      <c r="Y127" s="59">
        <f>(X127-W127)/X127</f>
        <v>0.125</v>
      </c>
      <c r="Z127" s="58">
        <f>(ROUNDUP((X127/100),0))*100</f>
        <v>80000</v>
      </c>
      <c r="AA127" s="178" t="s">
        <v>1780</v>
      </c>
      <c r="AB127" s="224">
        <v>43420</v>
      </c>
      <c r="AC127" s="177"/>
      <c r="AD127" s="177"/>
      <c r="AE127" s="179"/>
      <c r="AF127" s="179"/>
      <c r="AG127" s="179"/>
      <c r="AH127" s="179"/>
      <c r="AI127" s="85"/>
    </row>
    <row r="128" spans="1:35" ht="14.45" customHeight="1" x14ac:dyDescent="0.2">
      <c r="A128" s="47">
        <v>461</v>
      </c>
      <c r="B128" s="48" t="str">
        <f>REPLACE(E128,1,3, )</f>
        <v xml:space="preserve"> 985</v>
      </c>
      <c r="C128" s="32" t="s">
        <v>926</v>
      </c>
      <c r="D128" s="49">
        <f>IF(E128=C128,0,1)</f>
        <v>0</v>
      </c>
      <c r="E128" s="49" t="s">
        <v>926</v>
      </c>
      <c r="F128" s="30" t="str">
        <f>REPLACE(E128,4,4, )</f>
        <v>SGT</v>
      </c>
      <c r="G128" s="33" t="s">
        <v>91</v>
      </c>
      <c r="H128" s="71" t="s">
        <v>910</v>
      </c>
      <c r="I128" s="33" t="s">
        <v>927</v>
      </c>
      <c r="J128" s="51">
        <v>67000</v>
      </c>
      <c r="K128" s="52">
        <f>J128-M128</f>
        <v>6650</v>
      </c>
      <c r="L128" s="49" t="s">
        <v>94</v>
      </c>
      <c r="M128" s="53">
        <f>J128-N128</f>
        <v>60350</v>
      </c>
      <c r="N128" s="53">
        <f>2000+200+250+600+3600</f>
        <v>6650</v>
      </c>
      <c r="O128" s="55">
        <f>M128+N128</f>
        <v>67000</v>
      </c>
      <c r="P128" s="47">
        <v>461</v>
      </c>
      <c r="Q128" s="56">
        <v>67000</v>
      </c>
      <c r="R128" s="41">
        <f>O128-Q128</f>
        <v>0</v>
      </c>
      <c r="S128" s="67" t="s">
        <v>276</v>
      </c>
      <c r="T128" s="33" t="s">
        <v>857</v>
      </c>
      <c r="U128" s="57"/>
      <c r="V128" s="57">
        <f>U128+O128</f>
        <v>67000</v>
      </c>
      <c r="W128" s="57">
        <f>V128/0.7</f>
        <v>95714.285714285725</v>
      </c>
      <c r="X128" s="58">
        <f>W128/0.875</f>
        <v>109387.75510204083</v>
      </c>
      <c r="Y128" s="59">
        <f>(X128-W128)/X128</f>
        <v>0.125</v>
      </c>
      <c r="Z128" s="58">
        <f>(ROUNDUP((X128/100),0))*100</f>
        <v>109400</v>
      </c>
      <c r="AA128" s="178" t="s">
        <v>1780</v>
      </c>
      <c r="AB128" s="224">
        <v>43420</v>
      </c>
      <c r="AC128" s="177"/>
      <c r="AD128" s="177"/>
      <c r="AE128" s="179"/>
      <c r="AF128" s="179"/>
      <c r="AG128" s="179"/>
      <c r="AH128" s="179"/>
      <c r="AI128" s="85"/>
    </row>
    <row r="129" spans="1:35" ht="14.45" customHeight="1" x14ac:dyDescent="0.2">
      <c r="A129" s="47">
        <v>318</v>
      </c>
      <c r="B129" s="48" t="str">
        <f>REPLACE(E129,1,3, )</f>
        <v xml:space="preserve"> 283</v>
      </c>
      <c r="C129" s="70" t="s">
        <v>667</v>
      </c>
      <c r="D129" s="49">
        <f>IF(E129=C129,0,1)</f>
        <v>0</v>
      </c>
      <c r="E129" s="50" t="s">
        <v>667</v>
      </c>
      <c r="F129" s="30" t="str">
        <f>REPLACE(E129,4,4, )</f>
        <v>SGU</v>
      </c>
      <c r="G129" s="30" t="s">
        <v>34</v>
      </c>
      <c r="H129" s="34" t="s">
        <v>652</v>
      </c>
      <c r="I129" s="30" t="s">
        <v>315</v>
      </c>
      <c r="J129" s="51">
        <v>81500</v>
      </c>
      <c r="K129" s="52">
        <f>J129-M129</f>
        <v>6150</v>
      </c>
      <c r="L129" s="49" t="s">
        <v>94</v>
      </c>
      <c r="M129" s="53">
        <f>J129-N129</f>
        <v>75350</v>
      </c>
      <c r="N129" s="54">
        <f>2000+200+350+600+3000</f>
        <v>6150</v>
      </c>
      <c r="O129" s="55">
        <f>M129+N129</f>
        <v>81500</v>
      </c>
      <c r="P129" s="47">
        <v>318</v>
      </c>
      <c r="Q129" s="56">
        <v>81500</v>
      </c>
      <c r="R129" s="41">
        <f>O129-Q129</f>
        <v>0</v>
      </c>
      <c r="S129" s="67"/>
      <c r="T129" s="33" t="s">
        <v>653</v>
      </c>
      <c r="U129" s="57">
        <v>1000</v>
      </c>
      <c r="V129" s="57">
        <f>U129+O129</f>
        <v>82500</v>
      </c>
      <c r="W129" s="57">
        <f>V129/0.7</f>
        <v>117857.14285714287</v>
      </c>
      <c r="X129" s="58">
        <f>W129/0.875</f>
        <v>134693.87755102041</v>
      </c>
      <c r="Y129" s="59">
        <f>(X129-W129)/X129</f>
        <v>0.12499999999999994</v>
      </c>
      <c r="Z129" s="58">
        <f>(ROUNDUP((X129/100),0))*100</f>
        <v>134700</v>
      </c>
      <c r="AA129" s="58"/>
      <c r="AB129" s="58"/>
      <c r="AC129" s="180"/>
      <c r="AD129" s="180"/>
      <c r="AE129" s="176"/>
      <c r="AF129" s="176"/>
      <c r="AG129" s="176"/>
      <c r="AH129" s="176"/>
      <c r="AI129" s="85"/>
    </row>
    <row r="130" spans="1:35" s="91" customFormat="1" ht="14.45" customHeight="1" x14ac:dyDescent="0.2">
      <c r="A130" s="47">
        <v>328</v>
      </c>
      <c r="B130" s="48" t="str">
        <f>REPLACE(E130,1,3, )</f>
        <v xml:space="preserve"> 420</v>
      </c>
      <c r="C130" s="70" t="s">
        <v>686</v>
      </c>
      <c r="D130" s="49">
        <f>IF(E130=C130,0,1)</f>
        <v>0</v>
      </c>
      <c r="E130" s="50" t="s">
        <v>686</v>
      </c>
      <c r="F130" s="30" t="str">
        <f>REPLACE(E130,4,4, )</f>
        <v>SGU</v>
      </c>
      <c r="G130" s="30" t="s">
        <v>34</v>
      </c>
      <c r="H130" s="34" t="s">
        <v>652</v>
      </c>
      <c r="I130" s="30" t="s">
        <v>315</v>
      </c>
      <c r="J130" s="51">
        <v>85500</v>
      </c>
      <c r="K130" s="52">
        <f>J130-M130</f>
        <v>6950</v>
      </c>
      <c r="L130" s="49" t="s">
        <v>94</v>
      </c>
      <c r="M130" s="53">
        <f>J130-N130</f>
        <v>78550</v>
      </c>
      <c r="N130" s="54">
        <f>2000+200+350+600+800+3000</f>
        <v>6950</v>
      </c>
      <c r="O130" s="55">
        <f>M130+N130</f>
        <v>85500</v>
      </c>
      <c r="P130" s="47">
        <v>328</v>
      </c>
      <c r="Q130" s="56">
        <v>85500</v>
      </c>
      <c r="R130" s="41">
        <f>O130-Q130</f>
        <v>0</v>
      </c>
      <c r="S130" s="67"/>
      <c r="T130" s="33" t="s">
        <v>687</v>
      </c>
      <c r="U130" s="57">
        <v>1000</v>
      </c>
      <c r="V130" s="57">
        <f>U130+O130</f>
        <v>86500</v>
      </c>
      <c r="W130" s="57">
        <f>V130/0.7</f>
        <v>123571.42857142858</v>
      </c>
      <c r="X130" s="58">
        <f>W130/0.875</f>
        <v>141224.48979591837</v>
      </c>
      <c r="Y130" s="59">
        <f>(X130-W130)/X130</f>
        <v>0.12499999999999997</v>
      </c>
      <c r="Z130" s="58">
        <f>(ROUNDUP((X130/100),0))*100</f>
        <v>141300</v>
      </c>
      <c r="AA130" s="58"/>
      <c r="AB130" s="58"/>
      <c r="AC130" s="180"/>
      <c r="AD130" s="180"/>
      <c r="AE130" s="176"/>
      <c r="AF130" s="176"/>
      <c r="AG130" s="176"/>
      <c r="AH130" s="176"/>
    </row>
    <row r="131" spans="1:35" ht="14.45" customHeight="1" x14ac:dyDescent="0.2">
      <c r="A131" s="47">
        <v>312</v>
      </c>
      <c r="B131" s="48" t="str">
        <f>REPLACE(E131,1,3, )</f>
        <v xml:space="preserve"> 623</v>
      </c>
      <c r="C131" s="70" t="s">
        <v>654</v>
      </c>
      <c r="D131" s="49">
        <f>IF(E131=C131,0,1)</f>
        <v>0</v>
      </c>
      <c r="E131" s="47" t="s">
        <v>654</v>
      </c>
      <c r="F131" s="30" t="str">
        <f>REPLACE(E131,4,4, )</f>
        <v>SGU</v>
      </c>
      <c r="G131" s="30" t="s">
        <v>91</v>
      </c>
      <c r="H131" s="34" t="s">
        <v>652</v>
      </c>
      <c r="I131" s="30" t="s">
        <v>315</v>
      </c>
      <c r="J131" s="51">
        <v>81500</v>
      </c>
      <c r="K131" s="52">
        <f>J131-M131</f>
        <v>6150</v>
      </c>
      <c r="L131" s="49" t="s">
        <v>94</v>
      </c>
      <c r="M131" s="53">
        <f>J131-N131</f>
        <v>75350</v>
      </c>
      <c r="N131" s="53">
        <f>2000+200+350+600+3000</f>
        <v>6150</v>
      </c>
      <c r="O131" s="55">
        <f>M131+N131</f>
        <v>81500</v>
      </c>
      <c r="P131" s="47">
        <v>312</v>
      </c>
      <c r="Q131" s="56">
        <v>81500</v>
      </c>
      <c r="R131" s="41">
        <f>O131-Q131</f>
        <v>0</v>
      </c>
      <c r="S131" s="67"/>
      <c r="T131" s="33" t="s">
        <v>653</v>
      </c>
      <c r="U131" s="57"/>
      <c r="V131" s="57">
        <f>U131+O131</f>
        <v>81500</v>
      </c>
      <c r="W131" s="57">
        <f>V131/0.7</f>
        <v>116428.57142857143</v>
      </c>
      <c r="X131" s="58">
        <f>W131/0.875</f>
        <v>133061.22448979592</v>
      </c>
      <c r="Y131" s="59">
        <f>(X131-W131)/X131</f>
        <v>0.12499999999999994</v>
      </c>
      <c r="Z131" s="58">
        <f>(ROUNDUP((X131/100),0))*100</f>
        <v>133100</v>
      </c>
      <c r="AA131" s="178"/>
      <c r="AB131" s="178"/>
      <c r="AC131" s="177"/>
      <c r="AD131" s="177"/>
      <c r="AE131" s="179"/>
      <c r="AF131" s="179"/>
      <c r="AG131" s="179"/>
      <c r="AH131" s="179"/>
      <c r="AI131" s="85"/>
    </row>
    <row r="132" spans="1:35" ht="14.45" customHeight="1" x14ac:dyDescent="0.2">
      <c r="A132" s="47">
        <v>303</v>
      </c>
      <c r="B132" s="48" t="str">
        <f>REPLACE(E132,1,3, )</f>
        <v xml:space="preserve"> 626</v>
      </c>
      <c r="C132" s="70" t="s">
        <v>635</v>
      </c>
      <c r="D132" s="49">
        <f>IF(E132=C132,0,1)</f>
        <v>0</v>
      </c>
      <c r="E132" s="50" t="s">
        <v>635</v>
      </c>
      <c r="F132" s="30" t="str">
        <f>REPLACE(E132,4,4, )</f>
        <v>SGU</v>
      </c>
      <c r="G132" s="30" t="s">
        <v>34</v>
      </c>
      <c r="H132" s="34" t="s">
        <v>580</v>
      </c>
      <c r="I132" s="30" t="s">
        <v>315</v>
      </c>
      <c r="J132" s="51">
        <v>47000</v>
      </c>
      <c r="K132" s="52">
        <f>J132-M132</f>
        <v>3950</v>
      </c>
      <c r="L132" s="49" t="s">
        <v>94</v>
      </c>
      <c r="M132" s="53">
        <f>J132-N132</f>
        <v>43050</v>
      </c>
      <c r="N132" s="53">
        <f>2000+200+350+600+800</f>
        <v>3950</v>
      </c>
      <c r="O132" s="55">
        <f>M132+N132</f>
        <v>47000</v>
      </c>
      <c r="P132" s="47">
        <v>303</v>
      </c>
      <c r="Q132" s="56">
        <v>47000</v>
      </c>
      <c r="R132" s="41">
        <f>O132-Q132</f>
        <v>0</v>
      </c>
      <c r="S132" s="67"/>
      <c r="T132" s="33" t="s">
        <v>98</v>
      </c>
      <c r="U132" s="57">
        <v>3000</v>
      </c>
      <c r="V132" s="57">
        <f>U132+O132</f>
        <v>50000</v>
      </c>
      <c r="W132" s="57">
        <f>V132/0.7</f>
        <v>71428.571428571435</v>
      </c>
      <c r="X132" s="58">
        <f>W132/0.875</f>
        <v>81632.653061224497</v>
      </c>
      <c r="Y132" s="59">
        <f>(X132-W132)/X132</f>
        <v>0.125</v>
      </c>
      <c r="Z132" s="58">
        <f>(ROUNDUP((X132/100),0))*100</f>
        <v>81700</v>
      </c>
      <c r="AA132" s="58"/>
      <c r="AB132" s="58"/>
      <c r="AC132" s="180"/>
      <c r="AD132" s="180"/>
      <c r="AE132" s="176"/>
      <c r="AF132" s="176"/>
      <c r="AG132" s="176"/>
      <c r="AH132" s="176"/>
      <c r="AI132" s="85"/>
    </row>
    <row r="133" spans="1:35" ht="14.45" customHeight="1" x14ac:dyDescent="0.2">
      <c r="A133" s="47">
        <v>311</v>
      </c>
      <c r="B133" s="48" t="str">
        <f>REPLACE(E133,1,3, )</f>
        <v xml:space="preserve"> 782</v>
      </c>
      <c r="C133" s="70" t="s">
        <v>651</v>
      </c>
      <c r="D133" s="49">
        <f>IF(E133=C133,0,1)</f>
        <v>0</v>
      </c>
      <c r="E133" s="47" t="s">
        <v>651</v>
      </c>
      <c r="F133" s="30" t="str">
        <f>REPLACE(E133,4,4, )</f>
        <v>SGU</v>
      </c>
      <c r="G133" s="30" t="s">
        <v>91</v>
      </c>
      <c r="H133" s="34" t="s">
        <v>652</v>
      </c>
      <c r="I133" s="30" t="s">
        <v>315</v>
      </c>
      <c r="J133" s="51">
        <v>81500</v>
      </c>
      <c r="K133" s="52">
        <f>J133-M133</f>
        <v>6150</v>
      </c>
      <c r="L133" s="49" t="s">
        <v>94</v>
      </c>
      <c r="M133" s="53">
        <f>J133-N133</f>
        <v>75350</v>
      </c>
      <c r="N133" s="53">
        <f>2000+200+350+600+3000</f>
        <v>6150</v>
      </c>
      <c r="O133" s="55">
        <f>M133+N133</f>
        <v>81500</v>
      </c>
      <c r="P133" s="47">
        <v>311</v>
      </c>
      <c r="Q133" s="56">
        <v>81500</v>
      </c>
      <c r="R133" s="41">
        <f>O133-Q133</f>
        <v>0</v>
      </c>
      <c r="S133" s="67"/>
      <c r="T133" s="33" t="s">
        <v>653</v>
      </c>
      <c r="U133" s="57"/>
      <c r="V133" s="57">
        <f>U133+O133</f>
        <v>81500</v>
      </c>
      <c r="W133" s="57">
        <f>V133/0.7</f>
        <v>116428.57142857143</v>
      </c>
      <c r="X133" s="58">
        <f>W133/0.875</f>
        <v>133061.22448979592</v>
      </c>
      <c r="Y133" s="59">
        <f>(X133-W133)/X133</f>
        <v>0.12499999999999994</v>
      </c>
      <c r="Z133" s="58">
        <f>(ROUNDUP((X133/100),0))*100</f>
        <v>133100</v>
      </c>
      <c r="AA133" s="178"/>
      <c r="AB133" s="178"/>
      <c r="AC133" s="177"/>
      <c r="AD133" s="177"/>
      <c r="AE133" s="179"/>
      <c r="AF133" s="179"/>
      <c r="AG133" s="179"/>
      <c r="AH133" s="179"/>
      <c r="AI133" s="85"/>
    </row>
    <row r="134" spans="1:35" ht="14.45" customHeight="1" x14ac:dyDescent="0.2">
      <c r="A134" s="47">
        <v>269</v>
      </c>
      <c r="B134" s="48" t="str">
        <f>REPLACE(E134,1,3, )</f>
        <v xml:space="preserve"> 861</v>
      </c>
      <c r="C134" s="70" t="s">
        <v>579</v>
      </c>
      <c r="D134" s="49">
        <f>IF(E134=C134,0,1)</f>
        <v>0</v>
      </c>
      <c r="E134" s="50" t="s">
        <v>579</v>
      </c>
      <c r="F134" s="30" t="str">
        <f>REPLACE(E134,4,4, )</f>
        <v>SGU</v>
      </c>
      <c r="G134" s="30" t="s">
        <v>34</v>
      </c>
      <c r="H134" s="34" t="s">
        <v>580</v>
      </c>
      <c r="I134" s="30" t="s">
        <v>315</v>
      </c>
      <c r="J134" s="51">
        <v>47000</v>
      </c>
      <c r="K134" s="52">
        <f>J134-M134</f>
        <v>3950</v>
      </c>
      <c r="L134" s="49" t="s">
        <v>94</v>
      </c>
      <c r="M134" s="53">
        <f>J134-N134</f>
        <v>43050</v>
      </c>
      <c r="N134" s="53">
        <f>2000+200+350+600+800</f>
        <v>3950</v>
      </c>
      <c r="O134" s="55">
        <f>M134+N134</f>
        <v>47000</v>
      </c>
      <c r="P134" s="47">
        <v>269</v>
      </c>
      <c r="Q134" s="56">
        <v>47000</v>
      </c>
      <c r="R134" s="41">
        <f>O134-Q134</f>
        <v>0</v>
      </c>
      <c r="S134" s="67"/>
      <c r="T134" s="33" t="s">
        <v>98</v>
      </c>
      <c r="U134" s="57">
        <v>3000</v>
      </c>
      <c r="V134" s="57">
        <f>U134+O134</f>
        <v>50000</v>
      </c>
      <c r="W134" s="57">
        <f>V134/0.7</f>
        <v>71428.571428571435</v>
      </c>
      <c r="X134" s="58">
        <f>W134/0.875</f>
        <v>81632.653061224497</v>
      </c>
      <c r="Y134" s="59">
        <f>(X134-W134)/X134</f>
        <v>0.125</v>
      </c>
      <c r="Z134" s="58">
        <f>(ROUNDUP((X134/100),0))*100</f>
        <v>81700</v>
      </c>
      <c r="AA134" s="58"/>
      <c r="AB134" s="58"/>
      <c r="AC134" s="180"/>
      <c r="AD134" s="180"/>
      <c r="AE134" s="176"/>
      <c r="AF134" s="176"/>
      <c r="AG134" s="176"/>
      <c r="AH134" s="176"/>
      <c r="AI134" s="85"/>
    </row>
    <row r="135" spans="1:35" s="91" customFormat="1" ht="14.45" customHeight="1" x14ac:dyDescent="0.2">
      <c r="A135" s="47">
        <v>333</v>
      </c>
      <c r="B135" s="48" t="str">
        <f>REPLACE(E135,1,3, )</f>
        <v xml:space="preserve"> 884</v>
      </c>
      <c r="C135" s="70" t="s">
        <v>696</v>
      </c>
      <c r="D135" s="49">
        <f>IF(E135=C135,0,1)</f>
        <v>0</v>
      </c>
      <c r="E135" s="50" t="s">
        <v>696</v>
      </c>
      <c r="F135" s="30" t="str">
        <f>REPLACE(E135,4,4, )</f>
        <v>SGU</v>
      </c>
      <c r="G135" s="30" t="s">
        <v>34</v>
      </c>
      <c r="H135" s="34" t="s">
        <v>652</v>
      </c>
      <c r="I135" s="30" t="s">
        <v>315</v>
      </c>
      <c r="J135" s="51">
        <v>81500</v>
      </c>
      <c r="K135" s="52">
        <f>J135-M135</f>
        <v>6150</v>
      </c>
      <c r="L135" s="49" t="s">
        <v>94</v>
      </c>
      <c r="M135" s="53">
        <f>J135-N135</f>
        <v>75350</v>
      </c>
      <c r="N135" s="54">
        <f>2000+200+350+600+3000</f>
        <v>6150</v>
      </c>
      <c r="O135" s="55">
        <f>M135+N135</f>
        <v>81500</v>
      </c>
      <c r="P135" s="47">
        <v>333</v>
      </c>
      <c r="Q135" s="56">
        <v>81500</v>
      </c>
      <c r="R135" s="41">
        <f>O135-Q135</f>
        <v>0</v>
      </c>
      <c r="S135" s="67"/>
      <c r="T135" s="33" t="s">
        <v>653</v>
      </c>
      <c r="U135" s="57">
        <v>1000</v>
      </c>
      <c r="V135" s="57">
        <f>U135+O135</f>
        <v>82500</v>
      </c>
      <c r="W135" s="57">
        <f>V135/0.7</f>
        <v>117857.14285714287</v>
      </c>
      <c r="X135" s="58">
        <f>W135/0.875</f>
        <v>134693.87755102041</v>
      </c>
      <c r="Y135" s="59">
        <f>(X135-W135)/X135</f>
        <v>0.12499999999999994</v>
      </c>
      <c r="Z135" s="58">
        <f>(ROUNDUP((X135/100),0))*100</f>
        <v>134700</v>
      </c>
      <c r="AA135" s="58"/>
      <c r="AB135" s="58"/>
      <c r="AC135" s="180"/>
      <c r="AD135" s="180"/>
      <c r="AE135" s="176"/>
      <c r="AF135" s="176"/>
      <c r="AG135" s="176"/>
      <c r="AH135" s="176"/>
    </row>
    <row r="136" spans="1:35" ht="14.45" customHeight="1" x14ac:dyDescent="0.2">
      <c r="A136" s="47">
        <v>368</v>
      </c>
      <c r="B136" s="48" t="str">
        <f>REPLACE(E136,1,3, )</f>
        <v xml:space="preserve"> 198</v>
      </c>
      <c r="C136" s="70" t="s">
        <v>757</v>
      </c>
      <c r="D136" s="49">
        <f>IF(E136=C136,0,1)</f>
        <v>0</v>
      </c>
      <c r="E136" s="47" t="s">
        <v>757</v>
      </c>
      <c r="F136" s="30" t="str">
        <f>REPLACE(E136,4,4, )</f>
        <v>SHE</v>
      </c>
      <c r="G136" s="30" t="s">
        <v>91</v>
      </c>
      <c r="H136" s="34" t="s">
        <v>758</v>
      </c>
      <c r="I136" s="30" t="s">
        <v>750</v>
      </c>
      <c r="J136" s="51"/>
      <c r="K136" s="52">
        <f>J136-M136</f>
        <v>0</v>
      </c>
      <c r="L136" s="49"/>
      <c r="M136" s="53">
        <f>J136-N136</f>
        <v>0</v>
      </c>
      <c r="N136" s="53"/>
      <c r="O136" s="55">
        <f>M136+N136</f>
        <v>0</v>
      </c>
      <c r="P136" s="47">
        <v>368</v>
      </c>
      <c r="Q136" s="41"/>
      <c r="R136" s="41"/>
      <c r="S136" s="42"/>
      <c r="T136" s="33"/>
      <c r="U136" s="57"/>
      <c r="V136" s="57">
        <f>U136+O136</f>
        <v>0</v>
      </c>
      <c r="W136" s="57">
        <f>V136/0.7</f>
        <v>0</v>
      </c>
      <c r="X136" s="58">
        <f>W136/0.875</f>
        <v>0</v>
      </c>
      <c r="Y136" s="59" t="e">
        <f>(X136-W136)/X136</f>
        <v>#DIV/0!</v>
      </c>
      <c r="Z136" s="58">
        <f>(ROUNDUP((X136/100),0))*100</f>
        <v>0</v>
      </c>
      <c r="AA136" s="178"/>
      <c r="AB136" s="178"/>
      <c r="AC136" s="177"/>
      <c r="AD136" s="177"/>
      <c r="AE136" s="179"/>
      <c r="AF136" s="179"/>
      <c r="AG136" s="179"/>
      <c r="AH136" s="179"/>
      <c r="AI136" s="85"/>
    </row>
    <row r="137" spans="1:35" s="91" customFormat="1" ht="14.45" customHeight="1" x14ac:dyDescent="0.2">
      <c r="A137" s="47">
        <v>363</v>
      </c>
      <c r="B137" s="48" t="str">
        <f>REPLACE(E137,1,3, )</f>
        <v xml:space="preserve"> 860</v>
      </c>
      <c r="C137" s="70" t="s">
        <v>749</v>
      </c>
      <c r="D137" s="49">
        <f>IF(E137=C137,0,1)</f>
        <v>0</v>
      </c>
      <c r="E137" s="47" t="s">
        <v>749</v>
      </c>
      <c r="F137" s="30" t="str">
        <f>REPLACE(E137,4,4, )</f>
        <v>SHE</v>
      </c>
      <c r="G137" s="30" t="s">
        <v>91</v>
      </c>
      <c r="H137" s="34" t="s">
        <v>746</v>
      </c>
      <c r="I137" s="30" t="s">
        <v>750</v>
      </c>
      <c r="J137" s="51"/>
      <c r="K137" s="52">
        <f>J137-M137</f>
        <v>0</v>
      </c>
      <c r="L137" s="49"/>
      <c r="M137" s="53">
        <f>J137-N137</f>
        <v>0</v>
      </c>
      <c r="N137" s="53"/>
      <c r="O137" s="55">
        <f>M137+N137</f>
        <v>0</v>
      </c>
      <c r="P137" s="47">
        <v>363</v>
      </c>
      <c r="Q137" s="41"/>
      <c r="R137" s="41"/>
      <c r="S137" s="67"/>
      <c r="T137" s="33"/>
      <c r="U137" s="57"/>
      <c r="V137" s="57">
        <f>U137+O137</f>
        <v>0</v>
      </c>
      <c r="W137" s="57">
        <f>V137/0.7</f>
        <v>0</v>
      </c>
      <c r="X137" s="58">
        <f>W137/0.875</f>
        <v>0</v>
      </c>
      <c r="Y137" s="59" t="e">
        <f>(X137-W137)/X137</f>
        <v>#DIV/0!</v>
      </c>
      <c r="Z137" s="58">
        <f>(ROUNDUP((X137/100),0))*100</f>
        <v>0</v>
      </c>
      <c r="AA137" s="178"/>
      <c r="AB137" s="178"/>
      <c r="AC137" s="177"/>
      <c r="AD137" s="177"/>
      <c r="AE137" s="179"/>
      <c r="AF137" s="179"/>
      <c r="AG137" s="179"/>
      <c r="AH137" s="179"/>
    </row>
    <row r="138" spans="1:35" ht="14.45" customHeight="1" x14ac:dyDescent="0.2">
      <c r="A138" s="47">
        <v>480</v>
      </c>
      <c r="B138" s="48" t="str">
        <f>REPLACE(E138,1,3, )</f>
        <v xml:space="preserve"> 422</v>
      </c>
      <c r="C138" s="32" t="s">
        <v>956</v>
      </c>
      <c r="D138" s="49">
        <f>IF(E138=C138,0,1)</f>
        <v>0</v>
      </c>
      <c r="E138" s="48" t="s">
        <v>956</v>
      </c>
      <c r="F138" s="30" t="str">
        <f>REPLACE(E138,4,4, )</f>
        <v>SHI</v>
      </c>
      <c r="G138" s="33" t="s">
        <v>34</v>
      </c>
      <c r="H138" s="34" t="s">
        <v>953</v>
      </c>
      <c r="I138" s="33" t="s">
        <v>100</v>
      </c>
      <c r="J138" s="51"/>
      <c r="K138" s="52">
        <f>J138-M138</f>
        <v>0</v>
      </c>
      <c r="L138" s="49"/>
      <c r="M138" s="53">
        <f>J138-N138</f>
        <v>0</v>
      </c>
      <c r="N138" s="54"/>
      <c r="O138" s="55">
        <f>M138+N138</f>
        <v>0</v>
      </c>
      <c r="P138" s="47">
        <v>480</v>
      </c>
      <c r="Q138" s="41"/>
      <c r="R138" s="41"/>
      <c r="S138" s="67"/>
      <c r="T138" s="33"/>
      <c r="U138" s="57"/>
      <c r="V138" s="57">
        <f>U138+O138</f>
        <v>0</v>
      </c>
      <c r="W138" s="57">
        <f>V138/0.7</f>
        <v>0</v>
      </c>
      <c r="X138" s="58">
        <f>W138/0.875</f>
        <v>0</v>
      </c>
      <c r="Y138" s="59" t="e">
        <f>(X138-W138)/X138</f>
        <v>#DIV/0!</v>
      </c>
      <c r="Z138" s="58">
        <f>(ROUNDUP((X138/100),0))*100</f>
        <v>0</v>
      </c>
      <c r="AA138" s="58"/>
      <c r="AB138" s="58"/>
      <c r="AC138" s="180"/>
      <c r="AD138" s="180"/>
      <c r="AE138" s="176"/>
      <c r="AF138" s="176"/>
      <c r="AG138" s="176"/>
      <c r="AH138" s="176"/>
      <c r="AI138" s="85"/>
    </row>
    <row r="139" spans="1:35" ht="14.45" customHeight="1" x14ac:dyDescent="0.2">
      <c r="A139" s="47">
        <v>478</v>
      </c>
      <c r="B139" s="48" t="str">
        <f>REPLACE(E139,1,3, )</f>
        <v xml:space="preserve"> 808</v>
      </c>
      <c r="C139" s="32" t="s">
        <v>952</v>
      </c>
      <c r="D139" s="49">
        <f>IF(E139=C139,0,1)</f>
        <v>0</v>
      </c>
      <c r="E139" s="50" t="s">
        <v>952</v>
      </c>
      <c r="F139" s="30" t="str">
        <f>REPLACE(E139,4,4, )</f>
        <v>SHI</v>
      </c>
      <c r="G139" s="30" t="s">
        <v>34</v>
      </c>
      <c r="H139" s="34" t="s">
        <v>953</v>
      </c>
      <c r="I139" s="30" t="s">
        <v>100</v>
      </c>
      <c r="J139" s="51"/>
      <c r="K139" s="52">
        <f>J139-M139</f>
        <v>0</v>
      </c>
      <c r="L139" s="49"/>
      <c r="M139" s="53">
        <f>J139-N139</f>
        <v>0</v>
      </c>
      <c r="N139" s="54"/>
      <c r="O139" s="55">
        <f>M139+N139</f>
        <v>0</v>
      </c>
      <c r="P139" s="47">
        <v>478</v>
      </c>
      <c r="Q139" s="41"/>
      <c r="R139" s="41">
        <f>O139-Q139</f>
        <v>0</v>
      </c>
      <c r="S139" s="67"/>
      <c r="T139" s="33"/>
      <c r="U139" s="57"/>
      <c r="V139" s="57">
        <f>U139+O139</f>
        <v>0</v>
      </c>
      <c r="W139" s="57">
        <f>V139/0.7</f>
        <v>0</v>
      </c>
      <c r="X139" s="58">
        <f>W139/0.875</f>
        <v>0</v>
      </c>
      <c r="Y139" s="59" t="e">
        <f>(X139-W139)/X139</f>
        <v>#DIV/0!</v>
      </c>
      <c r="Z139" s="58">
        <f>(ROUNDUP((X139/100),0))*100</f>
        <v>0</v>
      </c>
      <c r="AA139" s="58"/>
      <c r="AB139" s="58"/>
      <c r="AC139" s="180"/>
      <c r="AD139" s="180"/>
      <c r="AE139" s="176"/>
      <c r="AF139" s="176"/>
      <c r="AG139" s="176"/>
      <c r="AH139" s="176"/>
      <c r="AI139" s="85"/>
    </row>
    <row r="140" spans="1:35" ht="14.45" customHeight="1" x14ac:dyDescent="0.2">
      <c r="A140" s="47">
        <v>495</v>
      </c>
      <c r="B140" s="48" t="str">
        <f>REPLACE(E140,1,3, )</f>
        <v xml:space="preserve"> 911</v>
      </c>
      <c r="C140" s="32" t="s">
        <v>983</v>
      </c>
      <c r="D140" s="49">
        <f>IF(E140=C140,0,1)</f>
        <v>0</v>
      </c>
      <c r="E140" s="50" t="s">
        <v>983</v>
      </c>
      <c r="F140" s="30" t="str">
        <f>REPLACE(E140,4,4, )</f>
        <v>SHI</v>
      </c>
      <c r="G140" s="30" t="s">
        <v>34</v>
      </c>
      <c r="H140" s="34" t="s">
        <v>984</v>
      </c>
      <c r="I140" s="30" t="s">
        <v>100</v>
      </c>
      <c r="J140" s="51"/>
      <c r="K140" s="52">
        <f>J140-M140</f>
        <v>0</v>
      </c>
      <c r="L140" s="49"/>
      <c r="M140" s="53">
        <f>J140-N140</f>
        <v>0</v>
      </c>
      <c r="N140" s="54"/>
      <c r="O140" s="55">
        <f>M140+N140</f>
        <v>0</v>
      </c>
      <c r="P140" s="47">
        <v>495</v>
      </c>
      <c r="Q140" s="41"/>
      <c r="R140" s="41"/>
      <c r="S140" s="67"/>
      <c r="T140" s="33"/>
      <c r="U140" s="57"/>
      <c r="V140" s="57">
        <f>U140+O140</f>
        <v>0</v>
      </c>
      <c r="W140" s="57">
        <f>V140/0.7</f>
        <v>0</v>
      </c>
      <c r="X140" s="58">
        <f>W140/0.875</f>
        <v>0</v>
      </c>
      <c r="Y140" s="59" t="e">
        <f>(X140-W140)/X140</f>
        <v>#DIV/0!</v>
      </c>
      <c r="Z140" s="58">
        <f>(ROUNDUP((X140/100),0))*100</f>
        <v>0</v>
      </c>
      <c r="AA140" s="58"/>
      <c r="AB140" s="58"/>
      <c r="AC140" s="180"/>
      <c r="AD140" s="180"/>
      <c r="AE140" s="176"/>
      <c r="AF140" s="176"/>
      <c r="AG140" s="176"/>
      <c r="AH140" s="176"/>
      <c r="AI140" s="85"/>
    </row>
    <row r="141" spans="1:35" s="91" customFormat="1" ht="14.45" customHeight="1" x14ac:dyDescent="0.2">
      <c r="A141" s="47">
        <v>62</v>
      </c>
      <c r="B141" s="48" t="str">
        <f>REPLACE(E141,1,3, )</f>
        <v xml:space="preserve"> 293</v>
      </c>
      <c r="C141" s="70" t="s">
        <v>194</v>
      </c>
      <c r="D141" s="49">
        <f>IF(E141=C141,0,1)</f>
        <v>0</v>
      </c>
      <c r="E141" s="50" t="s">
        <v>194</v>
      </c>
      <c r="F141" s="30" t="str">
        <f>REPLACE(E141,4,4, )</f>
        <v>SHJ</v>
      </c>
      <c r="G141" s="30" t="s">
        <v>34</v>
      </c>
      <c r="H141" s="34" t="s">
        <v>178</v>
      </c>
      <c r="I141" s="30" t="s">
        <v>100</v>
      </c>
      <c r="J141" s="51"/>
      <c r="K141" s="52">
        <f>J141-M141</f>
        <v>0</v>
      </c>
      <c r="L141" s="49"/>
      <c r="M141" s="53">
        <f>J141-N141</f>
        <v>0</v>
      </c>
      <c r="N141" s="54"/>
      <c r="O141" s="55">
        <f>M141+N141</f>
        <v>0</v>
      </c>
      <c r="P141" s="47">
        <v>62</v>
      </c>
      <c r="Q141" s="41"/>
      <c r="R141" s="41"/>
      <c r="S141" s="67"/>
      <c r="T141" s="33"/>
      <c r="U141" s="57"/>
      <c r="V141" s="57">
        <f>U141+O141</f>
        <v>0</v>
      </c>
      <c r="W141" s="57">
        <f>V141/0.7</f>
        <v>0</v>
      </c>
      <c r="X141" s="58">
        <f>W141/0.875</f>
        <v>0</v>
      </c>
      <c r="Y141" s="59" t="e">
        <f>(X141-W141)/X141</f>
        <v>#DIV/0!</v>
      </c>
      <c r="Z141" s="58">
        <f>(ROUNDUP((X141/100),0))*100</f>
        <v>0</v>
      </c>
      <c r="AA141" s="58"/>
      <c r="AB141" s="58"/>
      <c r="AC141" s="180"/>
      <c r="AD141" s="180"/>
      <c r="AE141" s="176"/>
      <c r="AF141" s="176"/>
      <c r="AG141" s="176"/>
      <c r="AH141" s="176"/>
    </row>
    <row r="142" spans="1:35" s="91" customFormat="1" ht="14.45" customHeight="1" x14ac:dyDescent="0.2">
      <c r="A142" s="47">
        <v>38</v>
      </c>
      <c r="B142" s="48" t="str">
        <f>REPLACE(E142,1,3, )</f>
        <v xml:space="preserve"> 338</v>
      </c>
      <c r="C142" s="70" t="s">
        <v>152</v>
      </c>
      <c r="D142" s="49">
        <f>IF(E142=C142,0,1)</f>
        <v>0</v>
      </c>
      <c r="E142" s="47" t="s">
        <v>152</v>
      </c>
      <c r="F142" s="30" t="str">
        <f>REPLACE(E142,4,4, )</f>
        <v>SHJ</v>
      </c>
      <c r="G142" s="30" t="s">
        <v>91</v>
      </c>
      <c r="H142" s="34" t="s">
        <v>153</v>
      </c>
      <c r="I142" s="30" t="s">
        <v>100</v>
      </c>
      <c r="J142" s="51">
        <v>85000</v>
      </c>
      <c r="K142" s="52">
        <f>J142-M142</f>
        <v>3950</v>
      </c>
      <c r="L142" s="49" t="s">
        <v>94</v>
      </c>
      <c r="M142" s="53">
        <f>J142-N142</f>
        <v>81050</v>
      </c>
      <c r="N142" s="53">
        <f>2000+200+350+600+800</f>
        <v>3950</v>
      </c>
      <c r="O142" s="55">
        <f>M142+N142</f>
        <v>85000</v>
      </c>
      <c r="P142" s="47">
        <v>38</v>
      </c>
      <c r="Q142" s="56">
        <v>85000</v>
      </c>
      <c r="R142" s="41">
        <f>O142-Q142</f>
        <v>0</v>
      </c>
      <c r="S142" s="67"/>
      <c r="T142" s="33"/>
      <c r="U142" s="57"/>
      <c r="V142" s="57">
        <f>U142+O142</f>
        <v>85000</v>
      </c>
      <c r="W142" s="57">
        <f>V142/0.7</f>
        <v>121428.57142857143</v>
      </c>
      <c r="X142" s="58">
        <f>W142/0.875</f>
        <v>138775.51020408163</v>
      </c>
      <c r="Y142" s="59">
        <f>(X142-W142)/X142</f>
        <v>0.12499999999999992</v>
      </c>
      <c r="Z142" s="58">
        <f>(ROUNDUP((X142/100),0))*100</f>
        <v>138800</v>
      </c>
      <c r="AA142" s="178" t="s">
        <v>1780</v>
      </c>
      <c r="AB142" s="224">
        <v>43442</v>
      </c>
      <c r="AC142" s="177"/>
      <c r="AD142" s="177"/>
      <c r="AE142" s="179"/>
      <c r="AF142" s="179"/>
      <c r="AG142" s="179"/>
      <c r="AH142" s="179"/>
    </row>
    <row r="143" spans="1:35" s="91" customFormat="1" ht="14.45" customHeight="1" x14ac:dyDescent="0.2">
      <c r="A143" s="47">
        <v>70</v>
      </c>
      <c r="B143" s="48" t="str">
        <f>REPLACE(E143,1,3, )</f>
        <v xml:space="preserve"> 646</v>
      </c>
      <c r="C143" s="70" t="s">
        <v>204</v>
      </c>
      <c r="D143" s="49">
        <f>IF(E143=C143,0,1)</f>
        <v>0</v>
      </c>
      <c r="E143" s="50" t="s">
        <v>204</v>
      </c>
      <c r="F143" s="30" t="str">
        <f>REPLACE(E143,4,4, )</f>
        <v>SHJ</v>
      </c>
      <c r="G143" s="30" t="s">
        <v>34</v>
      </c>
      <c r="H143" s="34" t="s">
        <v>178</v>
      </c>
      <c r="I143" s="30" t="s">
        <v>100</v>
      </c>
      <c r="J143" s="51"/>
      <c r="K143" s="52">
        <f>J143-M143</f>
        <v>0</v>
      </c>
      <c r="L143" s="49"/>
      <c r="M143" s="53">
        <f>J143-N143</f>
        <v>0</v>
      </c>
      <c r="N143" s="54"/>
      <c r="O143" s="55">
        <f>M143+N143</f>
        <v>0</v>
      </c>
      <c r="P143" s="47">
        <v>70</v>
      </c>
      <c r="Q143" s="41"/>
      <c r="R143" s="41"/>
      <c r="S143" s="67"/>
      <c r="T143" s="33"/>
      <c r="U143" s="57"/>
      <c r="V143" s="57">
        <f>U143+O143</f>
        <v>0</v>
      </c>
      <c r="W143" s="57">
        <f>V143/0.7</f>
        <v>0</v>
      </c>
      <c r="X143" s="58">
        <f>W143/0.875</f>
        <v>0</v>
      </c>
      <c r="Y143" s="59" t="e">
        <f>(X143-W143)/X143</f>
        <v>#DIV/0!</v>
      </c>
      <c r="Z143" s="58">
        <f>(ROUNDUP((X143/100),0))*100</f>
        <v>0</v>
      </c>
      <c r="AA143" s="58"/>
      <c r="AB143" s="58"/>
      <c r="AC143" s="180"/>
      <c r="AD143" s="180"/>
      <c r="AE143" s="176"/>
      <c r="AF143" s="176"/>
      <c r="AG143" s="176"/>
      <c r="AH143" s="176"/>
    </row>
    <row r="144" spans="1:35" ht="14.45" customHeight="1" x14ac:dyDescent="0.2">
      <c r="A144" s="47">
        <v>68</v>
      </c>
      <c r="B144" s="48" t="str">
        <f>REPLACE(E144,1,3, )</f>
        <v xml:space="preserve"> 686</v>
      </c>
      <c r="C144" s="70" t="s">
        <v>202</v>
      </c>
      <c r="D144" s="49">
        <f>IF(E144=C144,0,1)</f>
        <v>0</v>
      </c>
      <c r="E144" s="50" t="s">
        <v>202</v>
      </c>
      <c r="F144" s="30" t="str">
        <f>REPLACE(E144,4,4, )</f>
        <v>SHJ</v>
      </c>
      <c r="G144" s="30" t="s">
        <v>34</v>
      </c>
      <c r="H144" s="34" t="s">
        <v>178</v>
      </c>
      <c r="I144" s="30" t="s">
        <v>100</v>
      </c>
      <c r="J144" s="51"/>
      <c r="K144" s="52">
        <f>J144-M144</f>
        <v>0</v>
      </c>
      <c r="L144" s="49"/>
      <c r="M144" s="53">
        <f>J144-N144</f>
        <v>0</v>
      </c>
      <c r="N144" s="54"/>
      <c r="O144" s="55">
        <f>M144+N144</f>
        <v>0</v>
      </c>
      <c r="P144" s="47">
        <v>68</v>
      </c>
      <c r="Q144" s="41"/>
      <c r="R144" s="41"/>
      <c r="S144" s="67"/>
      <c r="T144" s="33"/>
      <c r="U144" s="57"/>
      <c r="V144" s="57">
        <f>U144+O144</f>
        <v>0</v>
      </c>
      <c r="W144" s="57">
        <f>V144/0.7</f>
        <v>0</v>
      </c>
      <c r="X144" s="58">
        <f>W144/0.875</f>
        <v>0</v>
      </c>
      <c r="Y144" s="59" t="e">
        <f>(X144-W144)/X144</f>
        <v>#DIV/0!</v>
      </c>
      <c r="Z144" s="58">
        <f>(ROUNDUP((X144/100),0))*100</f>
        <v>0</v>
      </c>
      <c r="AA144" s="58"/>
      <c r="AB144" s="58"/>
      <c r="AC144" s="180"/>
      <c r="AD144" s="180"/>
      <c r="AE144" s="176"/>
      <c r="AF144" s="176"/>
      <c r="AG144" s="176"/>
      <c r="AH144" s="176"/>
      <c r="AI144" s="85"/>
    </row>
    <row r="145" spans="1:35" ht="14.45" customHeight="1" x14ac:dyDescent="0.2">
      <c r="A145" s="47">
        <v>59</v>
      </c>
      <c r="B145" s="48" t="str">
        <f>REPLACE(E145,1,3, )</f>
        <v xml:space="preserve"> 956</v>
      </c>
      <c r="C145" s="70" t="s">
        <v>189</v>
      </c>
      <c r="D145" s="49">
        <f>IF(E145=C145,0,1)</f>
        <v>0</v>
      </c>
      <c r="E145" s="50" t="s">
        <v>189</v>
      </c>
      <c r="F145" s="30" t="str">
        <f>REPLACE(E145,4,4, )</f>
        <v>SHJ</v>
      </c>
      <c r="G145" s="30" t="s">
        <v>34</v>
      </c>
      <c r="H145" s="34" t="s">
        <v>178</v>
      </c>
      <c r="I145" s="30" t="s">
        <v>100</v>
      </c>
      <c r="J145" s="51"/>
      <c r="K145" s="52">
        <f>J145-M145</f>
        <v>0</v>
      </c>
      <c r="L145" s="49"/>
      <c r="M145" s="53">
        <f>J145-N145</f>
        <v>0</v>
      </c>
      <c r="N145" s="54"/>
      <c r="O145" s="55">
        <f>M145+N145</f>
        <v>0</v>
      </c>
      <c r="P145" s="47">
        <v>59</v>
      </c>
      <c r="Q145" s="41"/>
      <c r="R145" s="41"/>
      <c r="S145" s="67"/>
      <c r="T145" s="33"/>
      <c r="U145" s="57"/>
      <c r="V145" s="57">
        <f>U145+O145</f>
        <v>0</v>
      </c>
      <c r="W145" s="57">
        <f>V145/0.7</f>
        <v>0</v>
      </c>
      <c r="X145" s="58">
        <f>W145/0.875</f>
        <v>0</v>
      </c>
      <c r="Y145" s="59" t="e">
        <f>(X145-W145)/X145</f>
        <v>#DIV/0!</v>
      </c>
      <c r="Z145" s="58">
        <f>(ROUNDUP((X145/100),0))*100</f>
        <v>0</v>
      </c>
      <c r="AA145" s="58"/>
      <c r="AB145" s="58"/>
      <c r="AC145" s="180"/>
      <c r="AD145" s="180"/>
      <c r="AE145" s="176"/>
      <c r="AF145" s="176"/>
      <c r="AG145" s="176"/>
      <c r="AH145" s="176"/>
      <c r="AI145" s="85"/>
    </row>
    <row r="146" spans="1:35" ht="14.45" customHeight="1" x14ac:dyDescent="0.2">
      <c r="A146" s="47">
        <v>243</v>
      </c>
      <c r="B146" s="48" t="str">
        <f>REPLACE(E146,1,3, )</f>
        <v xml:space="preserve"> 295</v>
      </c>
      <c r="C146" s="70" t="s">
        <v>540</v>
      </c>
      <c r="D146" s="49">
        <f>IF(E146=C146,0,1)</f>
        <v>0</v>
      </c>
      <c r="E146" s="49" t="s">
        <v>540</v>
      </c>
      <c r="F146" s="30" t="str">
        <f>REPLACE(E146,4,4, )</f>
        <v>SHM</v>
      </c>
      <c r="G146" s="33" t="s">
        <v>91</v>
      </c>
      <c r="H146" s="34" t="s">
        <v>493</v>
      </c>
      <c r="I146" s="33" t="s">
        <v>463</v>
      </c>
      <c r="J146" s="51">
        <v>87000</v>
      </c>
      <c r="K146" s="52">
        <f>J146-M146</f>
        <v>7500</v>
      </c>
      <c r="L146" s="49" t="s">
        <v>94</v>
      </c>
      <c r="M146" s="53">
        <f>J146-N146</f>
        <v>79500</v>
      </c>
      <c r="N146" s="53">
        <f>2000+300+600+1000+3600</f>
        <v>7500</v>
      </c>
      <c r="O146" s="55">
        <f>M146+N146</f>
        <v>87000</v>
      </c>
      <c r="P146" s="47">
        <v>243</v>
      </c>
      <c r="Q146" s="56">
        <v>87000</v>
      </c>
      <c r="R146" s="41">
        <f>O146-Q146</f>
        <v>0</v>
      </c>
      <c r="S146" s="67"/>
      <c r="T146" s="33" t="s">
        <v>541</v>
      </c>
      <c r="U146" s="57"/>
      <c r="V146" s="57">
        <f>U146+O146</f>
        <v>87000</v>
      </c>
      <c r="W146" s="57">
        <f>V146/0.7</f>
        <v>124285.71428571429</v>
      </c>
      <c r="X146" s="58">
        <f>W146/0.875</f>
        <v>142040.81632653062</v>
      </c>
      <c r="Y146" s="59">
        <f>(X146-W146)/X146</f>
        <v>0.12500000000000003</v>
      </c>
      <c r="Z146" s="58">
        <f>(ROUNDUP((X146/100),0))*100</f>
        <v>142100</v>
      </c>
      <c r="AA146" s="178"/>
      <c r="AB146" s="178"/>
      <c r="AC146" s="177"/>
      <c r="AD146" s="177"/>
      <c r="AE146" s="179"/>
      <c r="AF146" s="179"/>
      <c r="AG146" s="179"/>
      <c r="AH146" s="179"/>
      <c r="AI146" s="85"/>
    </row>
    <row r="147" spans="1:35" ht="14.45" customHeight="1" x14ac:dyDescent="0.2">
      <c r="A147" s="47">
        <v>206</v>
      </c>
      <c r="B147" s="48" t="str">
        <f>REPLACE(E147,1,3, )</f>
        <v xml:space="preserve"> 528</v>
      </c>
      <c r="C147" s="70" t="s">
        <v>470</v>
      </c>
      <c r="D147" s="49">
        <f>IF(E147=C147,0,1)</f>
        <v>0</v>
      </c>
      <c r="E147" s="49" t="s">
        <v>470</v>
      </c>
      <c r="F147" s="30" t="str">
        <f>REPLACE(E147,4,4, )</f>
        <v>SHM</v>
      </c>
      <c r="G147" s="33" t="s">
        <v>91</v>
      </c>
      <c r="H147" s="71" t="s">
        <v>441</v>
      </c>
      <c r="I147" s="33" t="s">
        <v>463</v>
      </c>
      <c r="J147" s="51">
        <v>50000</v>
      </c>
      <c r="K147" s="52">
        <f>J147-M147</f>
        <v>5900</v>
      </c>
      <c r="L147" s="49" t="s">
        <v>94</v>
      </c>
      <c r="M147" s="53">
        <f>J147-N147</f>
        <v>44100</v>
      </c>
      <c r="N147" s="53">
        <f>2000+300+600+3000</f>
        <v>5900</v>
      </c>
      <c r="O147" s="55">
        <f>M147+N147</f>
        <v>50000</v>
      </c>
      <c r="P147" s="47">
        <v>206</v>
      </c>
      <c r="Q147" s="56">
        <v>50000</v>
      </c>
      <c r="R147" s="41">
        <f>O147-Q147</f>
        <v>0</v>
      </c>
      <c r="S147" s="67"/>
      <c r="T147" s="33" t="s">
        <v>471</v>
      </c>
      <c r="U147" s="57"/>
      <c r="V147" s="57">
        <f>U147+O147</f>
        <v>50000</v>
      </c>
      <c r="W147" s="57">
        <f>V147/0.7</f>
        <v>71428.571428571435</v>
      </c>
      <c r="X147" s="58">
        <f>W147/0.875</f>
        <v>81632.653061224497</v>
      </c>
      <c r="Y147" s="59">
        <f>(X147-W147)/X147</f>
        <v>0.125</v>
      </c>
      <c r="Z147" s="58">
        <f>(ROUNDUP((X147/100),0))*100</f>
        <v>81700</v>
      </c>
      <c r="AA147" s="178"/>
      <c r="AB147" s="178"/>
      <c r="AC147" s="177"/>
      <c r="AD147" s="177"/>
      <c r="AE147" s="179"/>
      <c r="AF147" s="179"/>
      <c r="AG147" s="179"/>
      <c r="AH147" s="179"/>
      <c r="AI147" s="85"/>
    </row>
    <row r="148" spans="1:35" s="91" customFormat="1" ht="14.45" customHeight="1" x14ac:dyDescent="0.2">
      <c r="A148" s="47">
        <v>203</v>
      </c>
      <c r="B148" s="48" t="str">
        <f>REPLACE(E148,1,3, )</f>
        <v xml:space="preserve"> 681</v>
      </c>
      <c r="C148" s="70" t="s">
        <v>462</v>
      </c>
      <c r="D148" s="49">
        <f>IF(E148=C148,0,1)</f>
        <v>0</v>
      </c>
      <c r="E148" s="49" t="s">
        <v>462</v>
      </c>
      <c r="F148" s="30" t="str">
        <f>REPLACE(E148,4,4, )</f>
        <v>SHM</v>
      </c>
      <c r="G148" s="33" t="s">
        <v>91</v>
      </c>
      <c r="H148" s="71" t="s">
        <v>441</v>
      </c>
      <c r="I148" s="33" t="s">
        <v>463</v>
      </c>
      <c r="J148" s="51">
        <v>44000</v>
      </c>
      <c r="K148" s="52">
        <f>J148-M148</f>
        <v>6400</v>
      </c>
      <c r="L148" s="49" t="s">
        <v>94</v>
      </c>
      <c r="M148" s="53">
        <f>J148-N148</f>
        <v>37600</v>
      </c>
      <c r="N148" s="53">
        <v>6400</v>
      </c>
      <c r="O148" s="55">
        <f>M148+N148</f>
        <v>44000</v>
      </c>
      <c r="P148" s="47">
        <v>203</v>
      </c>
      <c r="Q148" s="56">
        <v>44000</v>
      </c>
      <c r="R148" s="41">
        <f>O148-Q148</f>
        <v>0</v>
      </c>
      <c r="S148" s="67"/>
      <c r="T148" s="33" t="s">
        <v>464</v>
      </c>
      <c r="U148" s="57"/>
      <c r="V148" s="57">
        <f>U148+O148</f>
        <v>44000</v>
      </c>
      <c r="W148" s="57">
        <f>V148/0.7</f>
        <v>62857.142857142862</v>
      </c>
      <c r="X148" s="58">
        <f>W148/0.875</f>
        <v>71836.734693877559</v>
      </c>
      <c r="Y148" s="59">
        <f>(X148-W148)/X148</f>
        <v>0.12500000000000003</v>
      </c>
      <c r="Z148" s="58">
        <f>(ROUNDUP((X148/100),0))*100</f>
        <v>71900</v>
      </c>
      <c r="AA148" s="178"/>
      <c r="AB148" s="178"/>
      <c r="AC148" s="177"/>
      <c r="AD148" s="177"/>
      <c r="AE148" s="179"/>
      <c r="AF148" s="179"/>
      <c r="AG148" s="179"/>
      <c r="AH148" s="179"/>
    </row>
    <row r="149" spans="1:35" ht="14.45" customHeight="1" x14ac:dyDescent="0.2">
      <c r="A149" s="47">
        <v>293</v>
      </c>
      <c r="B149" s="48" t="str">
        <f>REPLACE(E149,1,3, )</f>
        <v xml:space="preserve"> 202</v>
      </c>
      <c r="C149" s="70" t="s">
        <v>620</v>
      </c>
      <c r="D149" s="49">
        <f>IF(E149=C149,0,1)</f>
        <v>0</v>
      </c>
      <c r="E149" s="47" t="s">
        <v>620</v>
      </c>
      <c r="F149" s="30" t="str">
        <f>REPLACE(E149,4,4, )</f>
        <v>SHN</v>
      </c>
      <c r="G149" s="30" t="s">
        <v>91</v>
      </c>
      <c r="H149" s="71" t="s">
        <v>612</v>
      </c>
      <c r="I149" s="30" t="s">
        <v>621</v>
      </c>
      <c r="J149" s="51">
        <v>71000</v>
      </c>
      <c r="K149" s="52">
        <f>J149-M149</f>
        <v>4250</v>
      </c>
      <c r="L149" s="49" t="s">
        <v>94</v>
      </c>
      <c r="M149" s="53">
        <f>J149-N149</f>
        <v>66750</v>
      </c>
      <c r="N149" s="53">
        <f>2000+200+350+600+800+300</f>
        <v>4250</v>
      </c>
      <c r="O149" s="55">
        <f>M149+N149</f>
        <v>71000</v>
      </c>
      <c r="P149" s="47">
        <v>293</v>
      </c>
      <c r="Q149" s="56">
        <v>71000</v>
      </c>
      <c r="R149" s="41">
        <f>O149-Q149</f>
        <v>0</v>
      </c>
      <c r="S149" s="67"/>
      <c r="T149" s="33" t="s">
        <v>622</v>
      </c>
      <c r="U149" s="57"/>
      <c r="V149" s="57">
        <f>U149+O149</f>
        <v>71000</v>
      </c>
      <c r="W149" s="57">
        <f>V149/0.7</f>
        <v>101428.57142857143</v>
      </c>
      <c r="X149" s="58">
        <f>W149/0.875</f>
        <v>115918.36734693879</v>
      </c>
      <c r="Y149" s="59">
        <f>(X149-W149)/X149</f>
        <v>0.12500000000000003</v>
      </c>
      <c r="Z149" s="58">
        <f>(ROUNDUP((X149/100),0))*100</f>
        <v>116000</v>
      </c>
      <c r="AA149" s="178"/>
      <c r="AB149" s="178"/>
      <c r="AC149" s="177"/>
      <c r="AD149" s="177"/>
      <c r="AE149" s="179"/>
      <c r="AF149" s="179"/>
      <c r="AG149" s="179"/>
      <c r="AH149" s="179"/>
      <c r="AI149" s="85"/>
    </row>
    <row r="150" spans="1:35" ht="14.45" customHeight="1" x14ac:dyDescent="0.2">
      <c r="A150" s="47">
        <v>441</v>
      </c>
      <c r="B150" s="48" t="str">
        <f>REPLACE(E150,1,3, )</f>
        <v xml:space="preserve"> 411</v>
      </c>
      <c r="C150" s="32" t="s">
        <v>887</v>
      </c>
      <c r="D150" s="49">
        <f>IF(E150=C150,0,1)</f>
        <v>0</v>
      </c>
      <c r="E150" s="47" t="s">
        <v>887</v>
      </c>
      <c r="F150" s="30" t="str">
        <f>REPLACE(E150,4,4, )</f>
        <v>SHO</v>
      </c>
      <c r="G150" s="30" t="s">
        <v>91</v>
      </c>
      <c r="H150" s="34" t="s">
        <v>878</v>
      </c>
      <c r="I150" s="30" t="s">
        <v>888</v>
      </c>
      <c r="J150" s="51">
        <v>30000</v>
      </c>
      <c r="K150" s="52">
        <f>J150-M150</f>
        <v>4450</v>
      </c>
      <c r="L150" s="49" t="s">
        <v>94</v>
      </c>
      <c r="M150" s="53">
        <f>J150-N150</f>
        <v>25550</v>
      </c>
      <c r="N150" s="53">
        <f>2000+200+600+1650</f>
        <v>4450</v>
      </c>
      <c r="O150" s="55">
        <f>M150+N150</f>
        <v>30000</v>
      </c>
      <c r="P150" s="47">
        <v>441</v>
      </c>
      <c r="Q150" s="56">
        <v>30000</v>
      </c>
      <c r="R150" s="41">
        <f>O150-Q150</f>
        <v>0</v>
      </c>
      <c r="S150" s="67"/>
      <c r="T150" s="33" t="s">
        <v>889</v>
      </c>
      <c r="U150" s="57"/>
      <c r="V150" s="57">
        <f>U150+O150</f>
        <v>30000</v>
      </c>
      <c r="W150" s="57">
        <f>V150/0.7</f>
        <v>42857.142857142862</v>
      </c>
      <c r="X150" s="58">
        <f>W150/0.875</f>
        <v>48979.591836734697</v>
      </c>
      <c r="Y150" s="59">
        <f>(X150-W150)/X150</f>
        <v>0.12499999999999994</v>
      </c>
      <c r="Z150" s="58">
        <f>(ROUNDUP((X150/100),0))*100</f>
        <v>49000</v>
      </c>
      <c r="AA150" s="178"/>
      <c r="AB150" s="178"/>
      <c r="AC150" s="177"/>
      <c r="AD150" s="177"/>
      <c r="AE150" s="179"/>
      <c r="AF150" s="179"/>
      <c r="AG150" s="179"/>
      <c r="AH150" s="179"/>
      <c r="AI150" s="85"/>
    </row>
    <row r="151" spans="1:35" ht="14.45" customHeight="1" x14ac:dyDescent="0.2">
      <c r="A151" s="47">
        <v>88</v>
      </c>
      <c r="B151" s="48" t="str">
        <f>REPLACE(E151,1,3, )</f>
        <v xml:space="preserve"> 139</v>
      </c>
      <c r="C151" s="70" t="s">
        <v>235</v>
      </c>
      <c r="D151" s="49">
        <f>IF(E151=C151,0,1)</f>
        <v>0</v>
      </c>
      <c r="E151" s="49" t="s">
        <v>235</v>
      </c>
      <c r="F151" s="30" t="str">
        <f>REPLACE(E151,4,4, )</f>
        <v>SHY</v>
      </c>
      <c r="G151" s="33" t="s">
        <v>91</v>
      </c>
      <c r="H151" s="71" t="s">
        <v>236</v>
      </c>
      <c r="I151" s="33" t="s">
        <v>237</v>
      </c>
      <c r="J151" s="51">
        <v>80000</v>
      </c>
      <c r="K151" s="52">
        <f>J151-M151</f>
        <v>3000</v>
      </c>
      <c r="L151" s="49" t="s">
        <v>94</v>
      </c>
      <c r="M151" s="53">
        <f>J151-N151</f>
        <v>77000</v>
      </c>
      <c r="N151" s="53">
        <v>3000</v>
      </c>
      <c r="O151" s="55">
        <f>M151+N151</f>
        <v>80000</v>
      </c>
      <c r="P151" s="47">
        <v>88</v>
      </c>
      <c r="Q151" s="56">
        <v>85000</v>
      </c>
      <c r="R151" s="41">
        <f>O151-Q151</f>
        <v>-5000</v>
      </c>
      <c r="S151" s="67" t="s">
        <v>238</v>
      </c>
      <c r="T151" s="33" t="s">
        <v>239</v>
      </c>
      <c r="U151" s="57">
        <v>0</v>
      </c>
      <c r="V151" s="57">
        <f>U151+O151</f>
        <v>80000</v>
      </c>
      <c r="W151" s="57">
        <f>V151/0.7</f>
        <v>114285.71428571429</v>
      </c>
      <c r="X151" s="58">
        <f>W151/0.875</f>
        <v>130612.24489795919</v>
      </c>
      <c r="Y151" s="59">
        <f>(X151-W151)/X151</f>
        <v>0.12499999999999999</v>
      </c>
      <c r="Z151" s="58">
        <f>(ROUNDUP((X151/100),0))*100</f>
        <v>130700</v>
      </c>
      <c r="AA151" s="178" t="s">
        <v>1780</v>
      </c>
      <c r="AB151" s="224">
        <v>43420</v>
      </c>
      <c r="AC151" s="177"/>
      <c r="AD151" s="177"/>
      <c r="AE151" s="179"/>
      <c r="AF151" s="179"/>
      <c r="AG151" s="179"/>
      <c r="AH151" s="179"/>
      <c r="AI151" s="85"/>
    </row>
    <row r="152" spans="1:35" s="91" customFormat="1" ht="14.45" customHeight="1" x14ac:dyDescent="0.2">
      <c r="A152" s="47">
        <v>89</v>
      </c>
      <c r="B152" s="48" t="str">
        <f>REPLACE(E152,1,3, )</f>
        <v xml:space="preserve"> 426</v>
      </c>
      <c r="C152" s="70" t="s">
        <v>240</v>
      </c>
      <c r="D152" s="49">
        <f>IF(E152=C152,0,1)</f>
        <v>0</v>
      </c>
      <c r="E152" s="49" t="s">
        <v>240</v>
      </c>
      <c r="F152" s="30" t="str">
        <f>REPLACE(E152,4,4, )</f>
        <v>SHY</v>
      </c>
      <c r="G152" s="33" t="s">
        <v>91</v>
      </c>
      <c r="H152" s="71" t="s">
        <v>236</v>
      </c>
      <c r="I152" s="33" t="s">
        <v>237</v>
      </c>
      <c r="J152" s="51">
        <v>80000</v>
      </c>
      <c r="K152" s="52">
        <f>J152-M152</f>
        <v>3000</v>
      </c>
      <c r="L152" s="49" t="s">
        <v>94</v>
      </c>
      <c r="M152" s="53">
        <f>J152-N152</f>
        <v>77000</v>
      </c>
      <c r="N152" s="53">
        <v>3000</v>
      </c>
      <c r="O152" s="55">
        <f>M152+N152</f>
        <v>80000</v>
      </c>
      <c r="P152" s="47">
        <v>89</v>
      </c>
      <c r="Q152" s="56">
        <v>85000</v>
      </c>
      <c r="R152" s="41">
        <f>O152-Q152</f>
        <v>-5000</v>
      </c>
      <c r="S152" s="67" t="s">
        <v>238</v>
      </c>
      <c r="T152" s="33" t="s">
        <v>239</v>
      </c>
      <c r="U152" s="57">
        <v>0</v>
      </c>
      <c r="V152" s="57">
        <f>U152+O152</f>
        <v>80000</v>
      </c>
      <c r="W152" s="57">
        <f>V152/0.7</f>
        <v>114285.71428571429</v>
      </c>
      <c r="X152" s="58">
        <f>W152/0.875</f>
        <v>130612.24489795919</v>
      </c>
      <c r="Y152" s="59">
        <f>(X152-W152)/X152</f>
        <v>0.12499999999999999</v>
      </c>
      <c r="Z152" s="58">
        <f>(ROUNDUP((X152/100),0))*100</f>
        <v>130700</v>
      </c>
      <c r="AA152" s="178" t="s">
        <v>1780</v>
      </c>
      <c r="AB152" s="224">
        <v>43420</v>
      </c>
      <c r="AC152" s="177"/>
      <c r="AD152" s="177"/>
      <c r="AE152" s="179"/>
      <c r="AF152" s="179"/>
      <c r="AG152" s="179"/>
      <c r="AH152" s="179"/>
    </row>
    <row r="153" spans="1:35" ht="14.45" customHeight="1" x14ac:dyDescent="0.2">
      <c r="A153" s="47">
        <v>221</v>
      </c>
      <c r="B153" s="48" t="str">
        <f>REPLACE(E153,1,3, )</f>
        <v xml:space="preserve"> 424</v>
      </c>
      <c r="C153" s="70" t="s">
        <v>501</v>
      </c>
      <c r="D153" s="49">
        <f>IF(E153=C153,0,1)</f>
        <v>0</v>
      </c>
      <c r="E153" s="49" t="s">
        <v>501</v>
      </c>
      <c r="F153" s="30" t="str">
        <f>REPLACE(E153,4,4, )</f>
        <v>SII</v>
      </c>
      <c r="G153" s="33" t="s">
        <v>91</v>
      </c>
      <c r="H153" s="34" t="s">
        <v>493</v>
      </c>
      <c r="I153" s="33" t="s">
        <v>483</v>
      </c>
      <c r="J153" s="51">
        <f>M153</f>
        <v>67500</v>
      </c>
      <c r="K153" s="52">
        <f>J153-M153</f>
        <v>0</v>
      </c>
      <c r="L153" s="60" t="s">
        <v>97</v>
      </c>
      <c r="M153" s="62">
        <v>67500</v>
      </c>
      <c r="N153" s="53">
        <f>2000+300+600+1000+3000</f>
        <v>6900</v>
      </c>
      <c r="O153" s="55">
        <f>M153+N153</f>
        <v>74400</v>
      </c>
      <c r="P153" s="47">
        <v>221</v>
      </c>
      <c r="Q153" s="56">
        <v>74400</v>
      </c>
      <c r="R153" s="41">
        <f>O153-Q153</f>
        <v>0</v>
      </c>
      <c r="S153" s="67"/>
      <c r="T153" s="33" t="s">
        <v>502</v>
      </c>
      <c r="U153" s="57"/>
      <c r="V153" s="57">
        <f>U153+O153</f>
        <v>74400</v>
      </c>
      <c r="W153" s="57">
        <f>V153/0.7</f>
        <v>106285.71428571429</v>
      </c>
      <c r="X153" s="58">
        <f>W153/0.875</f>
        <v>121469.38775510204</v>
      </c>
      <c r="Y153" s="59">
        <f>(X153-W153)/X153</f>
        <v>0.12499999999999997</v>
      </c>
      <c r="Z153" s="58">
        <f>(ROUNDUP((X153/100),0))*100</f>
        <v>121500</v>
      </c>
      <c r="AA153" s="178"/>
      <c r="AB153" s="178"/>
      <c r="AC153" s="177"/>
      <c r="AD153" s="177"/>
      <c r="AE153" s="179"/>
      <c r="AF153" s="179"/>
      <c r="AG153" s="179"/>
      <c r="AH153" s="179"/>
      <c r="AI153" s="85"/>
    </row>
    <row r="154" spans="1:35" s="91" customFormat="1" ht="14.45" customHeight="1" x14ac:dyDescent="0.2">
      <c r="A154" s="47">
        <v>246</v>
      </c>
      <c r="B154" s="48" t="str">
        <f>REPLACE(E154,1,3, )</f>
        <v xml:space="preserve"> 468</v>
      </c>
      <c r="C154" s="70" t="s">
        <v>546</v>
      </c>
      <c r="D154" s="49">
        <f>IF(E154=C154,0,1)</f>
        <v>0</v>
      </c>
      <c r="E154" s="48" t="s">
        <v>546</v>
      </c>
      <c r="F154" s="30" t="str">
        <f>REPLACE(E154,4,4, )</f>
        <v>SII</v>
      </c>
      <c r="G154" s="33" t="s">
        <v>34</v>
      </c>
      <c r="H154" s="71" t="s">
        <v>545</v>
      </c>
      <c r="I154" s="33" t="s">
        <v>483</v>
      </c>
      <c r="J154" s="51">
        <v>36000</v>
      </c>
      <c r="K154" s="52">
        <f>J154-M154</f>
        <v>4900</v>
      </c>
      <c r="L154" s="49" t="s">
        <v>94</v>
      </c>
      <c r="M154" s="53">
        <f>J154-N154</f>
        <v>31100</v>
      </c>
      <c r="N154" s="54">
        <f>2000+300+600+2000</f>
        <v>4900</v>
      </c>
      <c r="O154" s="55">
        <f>M154+N154</f>
        <v>36000</v>
      </c>
      <c r="P154" s="47">
        <v>246</v>
      </c>
      <c r="Q154" s="56">
        <v>36000</v>
      </c>
      <c r="R154" s="41">
        <f>O154-Q154</f>
        <v>0</v>
      </c>
      <c r="S154" s="67"/>
      <c r="T154" s="33" t="s">
        <v>547</v>
      </c>
      <c r="U154" s="57">
        <v>2000</v>
      </c>
      <c r="V154" s="57">
        <f>U154+O154</f>
        <v>38000</v>
      </c>
      <c r="W154" s="57">
        <f>V154/0.7</f>
        <v>54285.71428571429</v>
      </c>
      <c r="X154" s="58">
        <f>W154/0.875</f>
        <v>62040.816326530614</v>
      </c>
      <c r="Y154" s="59">
        <f>(X154-W154)/X154</f>
        <v>0.12499999999999996</v>
      </c>
      <c r="Z154" s="58">
        <f>(ROUNDUP((X154/100),0))*100</f>
        <v>62100</v>
      </c>
      <c r="AA154" s="58"/>
      <c r="AB154" s="58"/>
      <c r="AC154" s="180"/>
      <c r="AD154" s="180"/>
      <c r="AE154" s="176"/>
      <c r="AF154" s="176"/>
      <c r="AG154" s="176"/>
      <c r="AH154" s="176"/>
    </row>
    <row r="155" spans="1:35" ht="14.45" customHeight="1" x14ac:dyDescent="0.2">
      <c r="A155" s="47">
        <v>245</v>
      </c>
      <c r="B155" s="48" t="str">
        <f>REPLACE(E155,1,3, )</f>
        <v xml:space="preserve"> 578</v>
      </c>
      <c r="C155" s="70" t="s">
        <v>544</v>
      </c>
      <c r="D155" s="49">
        <f>IF(E155=C155,0,1)</f>
        <v>0</v>
      </c>
      <c r="E155" s="48" t="s">
        <v>544</v>
      </c>
      <c r="F155" s="30" t="str">
        <f>REPLACE(E155,4,4, )</f>
        <v>SII</v>
      </c>
      <c r="G155" s="33" t="s">
        <v>34</v>
      </c>
      <c r="H155" s="71" t="s">
        <v>545</v>
      </c>
      <c r="I155" s="33" t="s">
        <v>483</v>
      </c>
      <c r="J155" s="51">
        <v>37000</v>
      </c>
      <c r="K155" s="52">
        <f>J155-M155</f>
        <v>5900</v>
      </c>
      <c r="L155" s="49" t="s">
        <v>94</v>
      </c>
      <c r="M155" s="53">
        <f>J155-N155</f>
        <v>31100</v>
      </c>
      <c r="N155" s="54">
        <f>2000+300+600+2000+1000</f>
        <v>5900</v>
      </c>
      <c r="O155" s="55">
        <f>M155+N155</f>
        <v>37000</v>
      </c>
      <c r="P155" s="47">
        <v>245</v>
      </c>
      <c r="Q155" s="56">
        <v>37000</v>
      </c>
      <c r="R155" s="41">
        <f>O155-Q155</f>
        <v>0</v>
      </c>
      <c r="S155" s="67"/>
      <c r="T155" s="33" t="s">
        <v>510</v>
      </c>
      <c r="U155" s="57">
        <v>1000</v>
      </c>
      <c r="V155" s="57">
        <f>U155+O155</f>
        <v>38000</v>
      </c>
      <c r="W155" s="57">
        <f>V155/0.7</f>
        <v>54285.71428571429</v>
      </c>
      <c r="X155" s="58">
        <f>W155/0.875</f>
        <v>62040.816326530614</v>
      </c>
      <c r="Y155" s="59">
        <f>(X155-W155)/X155</f>
        <v>0.12499999999999996</v>
      </c>
      <c r="Z155" s="58">
        <f>(ROUNDUP((X155/100),0))*100</f>
        <v>62100</v>
      </c>
      <c r="AA155" s="58"/>
      <c r="AB155" s="58"/>
      <c r="AC155" s="180"/>
      <c r="AD155" s="180"/>
      <c r="AE155" s="176"/>
      <c r="AF155" s="176"/>
      <c r="AG155" s="176"/>
      <c r="AH155" s="176"/>
      <c r="AI155" s="85"/>
    </row>
    <row r="156" spans="1:35" ht="14.45" customHeight="1" x14ac:dyDescent="0.2">
      <c r="A156" s="47">
        <v>212</v>
      </c>
      <c r="B156" s="48" t="str">
        <f>REPLACE(E156,1,3, )</f>
        <v xml:space="preserve"> 930</v>
      </c>
      <c r="C156" s="70" t="s">
        <v>482</v>
      </c>
      <c r="D156" s="49">
        <f>IF(E156=C156,0,1)</f>
        <v>0</v>
      </c>
      <c r="E156" s="49" t="s">
        <v>482</v>
      </c>
      <c r="F156" s="30" t="str">
        <f>REPLACE(E156,4,4, )</f>
        <v>SII</v>
      </c>
      <c r="G156" s="33" t="s">
        <v>91</v>
      </c>
      <c r="H156" s="71" t="s">
        <v>441</v>
      </c>
      <c r="I156" s="33" t="s">
        <v>483</v>
      </c>
      <c r="J156" s="51">
        <f>M156</f>
        <v>65000</v>
      </c>
      <c r="K156" s="52">
        <f>J156-M156</f>
        <v>0</v>
      </c>
      <c r="L156" s="60" t="s">
        <v>97</v>
      </c>
      <c r="M156" s="62">
        <v>65000</v>
      </c>
      <c r="N156" s="53">
        <f>2000+300+600+650+3000</f>
        <v>6550</v>
      </c>
      <c r="O156" s="55">
        <f>M156+N156</f>
        <v>71550</v>
      </c>
      <c r="P156" s="47">
        <v>212</v>
      </c>
      <c r="Q156" s="56">
        <v>71550</v>
      </c>
      <c r="R156" s="41">
        <f>O156-Q156</f>
        <v>0</v>
      </c>
      <c r="S156" s="67"/>
      <c r="T156" s="33" t="s">
        <v>484</v>
      </c>
      <c r="U156" s="57"/>
      <c r="V156" s="57">
        <f>U156+O156</f>
        <v>71550</v>
      </c>
      <c r="W156" s="57">
        <f>V156/0.7</f>
        <v>102214.28571428572</v>
      </c>
      <c r="X156" s="58">
        <f>W156/0.875</f>
        <v>116816.32653061226</v>
      </c>
      <c r="Y156" s="59">
        <f>(X156-W156)/X156</f>
        <v>0.12500000000000006</v>
      </c>
      <c r="Z156" s="58">
        <f>(ROUNDUP((X156/100),0))*100</f>
        <v>116900</v>
      </c>
      <c r="AA156" s="178"/>
      <c r="AB156" s="178"/>
      <c r="AC156" s="177"/>
      <c r="AD156" s="177"/>
      <c r="AE156" s="179"/>
      <c r="AF156" s="179"/>
      <c r="AG156" s="179"/>
      <c r="AH156" s="179"/>
      <c r="AI156" s="85"/>
    </row>
    <row r="157" spans="1:35" s="91" customFormat="1" ht="14.45" customHeight="1" x14ac:dyDescent="0.2">
      <c r="A157" s="86">
        <v>400</v>
      </c>
      <c r="B157" s="48" t="str">
        <f>REPLACE(E157,1,3, )</f>
        <v xml:space="preserve"> 412</v>
      </c>
      <c r="C157" s="70" t="s">
        <v>810</v>
      </c>
      <c r="D157" s="49">
        <f>IF(E157=C157,0,1)</f>
        <v>0</v>
      </c>
      <c r="E157" s="50" t="s">
        <v>810</v>
      </c>
      <c r="F157" s="30" t="str">
        <f>REPLACE(E157,4,4, )</f>
        <v>SIN</v>
      </c>
      <c r="G157" s="30" t="s">
        <v>34</v>
      </c>
      <c r="H157" s="34" t="s">
        <v>767</v>
      </c>
      <c r="I157" s="30" t="s">
        <v>775</v>
      </c>
      <c r="J157" s="51">
        <f>M157</f>
        <v>71750</v>
      </c>
      <c r="K157" s="52">
        <f>J157-M157</f>
        <v>0</v>
      </c>
      <c r="L157" s="60" t="s">
        <v>97</v>
      </c>
      <c r="M157" s="61">
        <v>71750</v>
      </c>
      <c r="N157" s="54">
        <f>2000+600+200+250+3600+450</f>
        <v>7100</v>
      </c>
      <c r="O157" s="55">
        <f>M157+N157</f>
        <v>78850</v>
      </c>
      <c r="P157" s="86">
        <v>400</v>
      </c>
      <c r="Q157" s="56">
        <v>78850</v>
      </c>
      <c r="R157" s="41">
        <f>O157-Q157</f>
        <v>0</v>
      </c>
      <c r="S157" s="67"/>
      <c r="T157" s="33" t="s">
        <v>811</v>
      </c>
      <c r="U157" s="57">
        <v>-1000</v>
      </c>
      <c r="V157" s="57">
        <f>U157+O157</f>
        <v>77850</v>
      </c>
      <c r="W157" s="57">
        <f>V157/0.7</f>
        <v>111214.28571428572</v>
      </c>
      <c r="X157" s="58">
        <f>W157/0.875</f>
        <v>127102.04081632654</v>
      </c>
      <c r="Y157" s="59">
        <f>(X157-W157)/X157</f>
        <v>0.12499999999999997</v>
      </c>
      <c r="Z157" s="58">
        <f>(ROUNDUP((X157/100),0))*100</f>
        <v>127200</v>
      </c>
      <c r="AA157" s="58"/>
      <c r="AB157" s="58"/>
      <c r="AC157" s="180"/>
      <c r="AD157" s="180"/>
      <c r="AE157" s="176"/>
      <c r="AF157" s="176"/>
      <c r="AG157" s="176"/>
      <c r="AH157" s="176"/>
    </row>
    <row r="158" spans="1:35" ht="14.45" customHeight="1" x14ac:dyDescent="0.2">
      <c r="A158" s="47">
        <v>107</v>
      </c>
      <c r="B158" s="48" t="str">
        <f>REPLACE(E158,1,3, )</f>
        <v xml:space="preserve"> 358</v>
      </c>
      <c r="C158" s="70" t="s">
        <v>278</v>
      </c>
      <c r="D158" s="49">
        <f>IF(E158=C158,0,1)</f>
        <v>0</v>
      </c>
      <c r="E158" s="49" t="s">
        <v>278</v>
      </c>
      <c r="F158" s="30" t="str">
        <f>REPLACE(E158,4,4, )</f>
        <v>SIP</v>
      </c>
      <c r="G158" s="33" t="s">
        <v>91</v>
      </c>
      <c r="H158" s="71" t="s">
        <v>265</v>
      </c>
      <c r="I158" s="33" t="s">
        <v>155</v>
      </c>
      <c r="J158" s="51">
        <v>88000</v>
      </c>
      <c r="K158" s="52">
        <f>J158-M158</f>
        <v>3900</v>
      </c>
      <c r="L158" s="49" t="s">
        <v>94</v>
      </c>
      <c r="M158" s="53">
        <f>J158-N158</f>
        <v>84100</v>
      </c>
      <c r="N158" s="53">
        <f>2000+200+350+600+750</f>
        <v>3900</v>
      </c>
      <c r="O158" s="55">
        <f>M158+N158</f>
        <v>88000</v>
      </c>
      <c r="P158" s="47">
        <v>107</v>
      </c>
      <c r="Q158" s="56">
        <v>88000</v>
      </c>
      <c r="R158" s="41">
        <f>O158-Q158</f>
        <v>0</v>
      </c>
      <c r="S158" s="67"/>
      <c r="T158" s="33" t="s">
        <v>279</v>
      </c>
      <c r="U158" s="57">
        <v>5000</v>
      </c>
      <c r="V158" s="57">
        <f>U158+O158</f>
        <v>93000</v>
      </c>
      <c r="W158" s="57">
        <f>V158/0.7</f>
        <v>132857.14285714287</v>
      </c>
      <c r="X158" s="58">
        <f>W158/0.875</f>
        <v>151836.73469387757</v>
      </c>
      <c r="Y158" s="59">
        <f>(X158-W158)/X158</f>
        <v>0.12500000000000006</v>
      </c>
      <c r="Z158" s="58">
        <f>(ROUNDUP((X158/100),0))*100</f>
        <v>151900</v>
      </c>
      <c r="AA158" s="178"/>
      <c r="AB158" s="178"/>
      <c r="AC158" s="177"/>
      <c r="AD158" s="177"/>
      <c r="AE158" s="179"/>
      <c r="AF158" s="179"/>
      <c r="AG158" s="179"/>
      <c r="AH158" s="179"/>
      <c r="AI158" s="85"/>
    </row>
    <row r="159" spans="1:35" ht="14.45" customHeight="1" x14ac:dyDescent="0.2">
      <c r="A159" s="47">
        <v>110</v>
      </c>
      <c r="B159" s="48" t="str">
        <f>REPLACE(E159,1,3, )</f>
        <v xml:space="preserve"> 381</v>
      </c>
      <c r="C159" s="70" t="s">
        <v>285</v>
      </c>
      <c r="D159" s="49">
        <f>IF(E159=C159,0,1)</f>
        <v>0</v>
      </c>
      <c r="E159" s="48" t="s">
        <v>285</v>
      </c>
      <c r="F159" s="30" t="str">
        <f>REPLACE(E159,4,4, )</f>
        <v>SIP</v>
      </c>
      <c r="G159" s="33" t="s">
        <v>34</v>
      </c>
      <c r="H159" s="71" t="s">
        <v>265</v>
      </c>
      <c r="I159" s="33" t="s">
        <v>155</v>
      </c>
      <c r="J159" s="51">
        <v>105000</v>
      </c>
      <c r="K159" s="52">
        <f>J159-M159</f>
        <v>6700</v>
      </c>
      <c r="L159" s="49" t="s">
        <v>94</v>
      </c>
      <c r="M159" s="53">
        <f>J159-N159</f>
        <v>98300</v>
      </c>
      <c r="N159" s="53">
        <f>2000+200+350+600+550+3000</f>
        <v>6700</v>
      </c>
      <c r="O159" s="55">
        <f>M159+N159</f>
        <v>105000</v>
      </c>
      <c r="P159" s="47">
        <v>110</v>
      </c>
      <c r="Q159" s="56">
        <v>105000</v>
      </c>
      <c r="R159" s="41">
        <f>O159-Q159</f>
        <v>0</v>
      </c>
      <c r="S159" s="67"/>
      <c r="T159" s="33" t="s">
        <v>286</v>
      </c>
      <c r="U159" s="57">
        <v>1000</v>
      </c>
      <c r="V159" s="57">
        <f>U159+O159</f>
        <v>106000</v>
      </c>
      <c r="W159" s="57">
        <f>V159/0.7</f>
        <v>151428.57142857145</v>
      </c>
      <c r="X159" s="58">
        <f>W159/0.875</f>
        <v>173061.22448979595</v>
      </c>
      <c r="Y159" s="59">
        <f>(X159-W159)/X159</f>
        <v>0.12500000000000003</v>
      </c>
      <c r="Z159" s="58">
        <f>(ROUNDUP((X159/100),0))*100</f>
        <v>173100</v>
      </c>
      <c r="AA159" s="58"/>
      <c r="AB159" s="58"/>
      <c r="AC159" s="180"/>
      <c r="AD159" s="180"/>
      <c r="AE159" s="176"/>
      <c r="AF159" s="176"/>
      <c r="AG159" s="176"/>
      <c r="AH159" s="176"/>
      <c r="AI159" s="85"/>
    </row>
    <row r="160" spans="1:35" s="91" customFormat="1" ht="14.45" customHeight="1" x14ac:dyDescent="0.2">
      <c r="A160" s="47">
        <v>326</v>
      </c>
      <c r="B160" s="48" t="str">
        <f>REPLACE(E160,1,3, )</f>
        <v xml:space="preserve"> 478</v>
      </c>
      <c r="C160" s="70" t="s">
        <v>684</v>
      </c>
      <c r="D160" s="49">
        <f>IF(E160=C160,0,1)</f>
        <v>0</v>
      </c>
      <c r="E160" s="49" t="s">
        <v>684</v>
      </c>
      <c r="F160" s="30" t="str">
        <f>REPLACE(E160,4,4, )</f>
        <v>SIP</v>
      </c>
      <c r="G160" s="33" t="s">
        <v>91</v>
      </c>
      <c r="H160" s="34" t="s">
        <v>652</v>
      </c>
      <c r="I160" s="33" t="s">
        <v>155</v>
      </c>
      <c r="J160" s="51">
        <v>77000</v>
      </c>
      <c r="K160" s="52">
        <f>J160-M160</f>
        <v>6800</v>
      </c>
      <c r="L160" s="49" t="s">
        <v>94</v>
      </c>
      <c r="M160" s="53">
        <f>J160-N160</f>
        <v>70200</v>
      </c>
      <c r="N160" s="53">
        <f>2000+200+350+600+650+3000</f>
        <v>6800</v>
      </c>
      <c r="O160" s="55">
        <f>M160+N160</f>
        <v>77000</v>
      </c>
      <c r="P160" s="47">
        <v>326</v>
      </c>
      <c r="Q160" s="56">
        <v>77000</v>
      </c>
      <c r="R160" s="41">
        <f>O160-Q160</f>
        <v>0</v>
      </c>
      <c r="S160" s="67"/>
      <c r="T160" s="33" t="s">
        <v>664</v>
      </c>
      <c r="U160" s="57"/>
      <c r="V160" s="57">
        <f>U160+O160</f>
        <v>77000</v>
      </c>
      <c r="W160" s="57">
        <f>V160/0.7</f>
        <v>110000</v>
      </c>
      <c r="X160" s="58">
        <f>W160/0.875</f>
        <v>125714.28571428571</v>
      </c>
      <c r="Y160" s="59">
        <f>(X160-W160)/X160</f>
        <v>0.12499999999999997</v>
      </c>
      <c r="Z160" s="58">
        <f>(ROUNDUP((X160/100),0))*100</f>
        <v>125800</v>
      </c>
      <c r="AA160" s="178" t="s">
        <v>1780</v>
      </c>
      <c r="AB160" s="224">
        <v>43420</v>
      </c>
      <c r="AC160" s="177" t="s">
        <v>1780</v>
      </c>
      <c r="AD160" s="224">
        <v>43428</v>
      </c>
      <c r="AE160" s="179">
        <v>70200</v>
      </c>
      <c r="AF160" s="233" t="s">
        <v>1782</v>
      </c>
      <c r="AG160" s="233">
        <v>6800</v>
      </c>
      <c r="AH160" s="233">
        <v>77000</v>
      </c>
    </row>
    <row r="161" spans="1:35" s="91" customFormat="1" ht="14.45" customHeight="1" x14ac:dyDescent="0.2">
      <c r="A161" s="47">
        <v>39</v>
      </c>
      <c r="B161" s="48" t="str">
        <f>REPLACE(E161,1,3, )</f>
        <v xml:space="preserve"> 549</v>
      </c>
      <c r="C161" s="70" t="s">
        <v>154</v>
      </c>
      <c r="D161" s="49">
        <f>IF(E161=C161,0,1)</f>
        <v>0</v>
      </c>
      <c r="E161" s="49" t="s">
        <v>154</v>
      </c>
      <c r="F161" s="30" t="str">
        <f>REPLACE(E161,4,4, )</f>
        <v>SIP</v>
      </c>
      <c r="G161" s="33" t="s">
        <v>91</v>
      </c>
      <c r="H161" s="34" t="s">
        <v>153</v>
      </c>
      <c r="I161" s="33" t="s">
        <v>155</v>
      </c>
      <c r="J161" s="51">
        <v>90000</v>
      </c>
      <c r="K161" s="52">
        <f>J161-M161</f>
        <v>3950</v>
      </c>
      <c r="L161" s="49" t="s">
        <v>94</v>
      </c>
      <c r="M161" s="53">
        <f>J161-N161</f>
        <v>86050</v>
      </c>
      <c r="N161" s="53">
        <f>2000+200+350+600+800</f>
        <v>3950</v>
      </c>
      <c r="O161" s="55">
        <f>M161+N161</f>
        <v>90000</v>
      </c>
      <c r="P161" s="47">
        <v>39</v>
      </c>
      <c r="Q161" s="56">
        <v>90000</v>
      </c>
      <c r="R161" s="41">
        <f>O161-Q161</f>
        <v>0</v>
      </c>
      <c r="S161" s="67"/>
      <c r="T161" s="33" t="s">
        <v>98</v>
      </c>
      <c r="U161" s="57"/>
      <c r="V161" s="57">
        <f>U161+O161</f>
        <v>90000</v>
      </c>
      <c r="W161" s="57">
        <f>V161/0.7</f>
        <v>128571.42857142858</v>
      </c>
      <c r="X161" s="58">
        <f>W161/0.875</f>
        <v>146938.77551020408</v>
      </c>
      <c r="Y161" s="59">
        <f>(X161-W161)/X161</f>
        <v>0.12499999999999994</v>
      </c>
      <c r="Z161" s="58">
        <f>(ROUNDUP((X161/100),0))*100</f>
        <v>147000</v>
      </c>
      <c r="AA161" s="178" t="s">
        <v>1780</v>
      </c>
      <c r="AB161" s="224">
        <v>43432</v>
      </c>
      <c r="AC161" s="177"/>
      <c r="AD161" s="177"/>
      <c r="AE161" s="179"/>
      <c r="AF161" s="179"/>
      <c r="AG161" s="179"/>
      <c r="AH161" s="179"/>
    </row>
    <row r="162" spans="1:35" ht="14.45" customHeight="1" x14ac:dyDescent="0.2">
      <c r="A162" s="47">
        <v>130</v>
      </c>
      <c r="B162" s="48" t="str">
        <f>REPLACE(E162,1,3, )</f>
        <v xml:space="preserve"> 718</v>
      </c>
      <c r="C162" s="70" t="s">
        <v>326</v>
      </c>
      <c r="D162" s="49">
        <f>IF(E162=C162,0,1)</f>
        <v>0</v>
      </c>
      <c r="E162" s="49" t="s">
        <v>326</v>
      </c>
      <c r="F162" s="30" t="str">
        <f>REPLACE(E162,4,4, )</f>
        <v>SIP</v>
      </c>
      <c r="G162" s="33" t="s">
        <v>91</v>
      </c>
      <c r="H162" s="34" t="s">
        <v>319</v>
      </c>
      <c r="I162" s="33" t="s">
        <v>155</v>
      </c>
      <c r="J162" s="51">
        <v>104000</v>
      </c>
      <c r="K162" s="52">
        <f>J162-M162</f>
        <v>3900</v>
      </c>
      <c r="L162" s="49" t="s">
        <v>94</v>
      </c>
      <c r="M162" s="53">
        <f>J162-N162</f>
        <v>100100</v>
      </c>
      <c r="N162" s="53">
        <f>2000+200+350+600+750</f>
        <v>3900</v>
      </c>
      <c r="O162" s="55">
        <f>M162+N162</f>
        <v>104000</v>
      </c>
      <c r="P162" s="47">
        <v>130</v>
      </c>
      <c r="Q162" s="56">
        <v>104000</v>
      </c>
      <c r="R162" s="41">
        <f>O162-Q162</f>
        <v>0</v>
      </c>
      <c r="S162" s="67"/>
      <c r="T162" s="33" t="s">
        <v>327</v>
      </c>
      <c r="U162" s="57"/>
      <c r="V162" s="57">
        <f>U162+O162</f>
        <v>104000</v>
      </c>
      <c r="W162" s="57">
        <f>V162/0.7</f>
        <v>148571.42857142858</v>
      </c>
      <c r="X162" s="58">
        <f>W162/0.875</f>
        <v>169795.91836734695</v>
      </c>
      <c r="Y162" s="59">
        <f>(X162-W162)/X162</f>
        <v>0.12500000000000003</v>
      </c>
      <c r="Z162" s="58">
        <f>(ROUNDUP((X162/100),0))*100</f>
        <v>169800</v>
      </c>
      <c r="AA162" s="178" t="s">
        <v>1780</v>
      </c>
      <c r="AB162" s="224">
        <v>43432</v>
      </c>
      <c r="AC162" s="177"/>
      <c r="AD162" s="177"/>
      <c r="AE162" s="179"/>
      <c r="AF162" s="179"/>
      <c r="AG162" s="179"/>
      <c r="AH162" s="179"/>
      <c r="AI162" s="85"/>
    </row>
    <row r="163" spans="1:35" s="91" customFormat="1" ht="14.45" customHeight="1" x14ac:dyDescent="0.2">
      <c r="A163" s="47">
        <v>317</v>
      </c>
      <c r="B163" s="48" t="str">
        <f>REPLACE(E163,1,3, )</f>
        <v xml:space="preserve"> 809</v>
      </c>
      <c r="C163" s="70" t="s">
        <v>665</v>
      </c>
      <c r="D163" s="49">
        <f>IF(E163=C163,0,1)</f>
        <v>0</v>
      </c>
      <c r="E163" s="48" t="s">
        <v>665</v>
      </c>
      <c r="F163" s="30" t="str">
        <f>REPLACE(E163,4,4, )</f>
        <v>SIP</v>
      </c>
      <c r="G163" s="33" t="s">
        <v>34</v>
      </c>
      <c r="H163" s="71" t="s">
        <v>644</v>
      </c>
      <c r="I163" s="33" t="s">
        <v>155</v>
      </c>
      <c r="J163" s="51">
        <v>117500</v>
      </c>
      <c r="K163" s="52">
        <f>J163-M163</f>
        <v>6900</v>
      </c>
      <c r="L163" s="49" t="s">
        <v>94</v>
      </c>
      <c r="M163" s="53">
        <f>J163-N163</f>
        <v>110600</v>
      </c>
      <c r="N163" s="53">
        <f>2000+200+600+550+3000+550</f>
        <v>6900</v>
      </c>
      <c r="O163" s="55">
        <f>M163+N163</f>
        <v>117500</v>
      </c>
      <c r="P163" s="47">
        <v>317</v>
      </c>
      <c r="Q163" s="56">
        <v>117500</v>
      </c>
      <c r="R163" s="41">
        <f>O163-Q163</f>
        <v>0</v>
      </c>
      <c r="S163" s="42"/>
      <c r="T163" s="33" t="s">
        <v>666</v>
      </c>
      <c r="U163" s="57">
        <v>2000</v>
      </c>
      <c r="V163" s="57">
        <f>U163+O163</f>
        <v>119500</v>
      </c>
      <c r="W163" s="57">
        <f>V163/0.7</f>
        <v>170714.28571428574</v>
      </c>
      <c r="X163" s="58">
        <f>W163/0.875</f>
        <v>195102.04081632657</v>
      </c>
      <c r="Y163" s="59">
        <f>(X163-W163)/X163</f>
        <v>0.12500000000000003</v>
      </c>
      <c r="Z163" s="58">
        <f>(ROUNDUP((X163/100),0))*100</f>
        <v>195200</v>
      </c>
      <c r="AA163" s="58"/>
      <c r="AB163" s="58"/>
      <c r="AC163" s="180"/>
      <c r="AD163" s="180"/>
      <c r="AE163" s="176"/>
      <c r="AF163" s="176"/>
      <c r="AG163" s="176"/>
      <c r="AH163" s="176"/>
    </row>
    <row r="164" spans="1:35" s="91" customFormat="1" ht="14.45" customHeight="1" x14ac:dyDescent="0.2">
      <c r="A164" s="47">
        <v>323</v>
      </c>
      <c r="B164" s="48" t="str">
        <f>REPLACE(E164,1,3, )</f>
        <v xml:space="preserve"> 892</v>
      </c>
      <c r="C164" s="70" t="s">
        <v>678</v>
      </c>
      <c r="D164" s="49">
        <f>IF(E164=C164,0,1)</f>
        <v>0</v>
      </c>
      <c r="E164" s="49" t="s">
        <v>678</v>
      </c>
      <c r="F164" s="30" t="str">
        <f>REPLACE(E164,4,4, )</f>
        <v>SIP</v>
      </c>
      <c r="G164" s="33" t="s">
        <v>91</v>
      </c>
      <c r="H164" s="34" t="s">
        <v>652</v>
      </c>
      <c r="I164" s="33" t="s">
        <v>155</v>
      </c>
      <c r="J164" s="51">
        <v>76500</v>
      </c>
      <c r="K164" s="52">
        <f>J164-M164</f>
        <v>6450</v>
      </c>
      <c r="L164" s="49" t="s">
        <v>94</v>
      </c>
      <c r="M164" s="53">
        <f>J164-N164</f>
        <v>70050</v>
      </c>
      <c r="N164" s="53">
        <f>2000+200+350+600+300+3000</f>
        <v>6450</v>
      </c>
      <c r="O164" s="55">
        <f>M164+N164</f>
        <v>76500</v>
      </c>
      <c r="P164" s="47">
        <v>323</v>
      </c>
      <c r="Q164" s="56">
        <v>76500</v>
      </c>
      <c r="R164" s="41">
        <f>O164-Q164</f>
        <v>0</v>
      </c>
      <c r="S164" s="67"/>
      <c r="T164" s="33" t="s">
        <v>679</v>
      </c>
      <c r="U164" s="57"/>
      <c r="V164" s="57">
        <f>U164+O164</f>
        <v>76500</v>
      </c>
      <c r="W164" s="57">
        <f>V164/0.7</f>
        <v>109285.71428571429</v>
      </c>
      <c r="X164" s="58">
        <f>W164/0.875</f>
        <v>124897.95918367348</v>
      </c>
      <c r="Y164" s="59">
        <f>(X164-W164)/X164</f>
        <v>0.12500000000000003</v>
      </c>
      <c r="Z164" s="58">
        <f>(ROUNDUP((X164/100),0))*100</f>
        <v>124900</v>
      </c>
      <c r="AA164" s="178" t="s">
        <v>1780</v>
      </c>
      <c r="AB164" s="224">
        <v>43420</v>
      </c>
      <c r="AC164" s="177"/>
      <c r="AD164" s="177"/>
      <c r="AE164" s="179"/>
      <c r="AF164" s="179"/>
      <c r="AG164" s="179"/>
      <c r="AH164" s="179"/>
    </row>
    <row r="165" spans="1:35" ht="14.45" customHeight="1" x14ac:dyDescent="0.2">
      <c r="A165" s="47">
        <v>126</v>
      </c>
      <c r="B165" s="48" t="str">
        <f>REPLACE(E165,1,3, )</f>
        <v xml:space="preserve"> 929</v>
      </c>
      <c r="C165" s="70" t="s">
        <v>316</v>
      </c>
      <c r="D165" s="49">
        <f>IF(E165=C165,0,1)</f>
        <v>0</v>
      </c>
      <c r="E165" s="49" t="s">
        <v>316</v>
      </c>
      <c r="F165" s="30" t="str">
        <f>REPLACE(E165,4,4, )</f>
        <v>SIP</v>
      </c>
      <c r="G165" s="33" t="s">
        <v>91</v>
      </c>
      <c r="H165" s="71" t="s">
        <v>311</v>
      </c>
      <c r="I165" s="33" t="s">
        <v>155</v>
      </c>
      <c r="J165" s="51">
        <v>112000</v>
      </c>
      <c r="K165" s="52">
        <f>J165-M165</f>
        <v>6150</v>
      </c>
      <c r="L165" s="49" t="s">
        <v>94</v>
      </c>
      <c r="M165" s="53">
        <f>J165-N165</f>
        <v>105850</v>
      </c>
      <c r="N165" s="53">
        <f>2000+200+350+600+3000</f>
        <v>6150</v>
      </c>
      <c r="O165" s="55">
        <f>M165+N165</f>
        <v>112000</v>
      </c>
      <c r="P165" s="47">
        <v>126</v>
      </c>
      <c r="Q165" s="56">
        <v>112000</v>
      </c>
      <c r="R165" s="41">
        <f>O165-Q165</f>
        <v>0</v>
      </c>
      <c r="S165" s="67"/>
      <c r="T165" s="33" t="s">
        <v>317</v>
      </c>
      <c r="U165" s="57"/>
      <c r="V165" s="57">
        <f>U165+O165</f>
        <v>112000</v>
      </c>
      <c r="W165" s="57">
        <f>V165/0.7</f>
        <v>160000</v>
      </c>
      <c r="X165" s="58">
        <f>W165/0.875</f>
        <v>182857.14285714287</v>
      </c>
      <c r="Y165" s="59">
        <f>(X165-W165)/X165</f>
        <v>0.12500000000000006</v>
      </c>
      <c r="Z165" s="58">
        <f>(ROUNDUP((X165/100),0))*100</f>
        <v>182900</v>
      </c>
      <c r="AA165" s="178"/>
      <c r="AB165" s="178"/>
      <c r="AC165" s="177"/>
      <c r="AD165" s="177"/>
      <c r="AE165" s="179"/>
      <c r="AF165" s="179"/>
      <c r="AG165" s="179"/>
      <c r="AH165" s="179"/>
      <c r="AI165" s="85"/>
    </row>
    <row r="166" spans="1:35" s="91" customFormat="1" ht="14.45" customHeight="1" x14ac:dyDescent="0.2">
      <c r="A166" s="47">
        <v>346</v>
      </c>
      <c r="B166" s="48" t="str">
        <f>REPLACE(E166,1,3, )</f>
        <v xml:space="preserve"> 933</v>
      </c>
      <c r="C166" s="70" t="s">
        <v>713</v>
      </c>
      <c r="D166" s="49">
        <f>IF(E166=C166,0,1)</f>
        <v>0</v>
      </c>
      <c r="E166" s="49" t="s">
        <v>713</v>
      </c>
      <c r="F166" s="30" t="str">
        <f>REPLACE(E166,4,4, )</f>
        <v>SIP</v>
      </c>
      <c r="G166" s="33" t="s">
        <v>209</v>
      </c>
      <c r="H166" s="71" t="s">
        <v>335</v>
      </c>
      <c r="I166" s="33" t="s">
        <v>155</v>
      </c>
      <c r="J166" s="51">
        <v>104000</v>
      </c>
      <c r="K166" s="52">
        <f>J166-M166</f>
        <v>6150</v>
      </c>
      <c r="L166" s="49" t="s">
        <v>94</v>
      </c>
      <c r="M166" s="53">
        <f>J166-N166</f>
        <v>97850</v>
      </c>
      <c r="N166" s="53">
        <f>2000+200+350+600+3000</f>
        <v>6150</v>
      </c>
      <c r="O166" s="55">
        <f>M166+N166</f>
        <v>104000</v>
      </c>
      <c r="P166" s="47">
        <v>346</v>
      </c>
      <c r="Q166" s="41"/>
      <c r="R166" s="41">
        <f>O166-Q166</f>
        <v>104000</v>
      </c>
      <c r="S166" s="67"/>
      <c r="T166" s="33" t="s">
        <v>317</v>
      </c>
      <c r="U166" s="57"/>
      <c r="V166" s="57">
        <f>U166+O166</f>
        <v>104000</v>
      </c>
      <c r="W166" s="57">
        <f>V166/0.7</f>
        <v>148571.42857142858</v>
      </c>
      <c r="X166" s="58">
        <f>W166/0.875</f>
        <v>169795.91836734695</v>
      </c>
      <c r="Y166" s="59">
        <f>(X166-W166)/X166</f>
        <v>0.12500000000000003</v>
      </c>
      <c r="Z166" s="58">
        <f>(ROUNDUP((X166/100),0))*100</f>
        <v>169800</v>
      </c>
      <c r="AA166" s="178" t="s">
        <v>1780</v>
      </c>
      <c r="AB166" s="224">
        <v>43432</v>
      </c>
      <c r="AC166" s="177"/>
      <c r="AD166" s="177"/>
      <c r="AE166" s="179"/>
      <c r="AF166" s="179"/>
      <c r="AG166" s="179"/>
      <c r="AH166" s="179"/>
    </row>
    <row r="167" spans="1:35" ht="14.45" customHeight="1" x14ac:dyDescent="0.2">
      <c r="A167" s="47">
        <v>325</v>
      </c>
      <c r="B167" s="48" t="str">
        <f>REPLACE(E167,1,3, )</f>
        <v xml:space="preserve"> 947</v>
      </c>
      <c r="C167" s="70" t="s">
        <v>683</v>
      </c>
      <c r="D167" s="49">
        <f>IF(E167=C167,0,1)</f>
        <v>0</v>
      </c>
      <c r="E167" s="49" t="s">
        <v>683</v>
      </c>
      <c r="F167" s="30" t="str">
        <f>REPLACE(E167,4,4, )</f>
        <v>SIP</v>
      </c>
      <c r="G167" s="33" t="s">
        <v>91</v>
      </c>
      <c r="H167" s="34" t="s">
        <v>652</v>
      </c>
      <c r="I167" s="33" t="s">
        <v>155</v>
      </c>
      <c r="J167" s="51">
        <v>77000</v>
      </c>
      <c r="K167" s="52">
        <f>J167-M167</f>
        <v>6800</v>
      </c>
      <c r="L167" s="49" t="s">
        <v>94</v>
      </c>
      <c r="M167" s="53">
        <f>J167-N167</f>
        <v>70200</v>
      </c>
      <c r="N167" s="53">
        <f>2000+200+350+600+650+3000</f>
        <v>6800</v>
      </c>
      <c r="O167" s="55">
        <f>M167+N167</f>
        <v>77000</v>
      </c>
      <c r="P167" s="47">
        <v>325</v>
      </c>
      <c r="Q167" s="56">
        <v>77000</v>
      </c>
      <c r="R167" s="41">
        <f>O167-Q167</f>
        <v>0</v>
      </c>
      <c r="S167" s="67"/>
      <c r="T167" s="33" t="s">
        <v>664</v>
      </c>
      <c r="U167" s="57"/>
      <c r="V167" s="57">
        <f>U167+O167</f>
        <v>77000</v>
      </c>
      <c r="W167" s="57">
        <f>V167/0.7</f>
        <v>110000</v>
      </c>
      <c r="X167" s="58">
        <f>W167/0.875</f>
        <v>125714.28571428571</v>
      </c>
      <c r="Y167" s="59">
        <f>(X167-W167)/X167</f>
        <v>0.12499999999999997</v>
      </c>
      <c r="Z167" s="58">
        <f>(ROUNDUP((X167/100),0))*100</f>
        <v>125800</v>
      </c>
      <c r="AA167" s="178" t="s">
        <v>1780</v>
      </c>
      <c r="AB167" s="224">
        <v>43439</v>
      </c>
      <c r="AC167" s="177"/>
      <c r="AD167" s="177"/>
      <c r="AE167" s="179"/>
      <c r="AF167" s="179"/>
      <c r="AG167" s="179"/>
      <c r="AH167" s="179"/>
      <c r="AI167" s="85"/>
    </row>
    <row r="168" spans="1:35" ht="14.45" customHeight="1" x14ac:dyDescent="0.2">
      <c r="A168" s="47">
        <v>423</v>
      </c>
      <c r="B168" s="48" t="str">
        <f>REPLACE(E168,1,3, )</f>
        <v xml:space="preserve"> 916</v>
      </c>
      <c r="C168" s="32" t="s">
        <v>849</v>
      </c>
      <c r="D168" s="49">
        <f>IF(E168=C168,0,1)</f>
        <v>0</v>
      </c>
      <c r="E168" s="49" t="s">
        <v>849</v>
      </c>
      <c r="F168" s="30" t="str">
        <f>REPLACE(E168,4,4, )</f>
        <v>SJO</v>
      </c>
      <c r="G168" s="33" t="s">
        <v>91</v>
      </c>
      <c r="H168" s="71" t="s">
        <v>846</v>
      </c>
      <c r="I168" s="33" t="s">
        <v>847</v>
      </c>
      <c r="J168" s="51">
        <v>103000</v>
      </c>
      <c r="K168" s="52">
        <f>J168-M168</f>
        <v>4050</v>
      </c>
      <c r="L168" s="49" t="s">
        <v>94</v>
      </c>
      <c r="M168" s="53">
        <f>J168-N168</f>
        <v>98950</v>
      </c>
      <c r="N168" s="53">
        <f>2000+200+250+1000+600</f>
        <v>4050</v>
      </c>
      <c r="O168" s="55">
        <f>M168+N168</f>
        <v>103000</v>
      </c>
      <c r="P168" s="47">
        <v>423</v>
      </c>
      <c r="Q168" s="56">
        <v>103000</v>
      </c>
      <c r="R168" s="41">
        <f>O168-Q168</f>
        <v>0</v>
      </c>
      <c r="S168" s="67"/>
      <c r="T168" s="33" t="s">
        <v>850</v>
      </c>
      <c r="U168" s="57"/>
      <c r="V168" s="57">
        <f>U168+O168</f>
        <v>103000</v>
      </c>
      <c r="W168" s="57">
        <f>V168/0.7</f>
        <v>147142.85714285716</v>
      </c>
      <c r="X168" s="58">
        <f>W168/0.875</f>
        <v>168163.26530612246</v>
      </c>
      <c r="Y168" s="59">
        <f>(X168-W168)/X168</f>
        <v>0.12499999999999993</v>
      </c>
      <c r="Z168" s="58">
        <f>(ROUNDUP((X168/100),0))*100</f>
        <v>168200</v>
      </c>
      <c r="AA168" s="178"/>
      <c r="AB168" s="178"/>
      <c r="AC168" s="177"/>
      <c r="AD168" s="177"/>
      <c r="AE168" s="179"/>
      <c r="AF168" s="179"/>
      <c r="AG168" s="179"/>
      <c r="AH168" s="179"/>
      <c r="AI168" s="85"/>
    </row>
    <row r="169" spans="1:35" ht="14.45" customHeight="1" x14ac:dyDescent="0.2">
      <c r="A169" s="47">
        <v>422</v>
      </c>
      <c r="B169" s="48" t="str">
        <f>REPLACE(E169,1,3, )</f>
        <v xml:space="preserve"> 996</v>
      </c>
      <c r="C169" s="32" t="s">
        <v>845</v>
      </c>
      <c r="D169" s="49">
        <f>IF(E169=C169,0,1)</f>
        <v>0</v>
      </c>
      <c r="E169" s="49" t="s">
        <v>845</v>
      </c>
      <c r="F169" s="30" t="str">
        <f>REPLACE(E169,4,4, )</f>
        <v>SJO</v>
      </c>
      <c r="G169" s="33" t="s">
        <v>91</v>
      </c>
      <c r="H169" s="71" t="s">
        <v>846</v>
      </c>
      <c r="I169" s="33" t="s">
        <v>847</v>
      </c>
      <c r="J169" s="51">
        <v>105500</v>
      </c>
      <c r="K169" s="52">
        <f>J169-M169</f>
        <v>4050</v>
      </c>
      <c r="L169" s="49" t="s">
        <v>94</v>
      </c>
      <c r="M169" s="53">
        <f>J169-N169</f>
        <v>101450</v>
      </c>
      <c r="N169" s="53">
        <f>2000+200+250+1000+600</f>
        <v>4050</v>
      </c>
      <c r="O169" s="55">
        <f>M169+N169</f>
        <v>105500</v>
      </c>
      <c r="P169" s="47">
        <v>422</v>
      </c>
      <c r="Q169" s="56">
        <v>103000</v>
      </c>
      <c r="R169" s="41">
        <f>O169-Q169</f>
        <v>2500</v>
      </c>
      <c r="S169" s="67"/>
      <c r="T169" s="33" t="s">
        <v>848</v>
      </c>
      <c r="U169" s="57"/>
      <c r="V169" s="57">
        <f>U169+O169</f>
        <v>105500</v>
      </c>
      <c r="W169" s="57">
        <f>V169/0.7</f>
        <v>150714.28571428571</v>
      </c>
      <c r="X169" s="58">
        <f>W169/0.875</f>
        <v>172244.89795918367</v>
      </c>
      <c r="Y169" s="59">
        <f>(X169-W169)/X169</f>
        <v>0.125</v>
      </c>
      <c r="Z169" s="58">
        <f>(ROUNDUP((X169/100),0))*100</f>
        <v>172300</v>
      </c>
      <c r="AA169" s="178" t="s">
        <v>1780</v>
      </c>
      <c r="AB169" s="224">
        <v>43420</v>
      </c>
      <c r="AC169" s="177" t="s">
        <v>1780</v>
      </c>
      <c r="AD169" s="224">
        <v>43429</v>
      </c>
      <c r="AE169" s="179">
        <v>101450</v>
      </c>
      <c r="AF169" s="233" t="s">
        <v>1783</v>
      </c>
      <c r="AG169" s="233">
        <v>4050</v>
      </c>
      <c r="AH169" s="233">
        <v>105500</v>
      </c>
      <c r="AI169" s="85"/>
    </row>
    <row r="170" spans="1:35" s="91" customFormat="1" ht="14.45" customHeight="1" x14ac:dyDescent="0.2">
      <c r="A170" s="47">
        <v>153</v>
      </c>
      <c r="B170" s="48" t="str">
        <f>REPLACE(E170,1,3, )</f>
        <v xml:space="preserve"> 113</v>
      </c>
      <c r="C170" s="70" t="s">
        <v>363</v>
      </c>
      <c r="D170" s="49">
        <f>IF(E170=C170,0,1)</f>
        <v>0</v>
      </c>
      <c r="E170" s="49" t="s">
        <v>363</v>
      </c>
      <c r="F170" s="30" t="str">
        <f>REPLACE(E170,4,4, )</f>
        <v>SJU</v>
      </c>
      <c r="G170" s="33" t="s">
        <v>91</v>
      </c>
      <c r="H170" s="71" t="s">
        <v>360</v>
      </c>
      <c r="I170" s="33" t="s">
        <v>364</v>
      </c>
      <c r="J170" s="51">
        <v>70000</v>
      </c>
      <c r="K170" s="52">
        <f>J170-M170</f>
        <v>7500</v>
      </c>
      <c r="L170" s="49" t="s">
        <v>94</v>
      </c>
      <c r="M170" s="53">
        <f>J170-N170</f>
        <v>62500</v>
      </c>
      <c r="N170" s="53">
        <f>2000+300+600+1000+3600</f>
        <v>7500</v>
      </c>
      <c r="O170" s="55">
        <f>M170+N170</f>
        <v>70000</v>
      </c>
      <c r="P170" s="47">
        <v>153</v>
      </c>
      <c r="Q170" s="56">
        <v>70000</v>
      </c>
      <c r="R170" s="41">
        <f>O170-Q170</f>
        <v>0</v>
      </c>
      <c r="S170" s="67" t="s">
        <v>276</v>
      </c>
      <c r="T170" s="33" t="s">
        <v>365</v>
      </c>
      <c r="U170" s="57"/>
      <c r="V170" s="57">
        <f>U170+O170</f>
        <v>70000</v>
      </c>
      <c r="W170" s="57">
        <f>V170/0.7</f>
        <v>100000</v>
      </c>
      <c r="X170" s="58">
        <f>W170/0.875</f>
        <v>114285.71428571429</v>
      </c>
      <c r="Y170" s="59">
        <f>(X170-W170)/X170</f>
        <v>0.12500000000000003</v>
      </c>
      <c r="Z170" s="58">
        <f>(ROUNDUP((X170/100),0))*100</f>
        <v>114300</v>
      </c>
      <c r="AA170" s="178"/>
      <c r="AB170" s="178"/>
      <c r="AC170" s="177"/>
      <c r="AD170" s="177"/>
      <c r="AE170" s="179"/>
      <c r="AF170" s="179"/>
      <c r="AG170" s="179"/>
      <c r="AH170" s="179"/>
    </row>
    <row r="171" spans="1:35" s="91" customFormat="1" ht="14.45" customHeight="1" x14ac:dyDescent="0.2">
      <c r="A171" s="47">
        <v>177</v>
      </c>
      <c r="B171" s="48" t="str">
        <f>REPLACE(E171,1,3, )</f>
        <v xml:space="preserve"> 226</v>
      </c>
      <c r="C171" s="70" t="s">
        <v>411</v>
      </c>
      <c r="D171" s="49">
        <f>IF(E171=C171,0,1)</f>
        <v>0</v>
      </c>
      <c r="E171" s="49" t="s">
        <v>411</v>
      </c>
      <c r="F171" s="30" t="str">
        <f>REPLACE(E171,4,4, )</f>
        <v>SJU</v>
      </c>
      <c r="G171" s="33" t="s">
        <v>91</v>
      </c>
      <c r="H171" s="71" t="s">
        <v>360</v>
      </c>
      <c r="I171" s="33" t="s">
        <v>364</v>
      </c>
      <c r="J171" s="51">
        <v>70000</v>
      </c>
      <c r="K171" s="52">
        <f>J171-M171</f>
        <v>7500</v>
      </c>
      <c r="L171" s="49" t="s">
        <v>94</v>
      </c>
      <c r="M171" s="53">
        <f>J171-N171</f>
        <v>62500</v>
      </c>
      <c r="N171" s="53">
        <f>2000+300+600+1000+3600</f>
        <v>7500</v>
      </c>
      <c r="O171" s="55">
        <f>M171+N171</f>
        <v>70000</v>
      </c>
      <c r="P171" s="47">
        <v>177</v>
      </c>
      <c r="Q171" s="56">
        <v>70000</v>
      </c>
      <c r="R171" s="41">
        <f>O171-Q171</f>
        <v>0</v>
      </c>
      <c r="S171" s="67" t="s">
        <v>406</v>
      </c>
      <c r="T171" s="33" t="s">
        <v>365</v>
      </c>
      <c r="U171" s="57"/>
      <c r="V171" s="57">
        <f>U171+O171</f>
        <v>70000</v>
      </c>
      <c r="W171" s="57">
        <f>V171/0.7</f>
        <v>100000</v>
      </c>
      <c r="X171" s="58">
        <f>W171/0.875</f>
        <v>114285.71428571429</v>
      </c>
      <c r="Y171" s="59">
        <f>(X171-W171)/X171</f>
        <v>0.12500000000000003</v>
      </c>
      <c r="Z171" s="58">
        <f>(ROUNDUP((X171/100),0))*100</f>
        <v>114300</v>
      </c>
      <c r="AA171" s="178" t="s">
        <v>1780</v>
      </c>
      <c r="AB171" s="224">
        <v>43445</v>
      </c>
      <c r="AC171" s="177"/>
      <c r="AD171" s="177"/>
      <c r="AE171" s="179"/>
      <c r="AF171" s="179"/>
      <c r="AG171" s="179"/>
      <c r="AH171" s="179"/>
    </row>
    <row r="172" spans="1:35" s="91" customFormat="1" ht="14.45" customHeight="1" x14ac:dyDescent="0.2">
      <c r="A172" s="47">
        <v>159</v>
      </c>
      <c r="B172" s="48" t="str">
        <f>REPLACE(E172,1,3, )</f>
        <v xml:space="preserve"> 319</v>
      </c>
      <c r="C172" s="70" t="s">
        <v>377</v>
      </c>
      <c r="D172" s="49">
        <f>IF(E172=C172,0,1)</f>
        <v>0</v>
      </c>
      <c r="E172" s="49" t="s">
        <v>377</v>
      </c>
      <c r="F172" s="30" t="str">
        <f>REPLACE(E172,4,4, )</f>
        <v>SJU</v>
      </c>
      <c r="G172" s="33" t="s">
        <v>91</v>
      </c>
      <c r="H172" s="71" t="s">
        <v>360</v>
      </c>
      <c r="I172" s="33" t="s">
        <v>364</v>
      </c>
      <c r="J172" s="51">
        <v>67500</v>
      </c>
      <c r="K172" s="52">
        <f>J172-M172</f>
        <v>7500</v>
      </c>
      <c r="L172" s="49" t="s">
        <v>94</v>
      </c>
      <c r="M172" s="53">
        <f>J172-N172</f>
        <v>60000</v>
      </c>
      <c r="N172" s="53">
        <f>2000+300+600+1000+3600</f>
        <v>7500</v>
      </c>
      <c r="O172" s="55">
        <f>M172+N172</f>
        <v>67500</v>
      </c>
      <c r="P172" s="47">
        <v>159</v>
      </c>
      <c r="Q172" s="56">
        <v>67500</v>
      </c>
      <c r="R172" s="41">
        <f>O172-Q172</f>
        <v>0</v>
      </c>
      <c r="S172" s="67" t="s">
        <v>276</v>
      </c>
      <c r="T172" s="33" t="s">
        <v>365</v>
      </c>
      <c r="U172" s="57"/>
      <c r="V172" s="57">
        <f>U172+O172</f>
        <v>67500</v>
      </c>
      <c r="W172" s="57">
        <f>V172/0.7</f>
        <v>96428.571428571435</v>
      </c>
      <c r="X172" s="58">
        <f>W172/0.875</f>
        <v>110204.08163265306</v>
      </c>
      <c r="Y172" s="59">
        <f>(X172-W172)/X172</f>
        <v>0.12499999999999994</v>
      </c>
      <c r="Z172" s="58">
        <f>(ROUNDUP((X172/100),0))*100</f>
        <v>110300</v>
      </c>
      <c r="AA172" s="178"/>
      <c r="AB172" s="178"/>
      <c r="AC172" s="177"/>
      <c r="AD172" s="177"/>
      <c r="AE172" s="179"/>
      <c r="AF172" s="179"/>
      <c r="AG172" s="179"/>
      <c r="AH172" s="179"/>
    </row>
    <row r="173" spans="1:35" ht="14.45" customHeight="1" x14ac:dyDescent="0.2">
      <c r="A173" s="47">
        <v>175</v>
      </c>
      <c r="B173" s="48" t="str">
        <f>REPLACE(E173,1,3, )</f>
        <v xml:space="preserve"> 807</v>
      </c>
      <c r="C173" s="70" t="s">
        <v>407</v>
      </c>
      <c r="D173" s="49">
        <f>IF(E173=C173,0,1)</f>
        <v>0</v>
      </c>
      <c r="E173" s="49" t="s">
        <v>407</v>
      </c>
      <c r="F173" s="30" t="str">
        <f>REPLACE(E173,4,4, )</f>
        <v>SJU</v>
      </c>
      <c r="G173" s="33" t="s">
        <v>91</v>
      </c>
      <c r="H173" s="71" t="s">
        <v>360</v>
      </c>
      <c r="I173" s="33" t="s">
        <v>364</v>
      </c>
      <c r="J173" s="51">
        <v>70000</v>
      </c>
      <c r="K173" s="52">
        <f>J173-M173</f>
        <v>7500</v>
      </c>
      <c r="L173" s="49" t="s">
        <v>94</v>
      </c>
      <c r="M173" s="53">
        <f>J173-N173</f>
        <v>62500</v>
      </c>
      <c r="N173" s="53">
        <f>2000+300+600+1000+3600</f>
        <v>7500</v>
      </c>
      <c r="O173" s="55">
        <f>M173+N173</f>
        <v>70000</v>
      </c>
      <c r="P173" s="47">
        <v>175</v>
      </c>
      <c r="Q173" s="56">
        <v>70000</v>
      </c>
      <c r="R173" s="41">
        <f>O173-Q173</f>
        <v>0</v>
      </c>
      <c r="S173" s="67" t="s">
        <v>406</v>
      </c>
      <c r="T173" s="33" t="s">
        <v>365</v>
      </c>
      <c r="U173" s="57"/>
      <c r="V173" s="57">
        <f>U173+O173</f>
        <v>70000</v>
      </c>
      <c r="W173" s="57">
        <f>V173/0.7</f>
        <v>100000</v>
      </c>
      <c r="X173" s="58">
        <f>W173/0.875</f>
        <v>114285.71428571429</v>
      </c>
      <c r="Y173" s="59">
        <f>(X173-W173)/X173</f>
        <v>0.12500000000000003</v>
      </c>
      <c r="Z173" s="58">
        <f>(ROUNDUP((X173/100),0))*100</f>
        <v>114300</v>
      </c>
      <c r="AA173" s="178" t="s">
        <v>1780</v>
      </c>
      <c r="AB173" s="224">
        <v>43445</v>
      </c>
      <c r="AC173" s="177"/>
      <c r="AD173" s="177"/>
      <c r="AE173" s="179"/>
      <c r="AF173" s="179"/>
      <c r="AG173" s="179"/>
      <c r="AH173" s="179"/>
      <c r="AI173" s="85"/>
    </row>
    <row r="174" spans="1:35" s="91" customFormat="1" ht="14.45" customHeight="1" x14ac:dyDescent="0.2">
      <c r="A174" s="47">
        <v>180</v>
      </c>
      <c r="B174" s="48" t="str">
        <f>REPLACE(E174,1,3, )</f>
        <v xml:space="preserve"> 849</v>
      </c>
      <c r="C174" s="70" t="s">
        <v>414</v>
      </c>
      <c r="D174" s="49">
        <f>IF(E174=C174,0,1)</f>
        <v>0</v>
      </c>
      <c r="E174" s="49" t="s">
        <v>414</v>
      </c>
      <c r="F174" s="30" t="str">
        <f>REPLACE(E174,4,4, )</f>
        <v>SJU</v>
      </c>
      <c r="G174" s="33" t="s">
        <v>91</v>
      </c>
      <c r="H174" s="71" t="s">
        <v>360</v>
      </c>
      <c r="I174" s="33" t="s">
        <v>364</v>
      </c>
      <c r="J174" s="51">
        <v>70000</v>
      </c>
      <c r="K174" s="52">
        <f>J174-M174</f>
        <v>7500</v>
      </c>
      <c r="L174" s="49" t="s">
        <v>94</v>
      </c>
      <c r="M174" s="53">
        <f>J174-N174</f>
        <v>62500</v>
      </c>
      <c r="N174" s="53">
        <f>2000+300+600+1000+3600</f>
        <v>7500</v>
      </c>
      <c r="O174" s="55">
        <f>M174+N174</f>
        <v>70000</v>
      </c>
      <c r="P174" s="47">
        <v>180</v>
      </c>
      <c r="Q174" s="56">
        <v>70000</v>
      </c>
      <c r="R174" s="41">
        <f>O174-Q174</f>
        <v>0</v>
      </c>
      <c r="S174" s="78"/>
      <c r="T174" s="33" t="s">
        <v>365</v>
      </c>
      <c r="U174" s="57"/>
      <c r="V174" s="57">
        <f>U174+O174</f>
        <v>70000</v>
      </c>
      <c r="W174" s="57">
        <f>V174/0.7</f>
        <v>100000</v>
      </c>
      <c r="X174" s="58">
        <f>W174/0.875</f>
        <v>114285.71428571429</v>
      </c>
      <c r="Y174" s="59">
        <f>(X174-W174)/X174</f>
        <v>0.12500000000000003</v>
      </c>
      <c r="Z174" s="58">
        <f>(ROUNDUP((X174/100),0))*100</f>
        <v>114300</v>
      </c>
      <c r="AA174" s="178" t="s">
        <v>1780</v>
      </c>
      <c r="AB174" s="224">
        <v>43445</v>
      </c>
      <c r="AC174" s="177"/>
      <c r="AD174" s="177"/>
      <c r="AE174" s="179"/>
      <c r="AF174" s="179"/>
      <c r="AG174" s="179"/>
      <c r="AH174" s="179"/>
    </row>
    <row r="175" spans="1:35" ht="14.45" customHeight="1" x14ac:dyDescent="0.2">
      <c r="A175" s="47">
        <v>174</v>
      </c>
      <c r="B175" s="48" t="str">
        <f>REPLACE(E175,1,3, )</f>
        <v xml:space="preserve"> 950</v>
      </c>
      <c r="C175" s="70" t="s">
        <v>405</v>
      </c>
      <c r="D175" s="49">
        <f>IF(E175=C175,0,1)</f>
        <v>0</v>
      </c>
      <c r="E175" s="49" t="s">
        <v>405</v>
      </c>
      <c r="F175" s="30" t="str">
        <f>REPLACE(E175,4,4, )</f>
        <v>SJU</v>
      </c>
      <c r="G175" s="33" t="s">
        <v>91</v>
      </c>
      <c r="H175" s="71" t="s">
        <v>360</v>
      </c>
      <c r="I175" s="33" t="s">
        <v>364</v>
      </c>
      <c r="J175" s="51">
        <v>70000</v>
      </c>
      <c r="K175" s="52">
        <f>J175-M175</f>
        <v>7500</v>
      </c>
      <c r="L175" s="49" t="s">
        <v>94</v>
      </c>
      <c r="M175" s="53">
        <f>J175-N175</f>
        <v>62500</v>
      </c>
      <c r="N175" s="53">
        <f>2000+300+600+1000+3600</f>
        <v>7500</v>
      </c>
      <c r="O175" s="55">
        <f>M175+N175</f>
        <v>70000</v>
      </c>
      <c r="P175" s="47">
        <v>174</v>
      </c>
      <c r="Q175" s="56">
        <v>70000</v>
      </c>
      <c r="R175" s="41">
        <f>O175-Q175</f>
        <v>0</v>
      </c>
      <c r="S175" s="67" t="s">
        <v>406</v>
      </c>
      <c r="T175" s="33" t="s">
        <v>365</v>
      </c>
      <c r="U175" s="57"/>
      <c r="V175" s="57">
        <f>U175+O175</f>
        <v>70000</v>
      </c>
      <c r="W175" s="57">
        <f>V175/0.7</f>
        <v>100000</v>
      </c>
      <c r="X175" s="58">
        <f>W175/0.875</f>
        <v>114285.71428571429</v>
      </c>
      <c r="Y175" s="59">
        <f>(X175-W175)/X175</f>
        <v>0.12500000000000003</v>
      </c>
      <c r="Z175" s="58">
        <f>(ROUNDUP((X175/100),0))*100</f>
        <v>114300</v>
      </c>
      <c r="AA175" s="178"/>
      <c r="AB175" s="178"/>
      <c r="AC175" s="177"/>
      <c r="AD175" s="177"/>
      <c r="AE175" s="179"/>
      <c r="AF175" s="179"/>
      <c r="AG175" s="179"/>
      <c r="AH175" s="179"/>
      <c r="AI175" s="85"/>
    </row>
    <row r="176" spans="1:35" s="91" customFormat="1" ht="14.45" customHeight="1" x14ac:dyDescent="0.2">
      <c r="A176" s="47">
        <v>127</v>
      </c>
      <c r="B176" s="48" t="str">
        <f>REPLACE(E176,1,3, )</f>
        <v xml:space="preserve"> 238</v>
      </c>
      <c r="C176" s="70" t="s">
        <v>318</v>
      </c>
      <c r="D176" s="49">
        <f>IF(E176=C176,0,1)</f>
        <v>0</v>
      </c>
      <c r="E176" s="50" t="s">
        <v>318</v>
      </c>
      <c r="F176" s="30" t="str">
        <f>REPLACE(E176,4,4, )</f>
        <v>SKK</v>
      </c>
      <c r="G176" s="30" t="s">
        <v>34</v>
      </c>
      <c r="H176" s="34" t="s">
        <v>319</v>
      </c>
      <c r="I176" s="30" t="s">
        <v>320</v>
      </c>
      <c r="J176" s="72">
        <v>97500</v>
      </c>
      <c r="K176" s="72">
        <f>J176-M176</f>
        <v>3950</v>
      </c>
      <c r="L176" s="64" t="s">
        <v>106</v>
      </c>
      <c r="M176" s="74">
        <f>J176-N176</f>
        <v>93550</v>
      </c>
      <c r="N176" s="74">
        <f>2000+650+800+200+300</f>
        <v>3950</v>
      </c>
      <c r="O176" s="75">
        <f>N176+M176</f>
        <v>97500</v>
      </c>
      <c r="P176" s="47">
        <v>127</v>
      </c>
      <c r="Q176" s="76">
        <v>97500</v>
      </c>
      <c r="R176" s="41">
        <f>O176-Q176</f>
        <v>0</v>
      </c>
      <c r="S176" s="42" t="s">
        <v>88</v>
      </c>
      <c r="T176" s="47" t="s">
        <v>321</v>
      </c>
      <c r="U176" s="57">
        <v>4000</v>
      </c>
      <c r="V176" s="57">
        <f>U176+O176</f>
        <v>101500</v>
      </c>
      <c r="W176" s="57">
        <f>V176/0.7</f>
        <v>145000</v>
      </c>
      <c r="X176" s="58">
        <f>W176/0.875</f>
        <v>165714.28571428571</v>
      </c>
      <c r="Y176" s="59">
        <f>(X176-W176)/X176</f>
        <v>0.12499999999999997</v>
      </c>
      <c r="Z176" s="58">
        <f>(ROUNDUP((X176/100),0))*100</f>
        <v>165800</v>
      </c>
      <c r="AA176" s="58"/>
      <c r="AB176" s="58"/>
      <c r="AC176" s="180"/>
      <c r="AD176" s="180"/>
      <c r="AE176" s="176"/>
      <c r="AF176" s="176"/>
      <c r="AG176" s="176"/>
      <c r="AH176" s="176"/>
    </row>
    <row r="177" spans="1:35" ht="14.45" customHeight="1" x14ac:dyDescent="0.2">
      <c r="A177" s="47">
        <v>338</v>
      </c>
      <c r="B177" s="48" t="str">
        <f>REPLACE(E177,1,3, )</f>
        <v xml:space="preserve"> 937</v>
      </c>
      <c r="C177" s="70" t="s">
        <v>701</v>
      </c>
      <c r="D177" s="49">
        <f>IF(E177=C177,0,1)</f>
        <v>0</v>
      </c>
      <c r="E177" s="50" t="s">
        <v>701</v>
      </c>
      <c r="F177" s="30" t="str">
        <f>REPLACE(E177,4,4, )</f>
        <v>SKK</v>
      </c>
      <c r="G177" s="30" t="s">
        <v>34</v>
      </c>
      <c r="H177" s="71" t="s">
        <v>335</v>
      </c>
      <c r="I177" s="30" t="s">
        <v>320</v>
      </c>
      <c r="J177" s="72">
        <v>97500</v>
      </c>
      <c r="K177" s="72">
        <f>J177-M177</f>
        <v>6950</v>
      </c>
      <c r="L177" s="64" t="s">
        <v>106</v>
      </c>
      <c r="M177" s="74">
        <f>J177-N177</f>
        <v>90550</v>
      </c>
      <c r="N177" s="74">
        <f>2000+2850+800+200+300+800</f>
        <v>6950</v>
      </c>
      <c r="O177" s="75">
        <f>M177+N177</f>
        <v>97500</v>
      </c>
      <c r="P177" s="47">
        <v>338</v>
      </c>
      <c r="Q177" s="76">
        <v>97500</v>
      </c>
      <c r="R177" s="41">
        <f>O177-Q177</f>
        <v>0</v>
      </c>
      <c r="S177" s="42" t="s">
        <v>88</v>
      </c>
      <c r="T177" s="47" t="s">
        <v>702</v>
      </c>
      <c r="U177" s="57">
        <v>3500</v>
      </c>
      <c r="V177" s="57">
        <f>U177+O177</f>
        <v>101000</v>
      </c>
      <c r="W177" s="57">
        <f>V177/0.7</f>
        <v>144285.71428571429</v>
      </c>
      <c r="X177" s="58">
        <f>W177/0.875</f>
        <v>164897.95918367346</v>
      </c>
      <c r="Y177" s="59">
        <f>(X177-W177)/X177</f>
        <v>0.12499999999999993</v>
      </c>
      <c r="Z177" s="58">
        <f>(ROUNDUP((X177/100),0))*100</f>
        <v>164900</v>
      </c>
      <c r="AA177" s="58"/>
      <c r="AB177" s="58"/>
      <c r="AC177" s="180"/>
      <c r="AD177" s="180"/>
      <c r="AE177" s="176"/>
      <c r="AF177" s="176"/>
      <c r="AG177" s="176"/>
      <c r="AH177" s="176"/>
      <c r="AI177" s="85"/>
    </row>
    <row r="178" spans="1:35" ht="14.45" customHeight="1" x14ac:dyDescent="0.2">
      <c r="A178" s="47">
        <v>85</v>
      </c>
      <c r="B178" s="48" t="str">
        <f>REPLACE(E178,1,3, )</f>
        <v xml:space="preserve"> 573</v>
      </c>
      <c r="C178" s="70" t="s">
        <v>230</v>
      </c>
      <c r="D178" s="49">
        <f>IF(E178=C178,0,1)</f>
        <v>0</v>
      </c>
      <c r="E178" s="225" t="s">
        <v>230</v>
      </c>
      <c r="F178" s="30" t="str">
        <f>REPLACE(E178,4,4, )</f>
        <v>SKL</v>
      </c>
      <c r="G178" s="33" t="s">
        <v>91</v>
      </c>
      <c r="H178" s="71" t="s">
        <v>219</v>
      </c>
      <c r="I178" s="33" t="s">
        <v>220</v>
      </c>
      <c r="J178" s="51">
        <v>206000</v>
      </c>
      <c r="K178" s="52">
        <f>J178-M178</f>
        <v>6000</v>
      </c>
      <c r="L178" s="49" t="s">
        <v>94</v>
      </c>
      <c r="M178" s="53">
        <f>J178-N178</f>
        <v>200000</v>
      </c>
      <c r="N178" s="53">
        <f>2000+200+200+600+3000</f>
        <v>6000</v>
      </c>
      <c r="O178" s="55">
        <f>M178+N178</f>
        <v>206000</v>
      </c>
      <c r="P178" s="47">
        <v>85</v>
      </c>
      <c r="Q178" s="56">
        <v>206000</v>
      </c>
      <c r="R178" s="41">
        <f>O178-Q178</f>
        <v>0</v>
      </c>
      <c r="S178" s="78"/>
      <c r="T178" s="33" t="s">
        <v>225</v>
      </c>
      <c r="U178" s="57"/>
      <c r="V178" s="57">
        <f>U178+O178</f>
        <v>206000</v>
      </c>
      <c r="W178" s="57">
        <f>V178/0.7</f>
        <v>294285.71428571432</v>
      </c>
      <c r="X178" s="58">
        <f>W178/0.875</f>
        <v>336326.53061224491</v>
      </c>
      <c r="Y178" s="59">
        <f>(X178-W178)/X178</f>
        <v>0.12499999999999993</v>
      </c>
      <c r="Z178" s="58">
        <f>(ROUNDUP((X178/100),0))*100</f>
        <v>336400</v>
      </c>
      <c r="AA178" s="178"/>
      <c r="AB178" s="178"/>
      <c r="AC178" s="177"/>
      <c r="AD178" s="177"/>
      <c r="AE178" s="179"/>
      <c r="AF178" s="179"/>
      <c r="AG178" s="179"/>
      <c r="AH178" s="179"/>
      <c r="AI178" s="85"/>
    </row>
    <row r="179" spans="1:35" s="91" customFormat="1" ht="14.45" customHeight="1" x14ac:dyDescent="0.2">
      <c r="A179" s="47">
        <v>86</v>
      </c>
      <c r="B179" s="48" t="str">
        <f>REPLACE(E179,1,3, )</f>
        <v xml:space="preserve"> 666</v>
      </c>
      <c r="C179" s="70" t="s">
        <v>231</v>
      </c>
      <c r="D179" s="49">
        <f>IF(E179=C179,0,1)</f>
        <v>0</v>
      </c>
      <c r="E179" s="225" t="s">
        <v>231</v>
      </c>
      <c r="F179" s="30" t="str">
        <f>REPLACE(E179,4,4, )</f>
        <v>SKL</v>
      </c>
      <c r="G179" s="33" t="s">
        <v>91</v>
      </c>
      <c r="H179" s="71" t="s">
        <v>219</v>
      </c>
      <c r="I179" s="33" t="s">
        <v>220</v>
      </c>
      <c r="J179" s="51">
        <v>214000</v>
      </c>
      <c r="K179" s="52">
        <f>J179-M179</f>
        <v>6000</v>
      </c>
      <c r="L179" s="49" t="s">
        <v>94</v>
      </c>
      <c r="M179" s="53">
        <f>J179-N179</f>
        <v>208000</v>
      </c>
      <c r="N179" s="53">
        <f>2000+200+200+600+3000</f>
        <v>6000</v>
      </c>
      <c r="O179" s="55">
        <f>M179+N179</f>
        <v>214000</v>
      </c>
      <c r="P179" s="47">
        <v>86</v>
      </c>
      <c r="Q179" s="56">
        <v>214000</v>
      </c>
      <c r="R179" s="41">
        <f>O179-Q179</f>
        <v>0</v>
      </c>
      <c r="S179" s="67"/>
      <c r="T179" s="33" t="s">
        <v>225</v>
      </c>
      <c r="U179" s="57"/>
      <c r="V179" s="57">
        <f>U179+O179</f>
        <v>214000</v>
      </c>
      <c r="W179" s="57">
        <f>V179/0.7</f>
        <v>305714.28571428574</v>
      </c>
      <c r="X179" s="58">
        <f>W179/0.875</f>
        <v>349387.75510204083</v>
      </c>
      <c r="Y179" s="59">
        <f>(X179-W179)/X179</f>
        <v>0.12499999999999996</v>
      </c>
      <c r="Z179" s="58">
        <f>(ROUNDUP((X179/100),0))*100</f>
        <v>349400</v>
      </c>
      <c r="AA179" s="178"/>
      <c r="AB179" s="178"/>
      <c r="AC179" s="177"/>
      <c r="AD179" s="177"/>
      <c r="AE179" s="179"/>
      <c r="AF179" s="179"/>
      <c r="AG179" s="179"/>
      <c r="AH179" s="179"/>
    </row>
    <row r="180" spans="1:35" ht="14.45" customHeight="1" x14ac:dyDescent="0.2">
      <c r="A180" s="47">
        <v>79</v>
      </c>
      <c r="B180" s="48" t="str">
        <f>REPLACE(E180,1,3, )</f>
        <v xml:space="preserve"> 832</v>
      </c>
      <c r="C180" s="70" t="s">
        <v>218</v>
      </c>
      <c r="D180" s="49">
        <f>IF(E180=C180,0,1)</f>
        <v>0</v>
      </c>
      <c r="E180" s="49" t="s">
        <v>218</v>
      </c>
      <c r="F180" s="30" t="str">
        <f>REPLACE(E180,4,4, )</f>
        <v>SKL</v>
      </c>
      <c r="G180" s="33" t="s">
        <v>91</v>
      </c>
      <c r="H180" s="71" t="s">
        <v>219</v>
      </c>
      <c r="I180" s="33" t="s">
        <v>220</v>
      </c>
      <c r="J180" s="51">
        <v>165000</v>
      </c>
      <c r="K180" s="52">
        <f>J180-M180</f>
        <v>6000</v>
      </c>
      <c r="L180" s="49" t="s">
        <v>94</v>
      </c>
      <c r="M180" s="53">
        <f>J180-N180</f>
        <v>159000</v>
      </c>
      <c r="N180" s="53">
        <f>2000+200+200+600+3000</f>
        <v>6000</v>
      </c>
      <c r="O180" s="55">
        <f>M180+N180</f>
        <v>165000</v>
      </c>
      <c r="P180" s="47">
        <v>79</v>
      </c>
      <c r="Q180" s="56">
        <v>165000</v>
      </c>
      <c r="R180" s="41">
        <f>O180-Q180</f>
        <v>0</v>
      </c>
      <c r="S180" s="67"/>
      <c r="T180" s="33"/>
      <c r="U180" s="57"/>
      <c r="V180" s="57">
        <f>U180+O180</f>
        <v>165000</v>
      </c>
      <c r="W180" s="57">
        <f>V180/0.7</f>
        <v>235714.28571428574</v>
      </c>
      <c r="X180" s="58">
        <f>W180/0.875</f>
        <v>269387.75510204083</v>
      </c>
      <c r="Y180" s="59">
        <f>(X180-W180)/X180</f>
        <v>0.12499999999999994</v>
      </c>
      <c r="Z180" s="58">
        <f>(ROUNDUP((X180/100),0))*100</f>
        <v>269400</v>
      </c>
      <c r="AA180" s="178"/>
      <c r="AB180" s="178"/>
      <c r="AC180" s="177"/>
      <c r="AD180" s="177"/>
      <c r="AE180" s="179"/>
      <c r="AF180" s="179"/>
      <c r="AG180" s="179"/>
      <c r="AH180" s="179"/>
      <c r="AI180" s="85"/>
    </row>
    <row r="181" spans="1:35" s="91" customFormat="1" ht="14.45" customHeight="1" x14ac:dyDescent="0.2">
      <c r="A181" s="47">
        <v>81</v>
      </c>
      <c r="B181" s="48" t="str">
        <f>REPLACE(E181,1,3, )</f>
        <v xml:space="preserve"> 899</v>
      </c>
      <c r="C181" s="70" t="s">
        <v>224</v>
      </c>
      <c r="D181" s="49">
        <f>IF(E181=C181,0,1)</f>
        <v>0</v>
      </c>
      <c r="E181" s="48" t="s">
        <v>224</v>
      </c>
      <c r="F181" s="30" t="str">
        <f>REPLACE(E181,4,4, )</f>
        <v>SKL</v>
      </c>
      <c r="G181" s="33" t="s">
        <v>34</v>
      </c>
      <c r="H181" s="71" t="s">
        <v>219</v>
      </c>
      <c r="I181" s="33" t="s">
        <v>220</v>
      </c>
      <c r="J181" s="51">
        <v>140000</v>
      </c>
      <c r="K181" s="52">
        <f>J181-M181</f>
        <v>6000</v>
      </c>
      <c r="L181" s="49" t="s">
        <v>94</v>
      </c>
      <c r="M181" s="53">
        <f>J181-N181</f>
        <v>134000</v>
      </c>
      <c r="N181" s="54">
        <f>2000+200+200+600+3000</f>
        <v>6000</v>
      </c>
      <c r="O181" s="55">
        <f>M181+N181</f>
        <v>140000</v>
      </c>
      <c r="P181" s="47">
        <v>81</v>
      </c>
      <c r="Q181" s="56">
        <v>140000</v>
      </c>
      <c r="R181" s="41">
        <f>O181-Q181</f>
        <v>0</v>
      </c>
      <c r="S181" s="67"/>
      <c r="T181" s="33" t="s">
        <v>225</v>
      </c>
      <c r="U181" s="57">
        <v>-3000</v>
      </c>
      <c r="V181" s="57">
        <f>U181+O181</f>
        <v>137000</v>
      </c>
      <c r="W181" s="57">
        <f>V181/0.7</f>
        <v>195714.28571428574</v>
      </c>
      <c r="X181" s="58">
        <f>W181/0.875</f>
        <v>223673.46938775512</v>
      </c>
      <c r="Y181" s="59">
        <f>(X181-W181)/X181</f>
        <v>0.12499999999999994</v>
      </c>
      <c r="Z181" s="58">
        <f>(ROUNDUP((X181/100),0))*100</f>
        <v>223700</v>
      </c>
      <c r="AA181" s="58"/>
      <c r="AB181" s="58"/>
      <c r="AC181" s="180"/>
      <c r="AD181" s="180"/>
      <c r="AE181" s="176"/>
      <c r="AF181" s="176"/>
      <c r="AG181" s="176"/>
      <c r="AH181" s="176"/>
    </row>
    <row r="182" spans="1:35" s="91" customFormat="1" ht="14.45" customHeight="1" x14ac:dyDescent="0.2">
      <c r="A182" s="47">
        <v>83</v>
      </c>
      <c r="B182" s="48" t="str">
        <f>REPLACE(E182,1,3, )</f>
        <v xml:space="preserve"> 902</v>
      </c>
      <c r="C182" s="70" t="s">
        <v>227</v>
      </c>
      <c r="D182" s="49">
        <f>IF(E182=C182,0,1)</f>
        <v>0</v>
      </c>
      <c r="E182" s="225" t="s">
        <v>227</v>
      </c>
      <c r="F182" s="30" t="str">
        <f>REPLACE(E182,4,4, )</f>
        <v>SKL</v>
      </c>
      <c r="G182" s="33" t="s">
        <v>91</v>
      </c>
      <c r="H182" s="71" t="s">
        <v>219</v>
      </c>
      <c r="I182" s="33" t="s">
        <v>220</v>
      </c>
      <c r="J182" s="51">
        <v>244000</v>
      </c>
      <c r="K182" s="52">
        <f>J182-M182</f>
        <v>6000</v>
      </c>
      <c r="L182" s="49" t="s">
        <v>94</v>
      </c>
      <c r="M182" s="53">
        <f>J182-N182</f>
        <v>238000</v>
      </c>
      <c r="N182" s="53">
        <f>2000+200+200+600+3000</f>
        <v>6000</v>
      </c>
      <c r="O182" s="55">
        <f>M182+N182</f>
        <v>244000</v>
      </c>
      <c r="P182" s="47">
        <v>83</v>
      </c>
      <c r="Q182" s="56">
        <v>244000</v>
      </c>
      <c r="R182" s="41">
        <f>O182-Q182</f>
        <v>0</v>
      </c>
      <c r="S182" s="67" t="s">
        <v>228</v>
      </c>
      <c r="T182" s="33" t="s">
        <v>225</v>
      </c>
      <c r="U182" s="57"/>
      <c r="V182" s="57">
        <f>U182+O182</f>
        <v>244000</v>
      </c>
      <c r="W182" s="57">
        <f>V182/0.7</f>
        <v>348571.42857142858</v>
      </c>
      <c r="X182" s="58">
        <f>W182/0.875</f>
        <v>398367.3469387755</v>
      </c>
      <c r="Y182" s="59">
        <f>(X182-W182)/X182</f>
        <v>0.12499999999999996</v>
      </c>
      <c r="Z182" s="58">
        <f>(ROUNDUP((X182/100),0))*100</f>
        <v>398400</v>
      </c>
      <c r="AA182" s="178"/>
      <c r="AB182" s="178"/>
      <c r="AC182" s="177"/>
      <c r="AD182" s="177"/>
      <c r="AE182" s="179"/>
      <c r="AF182" s="179"/>
      <c r="AG182" s="179"/>
      <c r="AH182" s="179"/>
    </row>
    <row r="183" spans="1:35" ht="14.45" customHeight="1" x14ac:dyDescent="0.2">
      <c r="A183" s="47">
        <v>90</v>
      </c>
      <c r="B183" s="48" t="str">
        <f>REPLACE(E183,1,3, )</f>
        <v xml:space="preserve"> 923</v>
      </c>
      <c r="C183" s="70" t="s">
        <v>241</v>
      </c>
      <c r="D183" s="49">
        <f>IF(E183=C183,0,1)</f>
        <v>0</v>
      </c>
      <c r="E183" s="77" t="s">
        <v>241</v>
      </c>
      <c r="F183" s="30" t="str">
        <f>REPLACE(E183,4,4, )</f>
        <v>SKL</v>
      </c>
      <c r="G183" s="33" t="s">
        <v>34</v>
      </c>
      <c r="H183" s="71" t="s">
        <v>236</v>
      </c>
      <c r="I183" s="33" t="s">
        <v>220</v>
      </c>
      <c r="J183" s="51">
        <v>90000</v>
      </c>
      <c r="K183" s="52">
        <f>J183-M183</f>
        <v>3750</v>
      </c>
      <c r="L183" s="49" t="s">
        <v>94</v>
      </c>
      <c r="M183" s="53">
        <f>J183-N183</f>
        <v>86250</v>
      </c>
      <c r="N183" s="54">
        <f>2000+200+200+600+750</f>
        <v>3750</v>
      </c>
      <c r="O183" s="55">
        <f>M183+N183</f>
        <v>90000</v>
      </c>
      <c r="P183" s="47">
        <v>90</v>
      </c>
      <c r="Q183" s="56">
        <v>90000</v>
      </c>
      <c r="R183" s="41">
        <f>O183-Q183</f>
        <v>0</v>
      </c>
      <c r="S183" s="67" t="s">
        <v>242</v>
      </c>
      <c r="T183" s="33" t="s">
        <v>243</v>
      </c>
      <c r="U183" s="57">
        <v>-8000</v>
      </c>
      <c r="V183" s="57">
        <f>U183+O183</f>
        <v>82000</v>
      </c>
      <c r="W183" s="57">
        <f>V183/0.7</f>
        <v>117142.85714285714</v>
      </c>
      <c r="X183" s="58">
        <f>W183/0.875</f>
        <v>133877.55102040817</v>
      </c>
      <c r="Y183" s="59">
        <f>(X183-W183)/X183</f>
        <v>0.125</v>
      </c>
      <c r="Z183" s="58">
        <f>(ROUNDUP((X183/100),0))*100</f>
        <v>133900</v>
      </c>
      <c r="AA183" s="58"/>
      <c r="AB183" s="58"/>
      <c r="AC183" s="180"/>
      <c r="AD183" s="180"/>
      <c r="AE183" s="176"/>
      <c r="AF183" s="176"/>
      <c r="AG183" s="176"/>
      <c r="AH183" s="176"/>
      <c r="AI183" s="85"/>
    </row>
    <row r="184" spans="1:35" s="91" customFormat="1" ht="14.45" customHeight="1" x14ac:dyDescent="0.2">
      <c r="A184" s="47">
        <v>169</v>
      </c>
      <c r="B184" s="48" t="str">
        <f>REPLACE(E184,1,3, )</f>
        <v xml:space="preserve"> 318</v>
      </c>
      <c r="C184" s="70" t="s">
        <v>397</v>
      </c>
      <c r="D184" s="49">
        <f>IF(E184=C184,0,1)</f>
        <v>0</v>
      </c>
      <c r="E184" s="48" t="s">
        <v>397</v>
      </c>
      <c r="F184" s="30" t="str">
        <f>REPLACE(E184,4,4, )</f>
        <v>SKS</v>
      </c>
      <c r="G184" s="33" t="s">
        <v>34</v>
      </c>
      <c r="H184" s="71" t="s">
        <v>360</v>
      </c>
      <c r="I184" s="33" t="s">
        <v>374</v>
      </c>
      <c r="J184" s="51">
        <v>84300</v>
      </c>
      <c r="K184" s="52">
        <f>J184-M184</f>
        <v>7500</v>
      </c>
      <c r="L184" s="49" t="s">
        <v>94</v>
      </c>
      <c r="M184" s="53">
        <f>J184-N184</f>
        <v>76800</v>
      </c>
      <c r="N184" s="54">
        <v>7500</v>
      </c>
      <c r="O184" s="55">
        <f>M184+N184</f>
        <v>84300</v>
      </c>
      <c r="P184" s="47">
        <v>169</v>
      </c>
      <c r="Q184" s="56">
        <v>84300</v>
      </c>
      <c r="R184" s="41">
        <f>O184-Q184</f>
        <v>0</v>
      </c>
      <c r="S184" s="67"/>
      <c r="T184" s="33" t="s">
        <v>398</v>
      </c>
      <c r="U184" s="57">
        <v>2000</v>
      </c>
      <c r="V184" s="57">
        <f>U184+O184</f>
        <v>86300</v>
      </c>
      <c r="W184" s="57">
        <f>V184/0.7</f>
        <v>123285.71428571429</v>
      </c>
      <c r="X184" s="58">
        <f>W184/0.875</f>
        <v>140897.95918367346</v>
      </c>
      <c r="Y184" s="59">
        <f>(X184-W184)/X184</f>
        <v>0.12499999999999992</v>
      </c>
      <c r="Z184" s="58">
        <f>(ROUNDUP((X184/100),0))*100</f>
        <v>140900</v>
      </c>
      <c r="AA184" s="58"/>
      <c r="AB184" s="58"/>
      <c r="AC184" s="180"/>
      <c r="AD184" s="180"/>
      <c r="AE184" s="176"/>
      <c r="AF184" s="176"/>
      <c r="AG184" s="176"/>
      <c r="AH184" s="176"/>
    </row>
    <row r="185" spans="1:35" ht="14.45" customHeight="1" x14ac:dyDescent="0.2">
      <c r="A185" s="47">
        <v>168</v>
      </c>
      <c r="B185" s="48" t="str">
        <f>REPLACE(E185,1,3, )</f>
        <v xml:space="preserve"> 690</v>
      </c>
      <c r="C185" s="70" t="s">
        <v>395</v>
      </c>
      <c r="D185" s="49">
        <f>IF(E185=C185,0,1)</f>
        <v>0</v>
      </c>
      <c r="E185" s="48" t="s">
        <v>395</v>
      </c>
      <c r="F185" s="30" t="str">
        <f>REPLACE(E185,4,4, )</f>
        <v>SKS</v>
      </c>
      <c r="G185" s="33" t="s">
        <v>34</v>
      </c>
      <c r="H185" s="71" t="s">
        <v>360</v>
      </c>
      <c r="I185" s="33" t="s">
        <v>374</v>
      </c>
      <c r="J185" s="51">
        <v>75050</v>
      </c>
      <c r="K185" s="52">
        <f>J185-M185</f>
        <v>7150</v>
      </c>
      <c r="L185" s="49" t="s">
        <v>94</v>
      </c>
      <c r="M185" s="53">
        <f>J185-N185</f>
        <v>67900</v>
      </c>
      <c r="N185" s="54">
        <f>2000+300+600+650+3600</f>
        <v>7150</v>
      </c>
      <c r="O185" s="55">
        <f>M185+N185</f>
        <v>75050</v>
      </c>
      <c r="P185" s="47">
        <v>168</v>
      </c>
      <c r="Q185" s="41">
        <v>73050</v>
      </c>
      <c r="R185" s="41">
        <f>O185-Q185</f>
        <v>2000</v>
      </c>
      <c r="S185" s="42" t="s">
        <v>88</v>
      </c>
      <c r="T185" s="33" t="s">
        <v>396</v>
      </c>
      <c r="U185" s="57">
        <v>1000</v>
      </c>
      <c r="V185" s="57">
        <f>U185+O185</f>
        <v>76050</v>
      </c>
      <c r="W185" s="57">
        <f>V185/0.7</f>
        <v>108642.85714285714</v>
      </c>
      <c r="X185" s="58">
        <f>W185/0.875</f>
        <v>124163.26530612246</v>
      </c>
      <c r="Y185" s="59">
        <f>(X185-W185)/X185</f>
        <v>0.12500000000000003</v>
      </c>
      <c r="Z185" s="58">
        <f>(ROUNDUP((X185/100),0))*100</f>
        <v>124200</v>
      </c>
      <c r="AA185" s="58"/>
      <c r="AB185" s="58"/>
      <c r="AC185" s="180"/>
      <c r="AD185" s="180"/>
      <c r="AE185" s="176"/>
      <c r="AF185" s="176"/>
      <c r="AG185" s="176"/>
      <c r="AH185" s="176"/>
      <c r="AI185" s="85"/>
    </row>
    <row r="186" spans="1:35" ht="14.45" customHeight="1" x14ac:dyDescent="0.2">
      <c r="A186" s="47">
        <v>494</v>
      </c>
      <c r="B186" s="48" t="str">
        <f>REPLACE(E186,1,3, )</f>
        <v xml:space="preserve"> 181</v>
      </c>
      <c r="C186" s="32" t="s">
        <v>981</v>
      </c>
      <c r="D186" s="49">
        <f>IF(E186=C186,0,1)</f>
        <v>0</v>
      </c>
      <c r="E186" s="50" t="s">
        <v>981</v>
      </c>
      <c r="F186" s="30" t="str">
        <f>REPLACE(E186,4,4, )</f>
        <v>SKY</v>
      </c>
      <c r="G186" s="30" t="s">
        <v>34</v>
      </c>
      <c r="H186" s="34" t="s">
        <v>982</v>
      </c>
      <c r="I186" s="30" t="s">
        <v>594</v>
      </c>
      <c r="J186" s="74">
        <v>48000</v>
      </c>
      <c r="K186" s="74">
        <f>J186-M186</f>
        <v>0</v>
      </c>
      <c r="L186" s="86" t="s">
        <v>97</v>
      </c>
      <c r="M186" s="73">
        <f>J186</f>
        <v>48000</v>
      </c>
      <c r="N186" s="74">
        <f>2000+650+800+200+300</f>
        <v>3950</v>
      </c>
      <c r="O186" s="75">
        <f>M186+N186</f>
        <v>51950</v>
      </c>
      <c r="P186" s="47">
        <v>494</v>
      </c>
      <c r="Q186" s="76">
        <v>51950</v>
      </c>
      <c r="R186" s="41">
        <f>O186-Q186</f>
        <v>0</v>
      </c>
      <c r="S186" s="42" t="s">
        <v>88</v>
      </c>
      <c r="T186" s="47" t="s">
        <v>131</v>
      </c>
      <c r="U186" s="57"/>
      <c r="V186" s="57">
        <f>U186+O186</f>
        <v>51950</v>
      </c>
      <c r="W186" s="57">
        <f>V186/0.7</f>
        <v>74214.285714285725</v>
      </c>
      <c r="X186" s="58">
        <f>W186/0.875</f>
        <v>84816.326530612263</v>
      </c>
      <c r="Y186" s="59">
        <f>(X186-W186)/X186</f>
        <v>0.12500000000000006</v>
      </c>
      <c r="Z186" s="58">
        <f>(ROUNDUP((X186/100),0))*100</f>
        <v>84900</v>
      </c>
      <c r="AA186" s="58"/>
      <c r="AB186" s="58"/>
      <c r="AC186" s="180"/>
      <c r="AD186" s="180"/>
      <c r="AE186" s="176"/>
      <c r="AF186" s="176"/>
      <c r="AG186" s="176"/>
      <c r="AH186" s="176"/>
      <c r="AI186" s="85"/>
    </row>
    <row r="187" spans="1:35" s="91" customFormat="1" ht="14.45" customHeight="1" x14ac:dyDescent="0.2">
      <c r="A187" s="47">
        <v>276</v>
      </c>
      <c r="B187" s="48" t="str">
        <f>REPLACE(E187,1,3, )</f>
        <v xml:space="preserve"> 733</v>
      </c>
      <c r="C187" s="70" t="s">
        <v>593</v>
      </c>
      <c r="D187" s="49">
        <f>IF(E187=C187,0,1)</f>
        <v>0</v>
      </c>
      <c r="E187" s="50" t="s">
        <v>593</v>
      </c>
      <c r="F187" s="30" t="str">
        <f>REPLACE(E187,4,4, )</f>
        <v>SKY</v>
      </c>
      <c r="G187" s="30" t="s">
        <v>34</v>
      </c>
      <c r="H187" s="34" t="s">
        <v>580</v>
      </c>
      <c r="I187" s="30" t="s">
        <v>594</v>
      </c>
      <c r="J187" s="72">
        <v>47000</v>
      </c>
      <c r="K187" s="72">
        <f>J187-M187</f>
        <v>0</v>
      </c>
      <c r="L187" s="86" t="s">
        <v>97</v>
      </c>
      <c r="M187" s="73">
        <f>J187</f>
        <v>47000</v>
      </c>
      <c r="N187" s="74">
        <f>2000+650+500+200+300</f>
        <v>3650</v>
      </c>
      <c r="O187" s="75">
        <f>M187+N187</f>
        <v>50650</v>
      </c>
      <c r="P187" s="47">
        <v>276</v>
      </c>
      <c r="Q187" s="76">
        <v>50650</v>
      </c>
      <c r="R187" s="41">
        <f>O187-Q187</f>
        <v>0</v>
      </c>
      <c r="S187" s="42" t="s">
        <v>88</v>
      </c>
      <c r="T187" s="47" t="s">
        <v>583</v>
      </c>
      <c r="U187" s="57">
        <v>4000</v>
      </c>
      <c r="V187" s="57">
        <f>U187+O187</f>
        <v>54650</v>
      </c>
      <c r="W187" s="57">
        <f>V187/0.7</f>
        <v>78071.42857142858</v>
      </c>
      <c r="X187" s="58">
        <f>W187/0.875</f>
        <v>89224.489795918373</v>
      </c>
      <c r="Y187" s="59">
        <f>(X187-W187)/X187</f>
        <v>0.12499999999999996</v>
      </c>
      <c r="Z187" s="58">
        <f>(ROUNDUP((X187/100),0))*100</f>
        <v>89300</v>
      </c>
      <c r="AA187" s="58"/>
      <c r="AB187" s="58"/>
      <c r="AC187" s="180"/>
      <c r="AD187" s="180"/>
      <c r="AE187" s="176"/>
      <c r="AF187" s="176"/>
      <c r="AG187" s="176"/>
      <c r="AH187" s="176"/>
    </row>
    <row r="188" spans="1:35" ht="14.45" customHeight="1" x14ac:dyDescent="0.2">
      <c r="A188" s="47">
        <v>115</v>
      </c>
      <c r="B188" s="48" t="str">
        <f>REPLACE(E188,1,3, )</f>
        <v xml:space="preserve"> 350</v>
      </c>
      <c r="C188" s="70" t="s">
        <v>298</v>
      </c>
      <c r="D188" s="49">
        <f>IF(E188=C188,0,1)</f>
        <v>0</v>
      </c>
      <c r="E188" s="50" t="s">
        <v>298</v>
      </c>
      <c r="F188" s="30" t="str">
        <f>REPLACE(E188,4,4, )</f>
        <v>SLC</v>
      </c>
      <c r="G188" s="30" t="s">
        <v>34</v>
      </c>
      <c r="H188" s="71" t="s">
        <v>265</v>
      </c>
      <c r="I188" s="30" t="s">
        <v>100</v>
      </c>
      <c r="J188" s="51"/>
      <c r="K188" s="52">
        <f>J188-M188</f>
        <v>0</v>
      </c>
      <c r="L188" s="49"/>
      <c r="M188" s="53">
        <f>J188-N188</f>
        <v>0</v>
      </c>
      <c r="N188" s="53"/>
      <c r="O188" s="55">
        <f>M188+N188</f>
        <v>0</v>
      </c>
      <c r="P188" s="47">
        <v>115</v>
      </c>
      <c r="Q188" s="41"/>
      <c r="R188" s="41"/>
      <c r="S188" s="67"/>
      <c r="T188" s="33"/>
      <c r="U188" s="57"/>
      <c r="V188" s="57">
        <f>U188+O188</f>
        <v>0</v>
      </c>
      <c r="W188" s="57">
        <f>V188/0.7</f>
        <v>0</v>
      </c>
      <c r="X188" s="58">
        <f>W188/0.875</f>
        <v>0</v>
      </c>
      <c r="Y188" s="59" t="e">
        <f>(X188-W188)/X188</f>
        <v>#DIV/0!</v>
      </c>
      <c r="Z188" s="58">
        <f>(ROUNDUP((X188/100),0))*100</f>
        <v>0</v>
      </c>
      <c r="AA188" s="58"/>
      <c r="AB188" s="58"/>
      <c r="AC188" s="180"/>
      <c r="AD188" s="180"/>
      <c r="AE188" s="176"/>
      <c r="AF188" s="176"/>
      <c r="AG188" s="176"/>
      <c r="AH188" s="176"/>
      <c r="AI188" s="85"/>
    </row>
    <row r="189" spans="1:35" ht="14.45" customHeight="1" x14ac:dyDescent="0.2">
      <c r="A189" s="47">
        <v>61</v>
      </c>
      <c r="B189" s="48" t="str">
        <f>REPLACE(E189,1,3, )</f>
        <v xml:space="preserve"> 114</v>
      </c>
      <c r="C189" s="70" t="s">
        <v>192</v>
      </c>
      <c r="D189" s="49">
        <f>IF(E189=C189,0,1)</f>
        <v>0</v>
      </c>
      <c r="E189" s="47" t="s">
        <v>192</v>
      </c>
      <c r="F189" s="30" t="str">
        <f>REPLACE(E189,4,4, )</f>
        <v>SLH</v>
      </c>
      <c r="G189" s="30" t="s">
        <v>91</v>
      </c>
      <c r="H189" s="34" t="s">
        <v>178</v>
      </c>
      <c r="I189" s="30" t="s">
        <v>179</v>
      </c>
      <c r="J189" s="51">
        <v>150000</v>
      </c>
      <c r="K189" s="52">
        <f>J189-M189</f>
        <v>6250</v>
      </c>
      <c r="L189" s="49" t="s">
        <v>94</v>
      </c>
      <c r="M189" s="53">
        <f>J189-N189</f>
        <v>143750</v>
      </c>
      <c r="N189" s="53">
        <f>2000+3100+200+350+600</f>
        <v>6250</v>
      </c>
      <c r="O189" s="55">
        <f>M189+N189</f>
        <v>150000</v>
      </c>
      <c r="P189" s="47">
        <v>61</v>
      </c>
      <c r="Q189" s="56">
        <v>150000</v>
      </c>
      <c r="R189" s="41">
        <f>O189-Q189</f>
        <v>0</v>
      </c>
      <c r="S189" s="67" t="s">
        <v>180</v>
      </c>
      <c r="T189" s="33" t="s">
        <v>193</v>
      </c>
      <c r="U189" s="57"/>
      <c r="V189" s="57">
        <f>U189+O189</f>
        <v>150000</v>
      </c>
      <c r="W189" s="57">
        <f>V189/0.7</f>
        <v>214285.71428571429</v>
      </c>
      <c r="X189" s="58">
        <f>W189/0.875</f>
        <v>244897.95918367346</v>
      </c>
      <c r="Y189" s="59">
        <f>(X189-W189)/X189</f>
        <v>0.12499999999999996</v>
      </c>
      <c r="Z189" s="58">
        <f>(ROUNDUP((X189/100),0))*100</f>
        <v>244900</v>
      </c>
      <c r="AA189" s="178" t="s">
        <v>1780</v>
      </c>
      <c r="AB189" s="224">
        <v>43445</v>
      </c>
      <c r="AC189" s="177"/>
      <c r="AD189" s="177"/>
      <c r="AE189" s="179"/>
      <c r="AF189" s="179"/>
      <c r="AG189" s="179"/>
      <c r="AH189" s="179"/>
      <c r="AI189" s="85"/>
    </row>
    <row r="190" spans="1:35" s="91" customFormat="1" ht="14.45" customHeight="1" x14ac:dyDescent="0.2">
      <c r="A190" s="47">
        <v>55</v>
      </c>
      <c r="B190" s="48" t="str">
        <f>REPLACE(E190,1,3, )</f>
        <v xml:space="preserve"> 240</v>
      </c>
      <c r="C190" s="70" t="s">
        <v>177</v>
      </c>
      <c r="D190" s="49">
        <f>IF(E190=C190,0,1)</f>
        <v>0</v>
      </c>
      <c r="E190" s="47" t="s">
        <v>177</v>
      </c>
      <c r="F190" s="30" t="str">
        <f>REPLACE(E190,4,4, )</f>
        <v>SLH</v>
      </c>
      <c r="G190" s="30" t="s">
        <v>91</v>
      </c>
      <c r="H190" s="34" t="s">
        <v>178</v>
      </c>
      <c r="I190" s="30" t="s">
        <v>179</v>
      </c>
      <c r="J190" s="51">
        <v>110000</v>
      </c>
      <c r="K190" s="52">
        <f>J190-M190</f>
        <v>6250</v>
      </c>
      <c r="L190" s="49" t="s">
        <v>94</v>
      </c>
      <c r="M190" s="53">
        <f>J190-N190</f>
        <v>103750</v>
      </c>
      <c r="N190" s="53">
        <f>2000+3100+200+350+600</f>
        <v>6250</v>
      </c>
      <c r="O190" s="55">
        <f>M190+N190</f>
        <v>110000</v>
      </c>
      <c r="P190" s="47">
        <v>55</v>
      </c>
      <c r="Q190" s="56">
        <v>110000</v>
      </c>
      <c r="R190" s="41">
        <f>O190-Q190</f>
        <v>0</v>
      </c>
      <c r="S190" s="67" t="s">
        <v>180</v>
      </c>
      <c r="T190" s="33" t="s">
        <v>181</v>
      </c>
      <c r="U190" s="57"/>
      <c r="V190" s="57">
        <f>U190+O190</f>
        <v>110000</v>
      </c>
      <c r="W190" s="57">
        <f>V190/0.7</f>
        <v>157142.85714285716</v>
      </c>
      <c r="X190" s="58">
        <f>W190/0.875</f>
        <v>179591.8367346939</v>
      </c>
      <c r="Y190" s="59">
        <f>(X190-W190)/X190</f>
        <v>0.12500000000000003</v>
      </c>
      <c r="Z190" s="58">
        <f>(ROUNDUP((X190/100),0))*100</f>
        <v>179600</v>
      </c>
      <c r="AA190" s="178"/>
      <c r="AB190" s="178"/>
      <c r="AC190" s="177"/>
      <c r="AD190" s="177"/>
      <c r="AE190" s="179"/>
      <c r="AF190" s="179"/>
      <c r="AG190" s="179"/>
      <c r="AH190" s="179"/>
    </row>
    <row r="191" spans="1:35" ht="14.45" customHeight="1" x14ac:dyDescent="0.2">
      <c r="A191" s="47">
        <v>67</v>
      </c>
      <c r="B191" s="48" t="str">
        <f>REPLACE(E191,1,3, )</f>
        <v xml:space="preserve"> 461</v>
      </c>
      <c r="C191" s="70" t="s">
        <v>201</v>
      </c>
      <c r="D191" s="49">
        <f>IF(E191=C191,0,1)</f>
        <v>0</v>
      </c>
      <c r="E191" s="47" t="s">
        <v>201</v>
      </c>
      <c r="F191" s="30" t="str">
        <f>REPLACE(E191,4,4, )</f>
        <v>SLH</v>
      </c>
      <c r="G191" s="30" t="s">
        <v>91</v>
      </c>
      <c r="H191" s="34" t="s">
        <v>178</v>
      </c>
      <c r="I191" s="30" t="s">
        <v>179</v>
      </c>
      <c r="J191" s="51">
        <v>150000</v>
      </c>
      <c r="K191" s="52">
        <f>J191-M191</f>
        <v>6250</v>
      </c>
      <c r="L191" s="49" t="s">
        <v>94</v>
      </c>
      <c r="M191" s="53">
        <f>J191-N191</f>
        <v>143750</v>
      </c>
      <c r="N191" s="53">
        <f>2000+3100+200+350+600</f>
        <v>6250</v>
      </c>
      <c r="O191" s="55">
        <f>M191+N191</f>
        <v>150000</v>
      </c>
      <c r="P191" s="47">
        <v>67</v>
      </c>
      <c r="Q191" s="56">
        <v>150000</v>
      </c>
      <c r="R191" s="41">
        <f>O191-Q191</f>
        <v>0</v>
      </c>
      <c r="S191" s="67"/>
      <c r="T191" s="33" t="s">
        <v>193</v>
      </c>
      <c r="U191" s="57"/>
      <c r="V191" s="57">
        <f>U191+O191</f>
        <v>150000</v>
      </c>
      <c r="W191" s="57">
        <f>V191/0.7</f>
        <v>214285.71428571429</v>
      </c>
      <c r="X191" s="58">
        <f>W191/0.875</f>
        <v>244897.95918367346</v>
      </c>
      <c r="Y191" s="59">
        <f>(X191-W191)/X191</f>
        <v>0.12499999999999996</v>
      </c>
      <c r="Z191" s="58">
        <f>(ROUNDUP((X191/100),0))*100</f>
        <v>244900</v>
      </c>
      <c r="AA191" s="178" t="s">
        <v>1780</v>
      </c>
      <c r="AB191" s="224">
        <v>43445</v>
      </c>
      <c r="AC191" s="177"/>
      <c r="AD191" s="177"/>
      <c r="AE191" s="179"/>
      <c r="AF191" s="179"/>
      <c r="AG191" s="179"/>
      <c r="AH191" s="179"/>
      <c r="AI191" s="85"/>
    </row>
    <row r="192" spans="1:35" ht="14.45" customHeight="1" x14ac:dyDescent="0.2">
      <c r="A192" s="47">
        <v>69</v>
      </c>
      <c r="B192" s="48" t="str">
        <f>REPLACE(E192,1,3, )</f>
        <v xml:space="preserve"> 490</v>
      </c>
      <c r="C192" s="70" t="s">
        <v>203</v>
      </c>
      <c r="D192" s="49">
        <f>IF(E192=C192,0,1)</f>
        <v>0</v>
      </c>
      <c r="E192" s="47" t="s">
        <v>203</v>
      </c>
      <c r="F192" s="30" t="str">
        <f>REPLACE(E192,4,4, )</f>
        <v>SLH</v>
      </c>
      <c r="G192" s="30" t="s">
        <v>91</v>
      </c>
      <c r="H192" s="34" t="s">
        <v>178</v>
      </c>
      <c r="I192" s="30" t="s">
        <v>179</v>
      </c>
      <c r="J192" s="51">
        <v>150000</v>
      </c>
      <c r="K192" s="52">
        <f>J192-M192</f>
        <v>6250</v>
      </c>
      <c r="L192" s="49" t="s">
        <v>94</v>
      </c>
      <c r="M192" s="53">
        <f>J192-N192</f>
        <v>143750</v>
      </c>
      <c r="N192" s="53">
        <f>2000+3100+200+350+600</f>
        <v>6250</v>
      </c>
      <c r="O192" s="55">
        <f>M192+N192</f>
        <v>150000</v>
      </c>
      <c r="P192" s="47">
        <v>69</v>
      </c>
      <c r="Q192" s="56">
        <v>150000</v>
      </c>
      <c r="R192" s="41">
        <f>O192-Q192</f>
        <v>0</v>
      </c>
      <c r="S192" s="67"/>
      <c r="T192" s="33" t="s">
        <v>193</v>
      </c>
      <c r="U192" s="57"/>
      <c r="V192" s="57">
        <f>U192+O192</f>
        <v>150000</v>
      </c>
      <c r="W192" s="57">
        <f>V192/0.7</f>
        <v>214285.71428571429</v>
      </c>
      <c r="X192" s="58">
        <f>W192/0.875</f>
        <v>244897.95918367346</v>
      </c>
      <c r="Y192" s="59">
        <f>(X192-W192)/X192</f>
        <v>0.12499999999999996</v>
      </c>
      <c r="Z192" s="58">
        <f>(ROUNDUP((X192/100),0))*100</f>
        <v>244900</v>
      </c>
      <c r="AA192" s="178" t="s">
        <v>1780</v>
      </c>
      <c r="AB192" s="224">
        <v>43445</v>
      </c>
      <c r="AC192" s="177"/>
      <c r="AD192" s="177"/>
      <c r="AE192" s="179"/>
      <c r="AF192" s="179"/>
      <c r="AG192" s="179"/>
      <c r="AH192" s="179"/>
      <c r="AI192" s="85"/>
    </row>
    <row r="193" spans="1:35" ht="14.45" customHeight="1" x14ac:dyDescent="0.2">
      <c r="A193" s="47">
        <v>65</v>
      </c>
      <c r="B193" s="48" t="str">
        <f>REPLACE(E193,1,3, )</f>
        <v xml:space="preserve"> 497</v>
      </c>
      <c r="C193" s="70" t="s">
        <v>199</v>
      </c>
      <c r="D193" s="49">
        <f>IF(E193=C193,0,1)</f>
        <v>0</v>
      </c>
      <c r="E193" s="47" t="s">
        <v>199</v>
      </c>
      <c r="F193" s="30" t="str">
        <f>REPLACE(E193,4,4, )</f>
        <v>SLH</v>
      </c>
      <c r="G193" s="30" t="s">
        <v>91</v>
      </c>
      <c r="H193" s="34" t="s">
        <v>178</v>
      </c>
      <c r="I193" s="30" t="s">
        <v>179</v>
      </c>
      <c r="J193" s="51">
        <v>150000</v>
      </c>
      <c r="K193" s="52">
        <f>J193-M193</f>
        <v>6250</v>
      </c>
      <c r="L193" s="49" t="s">
        <v>94</v>
      </c>
      <c r="M193" s="53">
        <f>J193-N193</f>
        <v>143750</v>
      </c>
      <c r="N193" s="53">
        <f>2000+3100+200+350+600</f>
        <v>6250</v>
      </c>
      <c r="O193" s="55">
        <f>M193+N193</f>
        <v>150000</v>
      </c>
      <c r="P193" s="47">
        <v>65</v>
      </c>
      <c r="Q193" s="56">
        <v>150000</v>
      </c>
      <c r="R193" s="41">
        <f>O193-Q193</f>
        <v>0</v>
      </c>
      <c r="S193" s="67"/>
      <c r="T193" s="33" t="s">
        <v>193</v>
      </c>
      <c r="U193" s="57"/>
      <c r="V193" s="57">
        <f>U193+O193</f>
        <v>150000</v>
      </c>
      <c r="W193" s="57">
        <f>V193/0.7</f>
        <v>214285.71428571429</v>
      </c>
      <c r="X193" s="58">
        <f>W193/0.875</f>
        <v>244897.95918367346</v>
      </c>
      <c r="Y193" s="59">
        <f>(X193-W193)/X193</f>
        <v>0.12499999999999996</v>
      </c>
      <c r="Z193" s="58">
        <f>(ROUNDUP((X193/100),0))*100</f>
        <v>244900</v>
      </c>
      <c r="AA193" s="178" t="s">
        <v>1790</v>
      </c>
      <c r="AB193" s="224">
        <v>43445</v>
      </c>
      <c r="AC193" s="177"/>
      <c r="AD193" s="177"/>
      <c r="AE193" s="179"/>
      <c r="AF193" s="179"/>
      <c r="AG193" s="179"/>
      <c r="AH193" s="179"/>
      <c r="AI193" s="85"/>
    </row>
    <row r="194" spans="1:35" ht="14.45" customHeight="1" x14ac:dyDescent="0.2">
      <c r="A194" s="47">
        <v>387</v>
      </c>
      <c r="B194" s="48" t="str">
        <f>REPLACE(E194,1,3, )</f>
        <v xml:space="preserve"> 331</v>
      </c>
      <c r="C194" s="70" t="s">
        <v>791</v>
      </c>
      <c r="D194" s="49">
        <f>IF(E194=C194,0,1)</f>
        <v>0</v>
      </c>
      <c r="E194" s="49" t="s">
        <v>791</v>
      </c>
      <c r="F194" s="30" t="str">
        <f>REPLACE(E194,4,4, )</f>
        <v>SLI</v>
      </c>
      <c r="G194" s="33" t="s">
        <v>91</v>
      </c>
      <c r="H194" s="34" t="s">
        <v>767</v>
      </c>
      <c r="I194" s="33" t="s">
        <v>538</v>
      </c>
      <c r="J194" s="51">
        <f>M194</f>
        <v>71500</v>
      </c>
      <c r="K194" s="52">
        <f>J194-M194</f>
        <v>0</v>
      </c>
      <c r="L194" s="60" t="s">
        <v>97</v>
      </c>
      <c r="M194" s="62">
        <f>69000+2500</f>
        <v>71500</v>
      </c>
      <c r="N194" s="53">
        <f>2000+200+600+250+1000+3600+450</f>
        <v>8100</v>
      </c>
      <c r="O194" s="55">
        <f>M194+N194</f>
        <v>79600</v>
      </c>
      <c r="P194" s="47">
        <v>387</v>
      </c>
      <c r="Q194" s="56">
        <v>79600</v>
      </c>
      <c r="R194" s="41">
        <f>O194-Q194</f>
        <v>0</v>
      </c>
      <c r="S194" s="67"/>
      <c r="T194" s="33" t="s">
        <v>778</v>
      </c>
      <c r="U194" s="57">
        <v>2500</v>
      </c>
      <c r="V194" s="57">
        <f>U194+O194</f>
        <v>82100</v>
      </c>
      <c r="W194" s="57">
        <f>V194/0.7</f>
        <v>117285.71428571429</v>
      </c>
      <c r="X194" s="58">
        <f>W194/0.875</f>
        <v>134040.81632653062</v>
      </c>
      <c r="Y194" s="59">
        <f>(X194-W194)/X194</f>
        <v>0.12500000000000003</v>
      </c>
      <c r="Z194" s="58">
        <f>(ROUNDUP((X194/100),0))*100</f>
        <v>134100</v>
      </c>
      <c r="AA194" s="178"/>
      <c r="AB194" s="178"/>
      <c r="AC194" s="177"/>
      <c r="AD194" s="177"/>
      <c r="AE194" s="179"/>
      <c r="AF194" s="179"/>
      <c r="AG194" s="179"/>
      <c r="AH194" s="179"/>
      <c r="AI194" s="85"/>
    </row>
    <row r="195" spans="1:35" ht="14.45" customHeight="1" x14ac:dyDescent="0.2">
      <c r="A195" s="47">
        <v>381</v>
      </c>
      <c r="B195" s="48" t="str">
        <f>REPLACE(E195,1,3, )</f>
        <v xml:space="preserve"> 430</v>
      </c>
      <c r="C195" s="70" t="s">
        <v>783</v>
      </c>
      <c r="D195" s="49">
        <f>IF(E195=C195,0,1)</f>
        <v>0</v>
      </c>
      <c r="E195" s="47" t="s">
        <v>783</v>
      </c>
      <c r="F195" s="30" t="str">
        <f>REPLACE(E195,4,4, )</f>
        <v>SLI</v>
      </c>
      <c r="G195" s="30" t="s">
        <v>91</v>
      </c>
      <c r="H195" s="34" t="s">
        <v>767</v>
      </c>
      <c r="I195" s="30" t="s">
        <v>538</v>
      </c>
      <c r="J195" s="51">
        <f>M195</f>
        <v>77500</v>
      </c>
      <c r="K195" s="52">
        <f>J195-M195</f>
        <v>0</v>
      </c>
      <c r="L195" s="60" t="s">
        <v>97</v>
      </c>
      <c r="M195" s="62">
        <f>75000+2500</f>
        <v>77500</v>
      </c>
      <c r="N195" s="53">
        <f>2000+200+600+250+1000+3600+450</f>
        <v>8100</v>
      </c>
      <c r="O195" s="55">
        <f>M195+N195</f>
        <v>85600</v>
      </c>
      <c r="P195" s="47">
        <v>381</v>
      </c>
      <c r="Q195" s="56">
        <v>85600</v>
      </c>
      <c r="R195" s="41">
        <f>O195-Q195</f>
        <v>0</v>
      </c>
      <c r="S195" s="67"/>
      <c r="T195" s="33" t="s">
        <v>778</v>
      </c>
      <c r="U195" s="57">
        <v>2500</v>
      </c>
      <c r="V195" s="57">
        <f>U195+O195</f>
        <v>88100</v>
      </c>
      <c r="W195" s="57">
        <f>V195/0.7</f>
        <v>125857.14285714287</v>
      </c>
      <c r="X195" s="58">
        <f>W195/0.875</f>
        <v>143836.73469387757</v>
      </c>
      <c r="Y195" s="59">
        <f>(X195-W195)/X195</f>
        <v>0.12500000000000006</v>
      </c>
      <c r="Z195" s="58">
        <f>(ROUNDUP((X195/100),0))*100</f>
        <v>143900</v>
      </c>
      <c r="AA195" s="178"/>
      <c r="AB195" s="178"/>
      <c r="AC195" s="177"/>
      <c r="AD195" s="177"/>
      <c r="AE195" s="179"/>
      <c r="AF195" s="179"/>
      <c r="AG195" s="179"/>
      <c r="AH195" s="179"/>
      <c r="AI195" s="85"/>
    </row>
    <row r="196" spans="1:35" ht="14.45" customHeight="1" x14ac:dyDescent="0.2">
      <c r="A196" s="47">
        <v>414</v>
      </c>
      <c r="B196" s="48" t="str">
        <f>REPLACE(E196,1,3, )</f>
        <v xml:space="preserve"> 479</v>
      </c>
      <c r="C196" s="70" t="s">
        <v>836</v>
      </c>
      <c r="D196" s="49">
        <f>IF(E196=C196,0,1)</f>
        <v>0</v>
      </c>
      <c r="E196" s="49" t="s">
        <v>836</v>
      </c>
      <c r="F196" s="30" t="str">
        <f>REPLACE(E196,4,4, )</f>
        <v>SLI</v>
      </c>
      <c r="G196" s="33" t="s">
        <v>91</v>
      </c>
      <c r="H196" s="34" t="s">
        <v>767</v>
      </c>
      <c r="I196" s="33" t="s">
        <v>538</v>
      </c>
      <c r="J196" s="51">
        <f>M196</f>
        <v>71500</v>
      </c>
      <c r="K196" s="52">
        <f>J196-M196</f>
        <v>0</v>
      </c>
      <c r="L196" s="60" t="s">
        <v>97</v>
      </c>
      <c r="M196" s="62">
        <f>69000+2500</f>
        <v>71500</v>
      </c>
      <c r="N196" s="53">
        <f>2000+200+600+250+1000+3600+450</f>
        <v>8100</v>
      </c>
      <c r="O196" s="55">
        <f>M196+N196</f>
        <v>79600</v>
      </c>
      <c r="P196" s="47">
        <v>414</v>
      </c>
      <c r="Q196" s="56">
        <v>79600</v>
      </c>
      <c r="R196" s="41">
        <f>O196-Q196</f>
        <v>0</v>
      </c>
      <c r="S196" s="67"/>
      <c r="T196" s="33" t="s">
        <v>778</v>
      </c>
      <c r="U196" s="57">
        <v>2500</v>
      </c>
      <c r="V196" s="57">
        <f>U196+O196</f>
        <v>82100</v>
      </c>
      <c r="W196" s="57">
        <f>V196/0.7</f>
        <v>117285.71428571429</v>
      </c>
      <c r="X196" s="58">
        <f>W196/0.875</f>
        <v>134040.81632653062</v>
      </c>
      <c r="Y196" s="59">
        <f>(X196-W196)/X196</f>
        <v>0.12500000000000003</v>
      </c>
      <c r="Z196" s="58">
        <f>(ROUNDUP((X196/100),0))*100</f>
        <v>134100</v>
      </c>
      <c r="AA196" s="178"/>
      <c r="AB196" s="178"/>
      <c r="AC196" s="177"/>
      <c r="AD196" s="177"/>
      <c r="AE196" s="179"/>
      <c r="AF196" s="179"/>
      <c r="AG196" s="179"/>
      <c r="AH196" s="179"/>
      <c r="AI196" s="85"/>
    </row>
    <row r="197" spans="1:35" s="91" customFormat="1" ht="14.45" customHeight="1" x14ac:dyDescent="0.2">
      <c r="A197" s="47">
        <v>378</v>
      </c>
      <c r="B197" s="48" t="str">
        <f>REPLACE(E197,1,3, )</f>
        <v xml:space="preserve"> 543</v>
      </c>
      <c r="C197" s="70" t="s">
        <v>777</v>
      </c>
      <c r="D197" s="49">
        <f>IF(E197=C197,0,1)</f>
        <v>0</v>
      </c>
      <c r="E197" s="49" t="s">
        <v>777</v>
      </c>
      <c r="F197" s="30" t="str">
        <f>REPLACE(E197,4,4, )</f>
        <v>SLI</v>
      </c>
      <c r="G197" s="33" t="s">
        <v>91</v>
      </c>
      <c r="H197" s="34" t="s">
        <v>767</v>
      </c>
      <c r="I197" s="33" t="s">
        <v>538</v>
      </c>
      <c r="J197" s="51">
        <f>M197</f>
        <v>77500</v>
      </c>
      <c r="K197" s="52">
        <f>J197-M197</f>
        <v>0</v>
      </c>
      <c r="L197" s="60" t="s">
        <v>97</v>
      </c>
      <c r="M197" s="62">
        <f>75000+2500</f>
        <v>77500</v>
      </c>
      <c r="N197" s="53">
        <f>2000+200+600+250+1000+3600+450</f>
        <v>8100</v>
      </c>
      <c r="O197" s="55">
        <f>M197+N197</f>
        <v>85600</v>
      </c>
      <c r="P197" s="47">
        <v>378</v>
      </c>
      <c r="Q197" s="56">
        <v>85600</v>
      </c>
      <c r="R197" s="41">
        <f>O197-Q197</f>
        <v>0</v>
      </c>
      <c r="S197" s="67"/>
      <c r="T197" s="33" t="s">
        <v>778</v>
      </c>
      <c r="U197" s="57">
        <v>2500</v>
      </c>
      <c r="V197" s="57">
        <f>U197+O197</f>
        <v>88100</v>
      </c>
      <c r="W197" s="57">
        <f>V197/0.7</f>
        <v>125857.14285714287</v>
      </c>
      <c r="X197" s="58">
        <f>W197/0.875</f>
        <v>143836.73469387757</v>
      </c>
      <c r="Y197" s="59">
        <f>(X197-W197)/X197</f>
        <v>0.12500000000000006</v>
      </c>
      <c r="Z197" s="58">
        <f>(ROUNDUP((X197/100),0))*100</f>
        <v>143900</v>
      </c>
      <c r="AA197" s="178"/>
      <c r="AB197" s="178"/>
      <c r="AC197" s="177"/>
      <c r="AD197" s="177"/>
      <c r="AE197" s="179"/>
      <c r="AF197" s="179"/>
      <c r="AG197" s="179"/>
      <c r="AH197" s="179"/>
    </row>
    <row r="198" spans="1:35" s="91" customFormat="1" ht="14.45" customHeight="1" x14ac:dyDescent="0.2">
      <c r="A198" s="47">
        <v>380</v>
      </c>
      <c r="B198" s="48" t="str">
        <f>REPLACE(E198,1,3, )</f>
        <v xml:space="preserve"> 583</v>
      </c>
      <c r="C198" s="70" t="s">
        <v>782</v>
      </c>
      <c r="D198" s="49">
        <f>IF(E198=C198,0,1)</f>
        <v>0</v>
      </c>
      <c r="E198" s="49" t="s">
        <v>782</v>
      </c>
      <c r="F198" s="30" t="str">
        <f>REPLACE(E198,4,4, )</f>
        <v>SLI</v>
      </c>
      <c r="G198" s="33" t="s">
        <v>91</v>
      </c>
      <c r="H198" s="34" t="s">
        <v>767</v>
      </c>
      <c r="I198" s="33" t="s">
        <v>538</v>
      </c>
      <c r="J198" s="51">
        <f>M198</f>
        <v>77500</v>
      </c>
      <c r="K198" s="52">
        <f>J198-M198</f>
        <v>0</v>
      </c>
      <c r="L198" s="60" t="s">
        <v>97</v>
      </c>
      <c r="M198" s="62">
        <f>75000+2500</f>
        <v>77500</v>
      </c>
      <c r="N198" s="53">
        <f>2000+200+600+250+1000+3600+450</f>
        <v>8100</v>
      </c>
      <c r="O198" s="55">
        <f>M198+N198</f>
        <v>85600</v>
      </c>
      <c r="P198" s="47">
        <v>380</v>
      </c>
      <c r="Q198" s="56">
        <v>85600</v>
      </c>
      <c r="R198" s="41">
        <f>O198-Q198</f>
        <v>0</v>
      </c>
      <c r="S198" s="67"/>
      <c r="T198" s="33" t="s">
        <v>778</v>
      </c>
      <c r="U198" s="57">
        <v>2500</v>
      </c>
      <c r="V198" s="57">
        <f>U198+O198</f>
        <v>88100</v>
      </c>
      <c r="W198" s="57">
        <f>V198/0.7</f>
        <v>125857.14285714287</v>
      </c>
      <c r="X198" s="58">
        <f>W198/0.875</f>
        <v>143836.73469387757</v>
      </c>
      <c r="Y198" s="59">
        <f>(X198-W198)/X198</f>
        <v>0.12500000000000006</v>
      </c>
      <c r="Z198" s="58">
        <f>(ROUNDUP((X198/100),0))*100</f>
        <v>143900</v>
      </c>
      <c r="AA198" s="178"/>
      <c r="AB198" s="178"/>
      <c r="AC198" s="177"/>
      <c r="AD198" s="177"/>
      <c r="AE198" s="179"/>
      <c r="AF198" s="179"/>
      <c r="AG198" s="179"/>
      <c r="AH198" s="179"/>
    </row>
    <row r="199" spans="1:35" s="91" customFormat="1" ht="14.45" customHeight="1" x14ac:dyDescent="0.2">
      <c r="A199" s="47">
        <v>415</v>
      </c>
      <c r="B199" s="48" t="str">
        <f>REPLACE(E199,1,3, )</f>
        <v xml:space="preserve"> 618</v>
      </c>
      <c r="C199" s="70" t="s">
        <v>837</v>
      </c>
      <c r="D199" s="49">
        <f>IF(E199=C199,0,1)</f>
        <v>0</v>
      </c>
      <c r="E199" s="49" t="s">
        <v>837</v>
      </c>
      <c r="F199" s="30" t="str">
        <f>REPLACE(E199,4,4, )</f>
        <v>SLI</v>
      </c>
      <c r="G199" s="33" t="s">
        <v>91</v>
      </c>
      <c r="H199" s="34" t="s">
        <v>767</v>
      </c>
      <c r="I199" s="33" t="s">
        <v>538</v>
      </c>
      <c r="J199" s="51">
        <f>M199</f>
        <v>93500</v>
      </c>
      <c r="K199" s="52">
        <f>J199-M199</f>
        <v>0</v>
      </c>
      <c r="L199" s="60" t="s">
        <v>97</v>
      </c>
      <c r="M199" s="62">
        <f>91000+2500</f>
        <v>93500</v>
      </c>
      <c r="N199" s="53">
        <f>2000+200+600+250+1000+3600+450</f>
        <v>8100</v>
      </c>
      <c r="O199" s="55">
        <f>M199+N199</f>
        <v>101600</v>
      </c>
      <c r="P199" s="47">
        <v>415</v>
      </c>
      <c r="Q199" s="56">
        <v>101600</v>
      </c>
      <c r="R199" s="41">
        <f>O199-Q199</f>
        <v>0</v>
      </c>
      <c r="S199" s="67"/>
      <c r="T199" s="33" t="s">
        <v>778</v>
      </c>
      <c r="U199" s="57">
        <v>2500</v>
      </c>
      <c r="V199" s="57">
        <f>U199+O199</f>
        <v>104100</v>
      </c>
      <c r="W199" s="57">
        <f>V199/0.7</f>
        <v>148714.28571428571</v>
      </c>
      <c r="X199" s="58">
        <f>W199/0.875</f>
        <v>169959.18367346938</v>
      </c>
      <c r="Y199" s="59">
        <f>(X199-W199)/X199</f>
        <v>0.12499999999999997</v>
      </c>
      <c r="Z199" s="58">
        <f>(ROUNDUP((X199/100),0))*100</f>
        <v>170000</v>
      </c>
      <c r="AA199" s="178" t="s">
        <v>1780</v>
      </c>
      <c r="AB199" s="224">
        <v>43428</v>
      </c>
      <c r="AC199" s="177"/>
      <c r="AD199" s="177"/>
      <c r="AE199" s="179"/>
      <c r="AF199" s="179"/>
      <c r="AG199" s="179"/>
      <c r="AH199" s="179"/>
    </row>
    <row r="200" spans="1:35" ht="14.45" customHeight="1" x14ac:dyDescent="0.2">
      <c r="A200" s="47">
        <v>410</v>
      </c>
      <c r="B200" s="48" t="str">
        <f>REPLACE(E200,1,3, )</f>
        <v xml:space="preserve"> 774</v>
      </c>
      <c r="C200" s="70" t="s">
        <v>832</v>
      </c>
      <c r="D200" s="49">
        <f>IF(E200=C200,0,1)</f>
        <v>0</v>
      </c>
      <c r="E200" s="49" t="s">
        <v>832</v>
      </c>
      <c r="F200" s="30" t="str">
        <f>REPLACE(E200,4,4, )</f>
        <v>SLI</v>
      </c>
      <c r="G200" s="33" t="s">
        <v>91</v>
      </c>
      <c r="H200" s="34" t="s">
        <v>767</v>
      </c>
      <c r="I200" s="33" t="s">
        <v>538</v>
      </c>
      <c r="J200" s="51">
        <f>M200</f>
        <v>71500</v>
      </c>
      <c r="K200" s="52">
        <f>J200-M200</f>
        <v>0</v>
      </c>
      <c r="L200" s="60" t="s">
        <v>97</v>
      </c>
      <c r="M200" s="62">
        <f>69000+2500</f>
        <v>71500</v>
      </c>
      <c r="N200" s="53">
        <f>2000+200+600+250+1000+3600+450</f>
        <v>8100</v>
      </c>
      <c r="O200" s="55">
        <f>M200+N200</f>
        <v>79600</v>
      </c>
      <c r="P200" s="47">
        <v>410</v>
      </c>
      <c r="Q200" s="56">
        <v>79600</v>
      </c>
      <c r="R200" s="41">
        <f>O200-Q200</f>
        <v>0</v>
      </c>
      <c r="S200" s="67"/>
      <c r="T200" s="33" t="s">
        <v>778</v>
      </c>
      <c r="U200" s="57">
        <v>2500</v>
      </c>
      <c r="V200" s="57">
        <f>U200+O200</f>
        <v>82100</v>
      </c>
      <c r="W200" s="57">
        <f>V200/0.7</f>
        <v>117285.71428571429</v>
      </c>
      <c r="X200" s="58">
        <f>W200/0.875</f>
        <v>134040.81632653062</v>
      </c>
      <c r="Y200" s="59">
        <f>(X200-W200)/X200</f>
        <v>0.12500000000000003</v>
      </c>
      <c r="Z200" s="58">
        <f>(ROUNDUP((X200/100),0))*100</f>
        <v>134100</v>
      </c>
      <c r="AA200" s="178" t="s">
        <v>1780</v>
      </c>
      <c r="AB200" s="224">
        <v>43428</v>
      </c>
      <c r="AC200" s="177"/>
      <c r="AD200" s="177"/>
      <c r="AE200" s="179"/>
      <c r="AF200" s="179"/>
      <c r="AG200" s="179"/>
      <c r="AH200" s="179"/>
      <c r="AI200" s="85"/>
    </row>
    <row r="201" spans="1:35" ht="14.45" customHeight="1" x14ac:dyDescent="0.2">
      <c r="A201" s="47">
        <v>382</v>
      </c>
      <c r="B201" s="48" t="str">
        <f>REPLACE(E201,1,3, )</f>
        <v xml:space="preserve"> 800</v>
      </c>
      <c r="C201" s="70" t="s">
        <v>784</v>
      </c>
      <c r="D201" s="49">
        <f>IF(E201=C201,0,1)</f>
        <v>0</v>
      </c>
      <c r="E201" s="49" t="s">
        <v>784</v>
      </c>
      <c r="F201" s="30" t="str">
        <f>REPLACE(E201,4,4, )</f>
        <v>SLI</v>
      </c>
      <c r="G201" s="33" t="s">
        <v>91</v>
      </c>
      <c r="H201" s="34" t="s">
        <v>767</v>
      </c>
      <c r="I201" s="33" t="s">
        <v>538</v>
      </c>
      <c r="J201" s="51">
        <f>M201</f>
        <v>77500</v>
      </c>
      <c r="K201" s="52">
        <f>J201-M201</f>
        <v>0</v>
      </c>
      <c r="L201" s="60" t="s">
        <v>97</v>
      </c>
      <c r="M201" s="62">
        <f>75000+2500</f>
        <v>77500</v>
      </c>
      <c r="N201" s="53">
        <f>2000+200+600+250+1000+3600+450</f>
        <v>8100</v>
      </c>
      <c r="O201" s="55">
        <f>M201+N201</f>
        <v>85600</v>
      </c>
      <c r="P201" s="47">
        <v>382</v>
      </c>
      <c r="Q201" s="56">
        <v>85600</v>
      </c>
      <c r="R201" s="41">
        <f>O201-Q201</f>
        <v>0</v>
      </c>
      <c r="S201" s="67"/>
      <c r="T201" s="33" t="s">
        <v>778</v>
      </c>
      <c r="U201" s="57">
        <v>2500</v>
      </c>
      <c r="V201" s="57">
        <f>U201+O201</f>
        <v>88100</v>
      </c>
      <c r="W201" s="57">
        <f>V201/0.7</f>
        <v>125857.14285714287</v>
      </c>
      <c r="X201" s="58">
        <f>W201/0.875</f>
        <v>143836.73469387757</v>
      </c>
      <c r="Y201" s="59">
        <f>(X201-W201)/X201</f>
        <v>0.12500000000000006</v>
      </c>
      <c r="Z201" s="58">
        <f>(ROUNDUP((X201/100),0))*100</f>
        <v>143900</v>
      </c>
      <c r="AA201" s="178" t="s">
        <v>1780</v>
      </c>
      <c r="AB201" s="224">
        <v>43428</v>
      </c>
      <c r="AC201" s="177"/>
      <c r="AD201" s="177"/>
      <c r="AE201" s="179"/>
      <c r="AF201" s="179"/>
      <c r="AG201" s="179"/>
      <c r="AH201" s="179"/>
      <c r="AI201" s="85"/>
    </row>
    <row r="202" spans="1:35" ht="14.45" customHeight="1" x14ac:dyDescent="0.2">
      <c r="A202" s="47">
        <v>397</v>
      </c>
      <c r="B202" s="48" t="str">
        <f>REPLACE(E202,1,3, )</f>
        <v xml:space="preserve"> 803</v>
      </c>
      <c r="C202" s="70" t="s">
        <v>807</v>
      </c>
      <c r="D202" s="49">
        <f>IF(E202=C202,0,1)</f>
        <v>0</v>
      </c>
      <c r="E202" s="49" t="s">
        <v>807</v>
      </c>
      <c r="F202" s="30" t="str">
        <f>REPLACE(E202,4,4, )</f>
        <v>SLI</v>
      </c>
      <c r="G202" s="33" t="s">
        <v>91</v>
      </c>
      <c r="H202" s="34" t="s">
        <v>767</v>
      </c>
      <c r="I202" s="33" t="s">
        <v>538</v>
      </c>
      <c r="J202" s="51">
        <f>M202</f>
        <v>77500</v>
      </c>
      <c r="K202" s="52">
        <f>J202-M202</f>
        <v>0</v>
      </c>
      <c r="L202" s="60" t="s">
        <v>97</v>
      </c>
      <c r="M202" s="62">
        <f>75000+2500</f>
        <v>77500</v>
      </c>
      <c r="N202" s="53">
        <f>2000+200+600+250+1000+3600+450</f>
        <v>8100</v>
      </c>
      <c r="O202" s="55">
        <f>M202+N202</f>
        <v>85600</v>
      </c>
      <c r="P202" s="47">
        <v>397</v>
      </c>
      <c r="Q202" s="56">
        <v>85600</v>
      </c>
      <c r="R202" s="41">
        <f>O202-Q202</f>
        <v>0</v>
      </c>
      <c r="S202" s="67"/>
      <c r="T202" s="33" t="s">
        <v>778</v>
      </c>
      <c r="U202" s="57">
        <v>2500</v>
      </c>
      <c r="V202" s="57">
        <f>U202+O202</f>
        <v>88100</v>
      </c>
      <c r="W202" s="57">
        <f>V202/0.7</f>
        <v>125857.14285714287</v>
      </c>
      <c r="X202" s="58">
        <f>W202/0.875</f>
        <v>143836.73469387757</v>
      </c>
      <c r="Y202" s="59">
        <f>(X202-W202)/X202</f>
        <v>0.12500000000000006</v>
      </c>
      <c r="Z202" s="58">
        <f>(ROUNDUP((X202/100),0))*100</f>
        <v>143900</v>
      </c>
      <c r="AA202" s="178"/>
      <c r="AB202" s="178"/>
      <c r="AC202" s="177"/>
      <c r="AD202" s="177"/>
      <c r="AE202" s="179"/>
      <c r="AF202" s="179"/>
      <c r="AG202" s="179"/>
      <c r="AH202" s="179"/>
      <c r="AI202" s="85"/>
    </row>
    <row r="203" spans="1:35" ht="14.45" customHeight="1" x14ac:dyDescent="0.2">
      <c r="A203" s="47">
        <v>384</v>
      </c>
      <c r="B203" s="48" t="str">
        <f>REPLACE(E203,1,3, )</f>
        <v xml:space="preserve"> 890</v>
      </c>
      <c r="C203" s="70" t="s">
        <v>787</v>
      </c>
      <c r="D203" s="49">
        <f>IF(E203=C203,0,1)</f>
        <v>0</v>
      </c>
      <c r="E203" s="49" t="s">
        <v>787</v>
      </c>
      <c r="F203" s="30" t="str">
        <f>REPLACE(E203,4,4, )</f>
        <v>SLI</v>
      </c>
      <c r="G203" s="33" t="s">
        <v>91</v>
      </c>
      <c r="H203" s="34" t="s">
        <v>767</v>
      </c>
      <c r="I203" s="33" t="s">
        <v>538</v>
      </c>
      <c r="J203" s="51">
        <f>M203</f>
        <v>67500</v>
      </c>
      <c r="K203" s="52">
        <f>J203-M203</f>
        <v>0</v>
      </c>
      <c r="L203" s="60" t="s">
        <v>97</v>
      </c>
      <c r="M203" s="62">
        <f>65000+2500</f>
        <v>67500</v>
      </c>
      <c r="N203" s="53">
        <f>2000+200+600+250+1000+3600+450</f>
        <v>8100</v>
      </c>
      <c r="O203" s="55">
        <f>M203+N203</f>
        <v>75600</v>
      </c>
      <c r="P203" s="47">
        <v>384</v>
      </c>
      <c r="Q203" s="56">
        <v>75600</v>
      </c>
      <c r="R203" s="41">
        <f>O203-Q203</f>
        <v>0</v>
      </c>
      <c r="S203" s="67"/>
      <c r="T203" s="33" t="s">
        <v>778</v>
      </c>
      <c r="U203" s="57">
        <v>2500</v>
      </c>
      <c r="V203" s="57">
        <f>U203+O203</f>
        <v>78100</v>
      </c>
      <c r="W203" s="57">
        <f>V203/0.7</f>
        <v>111571.42857142858</v>
      </c>
      <c r="X203" s="58">
        <f>W203/0.875</f>
        <v>127510.20408163266</v>
      </c>
      <c r="Y203" s="59">
        <f>(X203-W203)/X203</f>
        <v>0.125</v>
      </c>
      <c r="Z203" s="58">
        <f>(ROUNDUP((X203/100),0))*100</f>
        <v>127600</v>
      </c>
      <c r="AA203" s="178" t="s">
        <v>1780</v>
      </c>
      <c r="AB203" s="224">
        <v>43428</v>
      </c>
      <c r="AC203" s="177"/>
      <c r="AD203" s="177"/>
      <c r="AE203" s="179"/>
      <c r="AF203" s="179"/>
      <c r="AG203" s="179"/>
      <c r="AH203" s="179"/>
      <c r="AI203" s="85"/>
    </row>
    <row r="204" spans="1:35" s="91" customFormat="1" ht="14.45" customHeight="1" x14ac:dyDescent="0.2">
      <c r="A204" s="47">
        <v>412</v>
      </c>
      <c r="B204" s="48" t="str">
        <f>REPLACE(E204,1,3, )</f>
        <v xml:space="preserve"> 940</v>
      </c>
      <c r="C204" s="70" t="s">
        <v>834</v>
      </c>
      <c r="D204" s="49">
        <f>IF(E204=C204,0,1)</f>
        <v>0</v>
      </c>
      <c r="E204" s="49" t="s">
        <v>834</v>
      </c>
      <c r="F204" s="30" t="str">
        <f>REPLACE(E204,4,4, )</f>
        <v>SLI</v>
      </c>
      <c r="G204" s="33" t="s">
        <v>91</v>
      </c>
      <c r="H204" s="34" t="s">
        <v>767</v>
      </c>
      <c r="I204" s="33" t="s">
        <v>538</v>
      </c>
      <c r="J204" s="51">
        <f>M204</f>
        <v>67500</v>
      </c>
      <c r="K204" s="52">
        <f>J204-M204</f>
        <v>0</v>
      </c>
      <c r="L204" s="60" t="s">
        <v>97</v>
      </c>
      <c r="M204" s="62">
        <f>65000+2500</f>
        <v>67500</v>
      </c>
      <c r="N204" s="53">
        <f>2000+200+600+250+1000+3600+450</f>
        <v>8100</v>
      </c>
      <c r="O204" s="55">
        <f>M204+N204</f>
        <v>75600</v>
      </c>
      <c r="P204" s="47">
        <v>412</v>
      </c>
      <c r="Q204" s="56">
        <v>75600</v>
      </c>
      <c r="R204" s="41">
        <f>O204-Q204</f>
        <v>0</v>
      </c>
      <c r="S204" s="67"/>
      <c r="T204" s="33" t="s">
        <v>778</v>
      </c>
      <c r="U204" s="57">
        <v>2500</v>
      </c>
      <c r="V204" s="57">
        <f>U204+O204</f>
        <v>78100</v>
      </c>
      <c r="W204" s="57">
        <f>V204/0.7</f>
        <v>111571.42857142858</v>
      </c>
      <c r="X204" s="58">
        <f>W204/0.875</f>
        <v>127510.20408163266</v>
      </c>
      <c r="Y204" s="59">
        <f>(X204-W204)/X204</f>
        <v>0.125</v>
      </c>
      <c r="Z204" s="58">
        <f>(ROUNDUP((X204/100),0))*100</f>
        <v>127600</v>
      </c>
      <c r="AA204" s="178" t="s">
        <v>1780</v>
      </c>
      <c r="AB204" s="224">
        <v>43428</v>
      </c>
      <c r="AC204" s="177"/>
      <c r="AD204" s="177"/>
      <c r="AE204" s="179"/>
      <c r="AF204" s="179"/>
      <c r="AG204" s="179"/>
      <c r="AH204" s="179"/>
    </row>
    <row r="205" spans="1:35" s="91" customFormat="1" ht="14.45" customHeight="1" x14ac:dyDescent="0.2">
      <c r="A205" s="47">
        <v>427</v>
      </c>
      <c r="B205" s="48" t="str">
        <f>REPLACE(E205,1,3, )</f>
        <v xml:space="preserve"> 977</v>
      </c>
      <c r="C205" s="32" t="s">
        <v>858</v>
      </c>
      <c r="D205" s="49">
        <f>IF(E205=C205,0,1)</f>
        <v>0</v>
      </c>
      <c r="E205" s="49" t="s">
        <v>858</v>
      </c>
      <c r="F205" s="30" t="str">
        <f>REPLACE(E205,4,4, )</f>
        <v>SLI</v>
      </c>
      <c r="G205" s="33" t="s">
        <v>91</v>
      </c>
      <c r="H205" s="71" t="s">
        <v>859</v>
      </c>
      <c r="I205" s="33" t="s">
        <v>538</v>
      </c>
      <c r="J205" s="51">
        <f>M205</f>
        <v>39000</v>
      </c>
      <c r="K205" s="52">
        <f>J205-M205</f>
        <v>0</v>
      </c>
      <c r="L205" s="60" t="s">
        <v>97</v>
      </c>
      <c r="M205" s="62">
        <v>39000</v>
      </c>
      <c r="N205" s="53">
        <f>2000+200+250+600+650+2500</f>
        <v>6200</v>
      </c>
      <c r="O205" s="55">
        <f>M205+N205</f>
        <v>45200</v>
      </c>
      <c r="P205" s="47">
        <v>427</v>
      </c>
      <c r="Q205" s="56">
        <v>45200</v>
      </c>
      <c r="R205" s="41">
        <f>O205-Q205</f>
        <v>0</v>
      </c>
      <c r="S205" s="67"/>
      <c r="T205" s="33" t="s">
        <v>860</v>
      </c>
      <c r="U205" s="57">
        <v>2500</v>
      </c>
      <c r="V205" s="57">
        <f>U205+O205</f>
        <v>47700</v>
      </c>
      <c r="W205" s="57">
        <f>V205/0.7</f>
        <v>68142.857142857145</v>
      </c>
      <c r="X205" s="58">
        <f>W205/0.875</f>
        <v>77877.551020408166</v>
      </c>
      <c r="Y205" s="59">
        <f>(X205-W205)/X205</f>
        <v>0.125</v>
      </c>
      <c r="Z205" s="58">
        <f>(ROUNDUP((X205/100),0))*100</f>
        <v>77900</v>
      </c>
      <c r="AA205" s="178"/>
      <c r="AB205" s="178"/>
      <c r="AC205" s="177"/>
      <c r="AD205" s="177"/>
      <c r="AE205" s="179"/>
      <c r="AF205" s="179"/>
      <c r="AG205" s="179"/>
      <c r="AH205" s="179"/>
    </row>
    <row r="206" spans="1:35" ht="14.45" customHeight="1" x14ac:dyDescent="0.2">
      <c r="A206" s="47">
        <v>438</v>
      </c>
      <c r="B206" s="48" t="str">
        <f>REPLACE(E206,1,3, )</f>
        <v xml:space="preserve"> 192</v>
      </c>
      <c r="C206" s="32" t="s">
        <v>882</v>
      </c>
      <c r="D206" s="49">
        <f>IF(E206=C206,0,1)</f>
        <v>0</v>
      </c>
      <c r="E206" s="48" t="s">
        <v>882</v>
      </c>
      <c r="F206" s="30" t="str">
        <f>REPLACE(E206,4,4, )</f>
        <v>SLN</v>
      </c>
      <c r="G206" s="33" t="s">
        <v>34</v>
      </c>
      <c r="H206" s="34" t="s">
        <v>878</v>
      </c>
      <c r="I206" s="33" t="s">
        <v>883</v>
      </c>
      <c r="J206" s="51">
        <v>29000</v>
      </c>
      <c r="K206" s="52">
        <f>J206-M206</f>
        <v>4450</v>
      </c>
      <c r="L206" s="49" t="s">
        <v>94</v>
      </c>
      <c r="M206" s="53">
        <f>J206-N206</f>
        <v>24550</v>
      </c>
      <c r="N206" s="54">
        <f>2000+200+600+1650</f>
        <v>4450</v>
      </c>
      <c r="O206" s="55">
        <f>M206+N206</f>
        <v>29000</v>
      </c>
      <c r="P206" s="47">
        <v>438</v>
      </c>
      <c r="Q206" s="56">
        <v>29000</v>
      </c>
      <c r="R206" s="41">
        <f>O206-Q206</f>
        <v>0</v>
      </c>
      <c r="S206" s="67"/>
      <c r="T206" s="33" t="s">
        <v>884</v>
      </c>
      <c r="U206" s="57">
        <v>5000</v>
      </c>
      <c r="V206" s="57">
        <f>U206+O206</f>
        <v>34000</v>
      </c>
      <c r="W206" s="57">
        <f>V206/0.7</f>
        <v>48571.428571428572</v>
      </c>
      <c r="X206" s="58">
        <f>W206/0.875</f>
        <v>55510.204081632655</v>
      </c>
      <c r="Y206" s="59">
        <f>(X206-W206)/X206</f>
        <v>0.12500000000000003</v>
      </c>
      <c r="Z206" s="58">
        <f>(ROUNDUP((X206/100),0))*100</f>
        <v>55600</v>
      </c>
      <c r="AA206" s="58"/>
      <c r="AB206" s="58"/>
      <c r="AC206" s="180"/>
      <c r="AD206" s="180"/>
      <c r="AE206" s="176"/>
      <c r="AF206" s="176"/>
      <c r="AG206" s="176"/>
      <c r="AH206" s="176"/>
      <c r="AI206" s="85"/>
    </row>
    <row r="207" spans="1:35" ht="14.45" customHeight="1" x14ac:dyDescent="0.2">
      <c r="A207" s="47">
        <v>443</v>
      </c>
      <c r="B207" s="48" t="str">
        <f>REPLACE(E207,1,3, )</f>
        <v xml:space="preserve"> 454</v>
      </c>
      <c r="C207" s="32" t="s">
        <v>891</v>
      </c>
      <c r="D207" s="49">
        <f>IF(E207=C207,0,1)</f>
        <v>0</v>
      </c>
      <c r="E207" s="49" t="s">
        <v>891</v>
      </c>
      <c r="F207" s="30" t="str">
        <f>REPLACE(E207,4,4, )</f>
        <v>SLN</v>
      </c>
      <c r="G207" s="33" t="s">
        <v>91</v>
      </c>
      <c r="H207" s="34" t="s">
        <v>878</v>
      </c>
      <c r="I207" s="33" t="s">
        <v>883</v>
      </c>
      <c r="J207" s="51">
        <v>29000</v>
      </c>
      <c r="K207" s="52">
        <f>J207-M207</f>
        <v>4450</v>
      </c>
      <c r="L207" s="49" t="s">
        <v>94</v>
      </c>
      <c r="M207" s="53">
        <f>J207-N207</f>
        <v>24550</v>
      </c>
      <c r="N207" s="53">
        <f>2000+200+600+1650</f>
        <v>4450</v>
      </c>
      <c r="O207" s="55">
        <f>M207+N207</f>
        <v>29000</v>
      </c>
      <c r="P207" s="47">
        <v>443</v>
      </c>
      <c r="Q207" s="56">
        <v>29000</v>
      </c>
      <c r="R207" s="41">
        <f>O207-Q207</f>
        <v>0</v>
      </c>
      <c r="S207" s="67"/>
      <c r="T207" s="33" t="s">
        <v>884</v>
      </c>
      <c r="U207" s="57"/>
      <c r="V207" s="57">
        <f>U207+O207</f>
        <v>29000</v>
      </c>
      <c r="W207" s="57">
        <f>V207/0.7</f>
        <v>41428.571428571435</v>
      </c>
      <c r="X207" s="58">
        <f>W207/0.875</f>
        <v>47346.938775510214</v>
      </c>
      <c r="Y207" s="59">
        <f>(X207-W207)/X207</f>
        <v>0.12500000000000006</v>
      </c>
      <c r="Z207" s="58">
        <f>(ROUNDUP((X207/100),0))*100</f>
        <v>47400</v>
      </c>
      <c r="AA207" s="178"/>
      <c r="AB207" s="178"/>
      <c r="AC207" s="177"/>
      <c r="AD207" s="177"/>
      <c r="AE207" s="179"/>
      <c r="AF207" s="179"/>
      <c r="AG207" s="179"/>
      <c r="AH207" s="179"/>
      <c r="AI207" s="85"/>
    </row>
    <row r="208" spans="1:35" ht="14.45" customHeight="1" x14ac:dyDescent="0.2">
      <c r="A208" s="47">
        <v>451</v>
      </c>
      <c r="B208" s="48" t="str">
        <f>REPLACE(E208,1,3, )</f>
        <v xml:space="preserve"> 564</v>
      </c>
      <c r="C208" s="32" t="s">
        <v>904</v>
      </c>
      <c r="D208" s="49">
        <f>IF(E208=C208,0,1)</f>
        <v>0</v>
      </c>
      <c r="E208" s="49" t="s">
        <v>904</v>
      </c>
      <c r="F208" s="30" t="str">
        <f>REPLACE(E208,4,4, )</f>
        <v>SLN</v>
      </c>
      <c r="G208" s="33" t="s">
        <v>91</v>
      </c>
      <c r="H208" s="34" t="s">
        <v>878</v>
      </c>
      <c r="I208" s="33" t="s">
        <v>883</v>
      </c>
      <c r="J208" s="51">
        <v>32500</v>
      </c>
      <c r="K208" s="52">
        <f>J208-M208</f>
        <v>4800</v>
      </c>
      <c r="L208" s="49" t="s">
        <v>94</v>
      </c>
      <c r="M208" s="53">
        <f>J208-N208</f>
        <v>27700</v>
      </c>
      <c r="N208" s="53">
        <f>2000+200+600+2000</f>
        <v>4800</v>
      </c>
      <c r="O208" s="55">
        <f>M208+N208</f>
        <v>32500</v>
      </c>
      <c r="P208" s="47">
        <v>451</v>
      </c>
      <c r="Q208" s="56">
        <v>32500</v>
      </c>
      <c r="R208" s="41">
        <f>O208-Q208</f>
        <v>0</v>
      </c>
      <c r="S208" s="67"/>
      <c r="T208" s="33" t="s">
        <v>905</v>
      </c>
      <c r="U208" s="57"/>
      <c r="V208" s="57">
        <f>U208+O208</f>
        <v>32500</v>
      </c>
      <c r="W208" s="57">
        <f>V208/0.7</f>
        <v>46428.571428571435</v>
      </c>
      <c r="X208" s="58">
        <f>W208/0.875</f>
        <v>53061.224489795924</v>
      </c>
      <c r="Y208" s="59">
        <f>(X208-W208)/X208</f>
        <v>0.12499999999999999</v>
      </c>
      <c r="Z208" s="58">
        <f>(ROUNDUP((X208/100),0))*100</f>
        <v>53100</v>
      </c>
      <c r="AA208" s="178"/>
      <c r="AB208" s="178"/>
      <c r="AC208" s="177"/>
      <c r="AD208" s="177"/>
      <c r="AE208" s="179"/>
      <c r="AF208" s="179"/>
      <c r="AG208" s="179"/>
      <c r="AH208" s="179"/>
      <c r="AI208" s="85"/>
    </row>
    <row r="209" spans="1:35" ht="14.45" customHeight="1" x14ac:dyDescent="0.2">
      <c r="A209" s="47">
        <v>453</v>
      </c>
      <c r="B209" s="48" t="str">
        <f>REPLACE(E209,1,3, )</f>
        <v xml:space="preserve"> 599</v>
      </c>
      <c r="C209" s="32" t="s">
        <v>908</v>
      </c>
      <c r="D209" s="49">
        <f>IF(E209=C209,0,1)</f>
        <v>0</v>
      </c>
      <c r="E209" s="49" t="s">
        <v>908</v>
      </c>
      <c r="F209" s="30" t="str">
        <f>REPLACE(E209,4,4, )</f>
        <v>SLN</v>
      </c>
      <c r="G209" s="33" t="s">
        <v>91</v>
      </c>
      <c r="H209" s="34" t="s">
        <v>878</v>
      </c>
      <c r="I209" s="33" t="s">
        <v>883</v>
      </c>
      <c r="J209" s="51">
        <v>32500</v>
      </c>
      <c r="K209" s="52">
        <f>J209-M209</f>
        <v>4800</v>
      </c>
      <c r="L209" s="49" t="s">
        <v>94</v>
      </c>
      <c r="M209" s="53">
        <f>J209-N209</f>
        <v>27700</v>
      </c>
      <c r="N209" s="53">
        <f>2000+200+600+2000</f>
        <v>4800</v>
      </c>
      <c r="O209" s="55">
        <f>M209+N209</f>
        <v>32500</v>
      </c>
      <c r="P209" s="47">
        <v>453</v>
      </c>
      <c r="Q209" s="56">
        <v>32500</v>
      </c>
      <c r="R209" s="41">
        <f>O209-Q209</f>
        <v>0</v>
      </c>
      <c r="S209" s="67"/>
      <c r="T209" s="33" t="s">
        <v>905</v>
      </c>
      <c r="U209" s="57"/>
      <c r="V209" s="57">
        <f>U209+O209</f>
        <v>32500</v>
      </c>
      <c r="W209" s="57">
        <f>V209/0.7</f>
        <v>46428.571428571435</v>
      </c>
      <c r="X209" s="58">
        <f>W209/0.875</f>
        <v>53061.224489795924</v>
      </c>
      <c r="Y209" s="59">
        <f>(X209-W209)/X209</f>
        <v>0.12499999999999999</v>
      </c>
      <c r="Z209" s="58">
        <f>(ROUNDUP((X209/100),0))*100</f>
        <v>53100</v>
      </c>
      <c r="AA209" s="178"/>
      <c r="AB209" s="178"/>
      <c r="AC209" s="177"/>
      <c r="AD209" s="177"/>
      <c r="AE209" s="179"/>
      <c r="AF209" s="179"/>
      <c r="AG209" s="179"/>
      <c r="AH209" s="179"/>
      <c r="AI209" s="85"/>
    </row>
    <row r="210" spans="1:35" ht="14.45" customHeight="1" x14ac:dyDescent="0.2">
      <c r="A210" s="47">
        <v>440</v>
      </c>
      <c r="B210" s="48" t="str">
        <f>REPLACE(E210,1,3, )</f>
        <v xml:space="preserve"> 665</v>
      </c>
      <c r="C210" s="32" t="s">
        <v>886</v>
      </c>
      <c r="D210" s="49">
        <f>IF(E210=C210,0,1)</f>
        <v>0</v>
      </c>
      <c r="E210" s="49" t="s">
        <v>886</v>
      </c>
      <c r="F210" s="30" t="str">
        <f>REPLACE(E210,4,4, )</f>
        <v>SLN</v>
      </c>
      <c r="G210" s="33" t="s">
        <v>91</v>
      </c>
      <c r="H210" s="34" t="s">
        <v>878</v>
      </c>
      <c r="I210" s="33" t="s">
        <v>883</v>
      </c>
      <c r="J210" s="51">
        <v>29000</v>
      </c>
      <c r="K210" s="52">
        <f>J210-M210</f>
        <v>4450</v>
      </c>
      <c r="L210" s="49" t="s">
        <v>94</v>
      </c>
      <c r="M210" s="53">
        <f>J210-N210</f>
        <v>24550</v>
      </c>
      <c r="N210" s="53">
        <f>2000+200+600+1650</f>
        <v>4450</v>
      </c>
      <c r="O210" s="55">
        <f>M210+N210</f>
        <v>29000</v>
      </c>
      <c r="P210" s="47">
        <v>440</v>
      </c>
      <c r="Q210" s="56">
        <v>29000</v>
      </c>
      <c r="R210" s="41">
        <f>O210-Q210</f>
        <v>0</v>
      </c>
      <c r="S210" s="67"/>
      <c r="T210" s="33" t="s">
        <v>884</v>
      </c>
      <c r="U210" s="57"/>
      <c r="V210" s="57">
        <f>U210+O210</f>
        <v>29000</v>
      </c>
      <c r="W210" s="57">
        <f>V210/0.7</f>
        <v>41428.571428571435</v>
      </c>
      <c r="X210" s="58">
        <f>W210/0.875</f>
        <v>47346.938775510214</v>
      </c>
      <c r="Y210" s="59">
        <f>(X210-W210)/X210</f>
        <v>0.12500000000000006</v>
      </c>
      <c r="Z210" s="58">
        <f>(ROUNDUP((X210/100),0))*100</f>
        <v>47400</v>
      </c>
      <c r="AA210" s="178"/>
      <c r="AB210" s="178"/>
      <c r="AC210" s="177"/>
      <c r="AD210" s="177"/>
      <c r="AE210" s="179"/>
      <c r="AF210" s="179"/>
      <c r="AG210" s="179"/>
      <c r="AH210" s="179"/>
      <c r="AI210" s="85"/>
    </row>
    <row r="211" spans="1:35" ht="14.45" customHeight="1" x14ac:dyDescent="0.2">
      <c r="A211" s="47">
        <v>442</v>
      </c>
      <c r="B211" s="48" t="str">
        <f>REPLACE(E211,1,3, )</f>
        <v xml:space="preserve"> 710</v>
      </c>
      <c r="C211" s="32" t="s">
        <v>890</v>
      </c>
      <c r="D211" s="49">
        <f>IF(E211=C211,0,1)</f>
        <v>0</v>
      </c>
      <c r="E211" s="49" t="s">
        <v>890</v>
      </c>
      <c r="F211" s="30" t="str">
        <f>REPLACE(E211,4,4, )</f>
        <v>SLN</v>
      </c>
      <c r="G211" s="33" t="s">
        <v>91</v>
      </c>
      <c r="H211" s="34" t="s">
        <v>878</v>
      </c>
      <c r="I211" s="33" t="s">
        <v>883</v>
      </c>
      <c r="J211" s="51">
        <v>30000</v>
      </c>
      <c r="K211" s="52">
        <f>J211-M211</f>
        <v>4450</v>
      </c>
      <c r="L211" s="49" t="s">
        <v>94</v>
      </c>
      <c r="M211" s="53">
        <f>J211-N211</f>
        <v>25550</v>
      </c>
      <c r="N211" s="53">
        <f>2000+200+600+1650</f>
        <v>4450</v>
      </c>
      <c r="O211" s="55">
        <f>M211+N211</f>
        <v>30000</v>
      </c>
      <c r="P211" s="47">
        <v>442</v>
      </c>
      <c r="Q211" s="56">
        <v>30000</v>
      </c>
      <c r="R211" s="41">
        <f>O211-Q211</f>
        <v>0</v>
      </c>
      <c r="S211" s="67"/>
      <c r="T211" s="33" t="s">
        <v>884</v>
      </c>
      <c r="U211" s="57"/>
      <c r="V211" s="57">
        <f>U211+O211</f>
        <v>30000</v>
      </c>
      <c r="W211" s="57">
        <f>V211/0.7</f>
        <v>42857.142857142862</v>
      </c>
      <c r="X211" s="58">
        <f>W211/0.875</f>
        <v>48979.591836734697</v>
      </c>
      <c r="Y211" s="59">
        <f>(X211-W211)/X211</f>
        <v>0.12499999999999994</v>
      </c>
      <c r="Z211" s="58">
        <f>(ROUNDUP((X211/100),0))*100</f>
        <v>49000</v>
      </c>
      <c r="AA211" s="178" t="s">
        <v>1790</v>
      </c>
      <c r="AB211" s="224">
        <v>43446</v>
      </c>
      <c r="AC211" s="177"/>
      <c r="AD211" s="177"/>
      <c r="AE211" s="179"/>
      <c r="AF211" s="179"/>
      <c r="AG211" s="179"/>
      <c r="AH211" s="179"/>
      <c r="AI211" s="85"/>
    </row>
    <row r="212" spans="1:35" s="91" customFormat="1" ht="14.45" customHeight="1" x14ac:dyDescent="0.2">
      <c r="A212" s="47">
        <v>446</v>
      </c>
      <c r="B212" s="48" t="str">
        <f>REPLACE(E212,1,3, )</f>
        <v xml:space="preserve"> 719</v>
      </c>
      <c r="C212" s="32" t="s">
        <v>898</v>
      </c>
      <c r="D212" s="49">
        <f>IF(E212=C212,0,1)</f>
        <v>0</v>
      </c>
      <c r="E212" s="49" t="s">
        <v>898</v>
      </c>
      <c r="F212" s="30" t="str">
        <f>REPLACE(E212,4,4, )</f>
        <v>SLN</v>
      </c>
      <c r="G212" s="33" t="s">
        <v>91</v>
      </c>
      <c r="H212" s="34" t="s">
        <v>878</v>
      </c>
      <c r="I212" s="33" t="s">
        <v>883</v>
      </c>
      <c r="J212" s="51">
        <v>29000</v>
      </c>
      <c r="K212" s="52">
        <f>J212-M212</f>
        <v>4450</v>
      </c>
      <c r="L212" s="49" t="s">
        <v>94</v>
      </c>
      <c r="M212" s="53">
        <f>J212-N212</f>
        <v>24550</v>
      </c>
      <c r="N212" s="53">
        <f>2000+200+600+1650</f>
        <v>4450</v>
      </c>
      <c r="O212" s="55">
        <f>M212+N212</f>
        <v>29000</v>
      </c>
      <c r="P212" s="47">
        <v>446</v>
      </c>
      <c r="Q212" s="56">
        <v>29000</v>
      </c>
      <c r="R212" s="41">
        <f>O212-Q212</f>
        <v>0</v>
      </c>
      <c r="S212" s="67"/>
      <c r="T212" s="33" t="s">
        <v>884</v>
      </c>
      <c r="U212" s="57"/>
      <c r="V212" s="57">
        <f>U212+O212</f>
        <v>29000</v>
      </c>
      <c r="W212" s="57">
        <f>V212/0.7</f>
        <v>41428.571428571435</v>
      </c>
      <c r="X212" s="58">
        <f>W212/0.875</f>
        <v>47346.938775510214</v>
      </c>
      <c r="Y212" s="59">
        <f>(X212-W212)/X212</f>
        <v>0.12500000000000006</v>
      </c>
      <c r="Z212" s="58">
        <f>(ROUNDUP((X212/100),0))*100</f>
        <v>47400</v>
      </c>
      <c r="AA212" s="178"/>
      <c r="AB212" s="178"/>
      <c r="AC212" s="177"/>
      <c r="AD212" s="177"/>
      <c r="AE212" s="179"/>
      <c r="AF212" s="179"/>
      <c r="AG212" s="179"/>
      <c r="AH212" s="179"/>
    </row>
    <row r="213" spans="1:35" ht="14.45" customHeight="1" x14ac:dyDescent="0.2">
      <c r="A213" s="47">
        <v>439</v>
      </c>
      <c r="B213" s="48" t="str">
        <f>REPLACE(E213,1,3, )</f>
        <v xml:space="preserve"> 730</v>
      </c>
      <c r="C213" s="32" t="s">
        <v>885</v>
      </c>
      <c r="D213" s="49">
        <f>IF(E213=C213,0,1)</f>
        <v>0</v>
      </c>
      <c r="E213" s="49" t="s">
        <v>885</v>
      </c>
      <c r="F213" s="30" t="str">
        <f>REPLACE(E213,4,4, )</f>
        <v>SLN</v>
      </c>
      <c r="G213" s="33" t="s">
        <v>91</v>
      </c>
      <c r="H213" s="34" t="s">
        <v>878</v>
      </c>
      <c r="I213" s="33" t="s">
        <v>883</v>
      </c>
      <c r="J213" s="51">
        <v>29000</v>
      </c>
      <c r="K213" s="52">
        <f>J213-M213</f>
        <v>4450</v>
      </c>
      <c r="L213" s="49" t="s">
        <v>94</v>
      </c>
      <c r="M213" s="53">
        <f>J213-N213</f>
        <v>24550</v>
      </c>
      <c r="N213" s="53">
        <f>2000+200+600+1650</f>
        <v>4450</v>
      </c>
      <c r="O213" s="55">
        <f>M213+N213</f>
        <v>29000</v>
      </c>
      <c r="P213" s="47">
        <v>439</v>
      </c>
      <c r="Q213" s="56">
        <v>29000</v>
      </c>
      <c r="R213" s="41">
        <f>O213-Q213</f>
        <v>0</v>
      </c>
      <c r="S213" s="67"/>
      <c r="T213" s="33" t="s">
        <v>884</v>
      </c>
      <c r="U213" s="57"/>
      <c r="V213" s="57">
        <f>U213+O213</f>
        <v>29000</v>
      </c>
      <c r="W213" s="57">
        <f>V213/0.7</f>
        <v>41428.571428571435</v>
      </c>
      <c r="X213" s="58">
        <f>W213/0.875</f>
        <v>47346.938775510214</v>
      </c>
      <c r="Y213" s="59">
        <f>(X213-W213)/X213</f>
        <v>0.12500000000000006</v>
      </c>
      <c r="Z213" s="58">
        <f>(ROUNDUP((X213/100),0))*100</f>
        <v>47400</v>
      </c>
      <c r="AA213" s="178"/>
      <c r="AB213" s="178"/>
      <c r="AC213" s="177"/>
      <c r="AD213" s="177"/>
      <c r="AE213" s="179"/>
      <c r="AF213" s="179"/>
      <c r="AG213" s="179"/>
      <c r="AH213" s="179"/>
      <c r="AI213" s="85"/>
    </row>
    <row r="214" spans="1:35" s="91" customFormat="1" ht="14.45" customHeight="1" x14ac:dyDescent="0.2">
      <c r="A214" s="47">
        <v>449</v>
      </c>
      <c r="B214" s="48" t="str">
        <f>REPLACE(E214,1,3, )</f>
        <v xml:space="preserve"> 857</v>
      </c>
      <c r="C214" s="32" t="s">
        <v>902</v>
      </c>
      <c r="D214" s="49">
        <f>IF(E214=C214,0,1)</f>
        <v>0</v>
      </c>
      <c r="E214" s="49" t="s">
        <v>902</v>
      </c>
      <c r="F214" s="30" t="str">
        <f>REPLACE(E214,4,4, )</f>
        <v>SLN</v>
      </c>
      <c r="G214" s="33" t="s">
        <v>91</v>
      </c>
      <c r="H214" s="34" t="s">
        <v>878</v>
      </c>
      <c r="I214" s="33" t="s">
        <v>883</v>
      </c>
      <c r="J214" s="51">
        <v>31000</v>
      </c>
      <c r="K214" s="52">
        <f>J214-M214</f>
        <v>4450</v>
      </c>
      <c r="L214" s="49" t="s">
        <v>94</v>
      </c>
      <c r="M214" s="53">
        <f>J214-N214</f>
        <v>26550</v>
      </c>
      <c r="N214" s="53">
        <f>2000+200+600+1650</f>
        <v>4450</v>
      </c>
      <c r="O214" s="55">
        <f>M214+N214</f>
        <v>31000</v>
      </c>
      <c r="P214" s="47">
        <v>449</v>
      </c>
      <c r="Q214" s="56">
        <v>31000</v>
      </c>
      <c r="R214" s="41">
        <f>O214-Q214</f>
        <v>0</v>
      </c>
      <c r="S214" s="67"/>
      <c r="T214" s="33" t="s">
        <v>884</v>
      </c>
      <c r="U214" s="57"/>
      <c r="V214" s="57">
        <f>U214+O214</f>
        <v>31000</v>
      </c>
      <c r="W214" s="57">
        <f>V214/0.7</f>
        <v>44285.71428571429</v>
      </c>
      <c r="X214" s="58">
        <f>W214/0.875</f>
        <v>50612.244897959186</v>
      </c>
      <c r="Y214" s="59">
        <f>(X214-W214)/X214</f>
        <v>0.12499999999999996</v>
      </c>
      <c r="Z214" s="58">
        <f>(ROUNDUP((X214/100),0))*100</f>
        <v>50700</v>
      </c>
      <c r="AA214" s="178"/>
      <c r="AB214" s="178"/>
      <c r="AC214" s="177"/>
      <c r="AD214" s="177"/>
      <c r="AE214" s="179"/>
      <c r="AF214" s="179"/>
      <c r="AG214" s="179"/>
      <c r="AH214" s="179"/>
    </row>
    <row r="215" spans="1:35" ht="14.45" customHeight="1" x14ac:dyDescent="0.2">
      <c r="A215" s="47">
        <v>224</v>
      </c>
      <c r="B215" s="48" t="str">
        <f>REPLACE(E215,1,3, )</f>
        <v xml:space="preserve"> 798</v>
      </c>
      <c r="C215" s="70" t="s">
        <v>505</v>
      </c>
      <c r="D215" s="49">
        <f>IF(E215=C215,0,1)</f>
        <v>0</v>
      </c>
      <c r="E215" s="47" t="s">
        <v>505</v>
      </c>
      <c r="F215" s="30" t="str">
        <f>REPLACE(E215,4,4, )</f>
        <v>SLO</v>
      </c>
      <c r="G215" s="30" t="s">
        <v>91</v>
      </c>
      <c r="H215" s="34" t="s">
        <v>493</v>
      </c>
      <c r="I215" s="30" t="s">
        <v>506</v>
      </c>
      <c r="J215" s="51">
        <v>75000</v>
      </c>
      <c r="K215" s="52">
        <f>J215-M215</f>
        <v>7400</v>
      </c>
      <c r="L215" s="49" t="s">
        <v>94</v>
      </c>
      <c r="M215" s="53">
        <f>J215-N215</f>
        <v>67600</v>
      </c>
      <c r="N215" s="53">
        <f>2000+200+600+1000+3600</f>
        <v>7400</v>
      </c>
      <c r="O215" s="55">
        <f>M215+N215</f>
        <v>75000</v>
      </c>
      <c r="P215" s="47">
        <v>224</v>
      </c>
      <c r="Q215" s="56">
        <v>75000</v>
      </c>
      <c r="R215" s="41">
        <f>O215-Q215</f>
        <v>0</v>
      </c>
      <c r="S215" s="67"/>
      <c r="T215" s="33" t="s">
        <v>507</v>
      </c>
      <c r="U215" s="57"/>
      <c r="V215" s="57">
        <f>U215+O215</f>
        <v>75000</v>
      </c>
      <c r="W215" s="57">
        <f>V215/0.7</f>
        <v>107142.85714285714</v>
      </c>
      <c r="X215" s="58">
        <f>W215/0.875</f>
        <v>122448.97959183673</v>
      </c>
      <c r="Y215" s="59">
        <f>(X215-W215)/X215</f>
        <v>0.12499999999999996</v>
      </c>
      <c r="Z215" s="58">
        <f>(ROUNDUP((X215/100),0))*100</f>
        <v>122500</v>
      </c>
      <c r="AA215" s="178"/>
      <c r="AB215" s="178"/>
      <c r="AC215" s="177"/>
      <c r="AD215" s="177"/>
      <c r="AE215" s="179"/>
      <c r="AF215" s="179"/>
      <c r="AG215" s="179"/>
      <c r="AH215" s="179"/>
      <c r="AI215" s="85"/>
    </row>
    <row r="216" spans="1:35" ht="14.45" customHeight="1" x14ac:dyDescent="0.2">
      <c r="A216" s="47">
        <v>84</v>
      </c>
      <c r="B216" s="48" t="str">
        <f>REPLACE(E216,1,3, )</f>
        <v xml:space="preserve"> 173</v>
      </c>
      <c r="C216" s="70" t="s">
        <v>229</v>
      </c>
      <c r="D216" s="49">
        <f>IF(E216=C216,0,1)</f>
        <v>0</v>
      </c>
      <c r="E216" s="69" t="s">
        <v>229</v>
      </c>
      <c r="F216" s="30" t="str">
        <f>REPLACE(E216,4,4, )</f>
        <v>SLS</v>
      </c>
      <c r="G216" s="30" t="s">
        <v>34</v>
      </c>
      <c r="H216" s="71" t="s">
        <v>219</v>
      </c>
      <c r="I216" s="30" t="s">
        <v>222</v>
      </c>
      <c r="J216" s="72">
        <v>200000</v>
      </c>
      <c r="K216" s="72">
        <f>J216-M216</f>
        <v>0</v>
      </c>
      <c r="L216" s="64" t="s">
        <v>87</v>
      </c>
      <c r="M216" s="73">
        <f>J216</f>
        <v>200000</v>
      </c>
      <c r="N216" s="74">
        <f>2000+2850+500+200+200</f>
        <v>5750</v>
      </c>
      <c r="O216" s="75">
        <f>M216+N216</f>
        <v>205750</v>
      </c>
      <c r="P216" s="47">
        <v>84</v>
      </c>
      <c r="Q216" s="76">
        <v>205750</v>
      </c>
      <c r="R216" s="41">
        <f>O216-Q216</f>
        <v>0</v>
      </c>
      <c r="S216" s="42" t="s">
        <v>88</v>
      </c>
      <c r="T216" s="47" t="s">
        <v>223</v>
      </c>
      <c r="U216" s="57">
        <v>-1000</v>
      </c>
      <c r="V216" s="57">
        <f>U216+O216</f>
        <v>204750</v>
      </c>
      <c r="W216" s="57">
        <f>V216/0.7</f>
        <v>292500</v>
      </c>
      <c r="X216" s="58">
        <f>W216/0.875</f>
        <v>334285.71428571426</v>
      </c>
      <c r="Y216" s="59">
        <f>(X216-W216)/X216</f>
        <v>0.12499999999999993</v>
      </c>
      <c r="Z216" s="58">
        <f>(ROUNDUP((X216/100),0))*100</f>
        <v>334300</v>
      </c>
      <c r="AA216" s="58"/>
      <c r="AB216" s="58"/>
      <c r="AC216" s="180"/>
      <c r="AD216" s="180"/>
      <c r="AE216" s="176"/>
      <c r="AF216" s="176"/>
      <c r="AG216" s="176"/>
      <c r="AH216" s="176"/>
      <c r="AI216" s="85"/>
    </row>
    <row r="217" spans="1:35" ht="14.45" customHeight="1" x14ac:dyDescent="0.2">
      <c r="A217" s="47">
        <v>80</v>
      </c>
      <c r="B217" s="48" t="str">
        <f>REPLACE(E217,1,3, )</f>
        <v xml:space="preserve"> 652</v>
      </c>
      <c r="C217" s="70" t="s">
        <v>221</v>
      </c>
      <c r="D217" s="49">
        <f>IF(E217=C217,0,1)</f>
        <v>0</v>
      </c>
      <c r="E217" s="50" t="s">
        <v>221</v>
      </c>
      <c r="F217" s="30" t="str">
        <f>REPLACE(E217,4,4, )</f>
        <v>SLS</v>
      </c>
      <c r="G217" s="30" t="s">
        <v>34</v>
      </c>
      <c r="H217" s="71" t="s">
        <v>219</v>
      </c>
      <c r="I217" s="30" t="s">
        <v>222</v>
      </c>
      <c r="J217" s="72">
        <v>120000</v>
      </c>
      <c r="K217" s="72">
        <f>J217-M217</f>
        <v>0</v>
      </c>
      <c r="L217" s="64" t="s">
        <v>87</v>
      </c>
      <c r="M217" s="73">
        <f>J217</f>
        <v>120000</v>
      </c>
      <c r="N217" s="74">
        <f>2000+2850+500+200+200</f>
        <v>5750</v>
      </c>
      <c r="O217" s="75">
        <f>M217+N217</f>
        <v>125750</v>
      </c>
      <c r="P217" s="47">
        <v>80</v>
      </c>
      <c r="Q217" s="76">
        <v>125750</v>
      </c>
      <c r="R217" s="41">
        <f>O217-Q217</f>
        <v>0</v>
      </c>
      <c r="S217" s="42" t="s">
        <v>88</v>
      </c>
      <c r="T217" s="47" t="s">
        <v>223</v>
      </c>
      <c r="U217" s="57">
        <v>1000</v>
      </c>
      <c r="V217" s="57">
        <f>U217+O217</f>
        <v>126750</v>
      </c>
      <c r="W217" s="57">
        <f>V217/0.7</f>
        <v>181071.42857142858</v>
      </c>
      <c r="X217" s="58">
        <f>W217/0.875</f>
        <v>206938.77551020408</v>
      </c>
      <c r="Y217" s="59">
        <f>(X217-W217)/X217</f>
        <v>0.12499999999999996</v>
      </c>
      <c r="Z217" s="58">
        <f>(ROUNDUP((X217/100),0))*100</f>
        <v>207000</v>
      </c>
      <c r="AA217" s="58"/>
      <c r="AB217" s="58"/>
      <c r="AC217" s="180"/>
      <c r="AD217" s="180"/>
      <c r="AE217" s="176"/>
      <c r="AF217" s="176"/>
      <c r="AG217" s="176"/>
      <c r="AH217" s="176"/>
      <c r="AI217" s="85"/>
    </row>
    <row r="218" spans="1:35" s="91" customFormat="1" ht="14.45" customHeight="1" x14ac:dyDescent="0.2">
      <c r="A218" s="47">
        <v>82</v>
      </c>
      <c r="B218" s="48" t="str">
        <f>REPLACE(E218,1,3, )</f>
        <v xml:space="preserve"> 678</v>
      </c>
      <c r="C218" s="70" t="s">
        <v>226</v>
      </c>
      <c r="D218" s="49">
        <f>IF(E218=C218,0,1)</f>
        <v>0</v>
      </c>
      <c r="E218" s="69" t="s">
        <v>226</v>
      </c>
      <c r="F218" s="30" t="str">
        <f>REPLACE(E218,4,4, )</f>
        <v>SLS</v>
      </c>
      <c r="G218" s="30" t="s">
        <v>34</v>
      </c>
      <c r="H218" s="71" t="s">
        <v>219</v>
      </c>
      <c r="I218" s="30" t="s">
        <v>222</v>
      </c>
      <c r="J218" s="72">
        <v>200000</v>
      </c>
      <c r="K218" s="72">
        <f>J218-M218</f>
        <v>0</v>
      </c>
      <c r="L218" s="64" t="s">
        <v>87</v>
      </c>
      <c r="M218" s="73">
        <f>J218</f>
        <v>200000</v>
      </c>
      <c r="N218" s="74">
        <f>2000+2850+500+200+200</f>
        <v>5750</v>
      </c>
      <c r="O218" s="75">
        <f>M218+N218</f>
        <v>205750</v>
      </c>
      <c r="P218" s="47">
        <v>82</v>
      </c>
      <c r="Q218" s="76">
        <v>205750</v>
      </c>
      <c r="R218" s="41">
        <f>O218-Q218</f>
        <v>0</v>
      </c>
      <c r="S218" s="42" t="s">
        <v>88</v>
      </c>
      <c r="T218" s="47" t="s">
        <v>223</v>
      </c>
      <c r="U218" s="57">
        <v>-1000</v>
      </c>
      <c r="V218" s="57">
        <f>U218+O218</f>
        <v>204750</v>
      </c>
      <c r="W218" s="57">
        <f>V218/0.7</f>
        <v>292500</v>
      </c>
      <c r="X218" s="58">
        <f>W218/0.875</f>
        <v>334285.71428571426</v>
      </c>
      <c r="Y218" s="59">
        <f>(X218-W218)/X218</f>
        <v>0.12499999999999993</v>
      </c>
      <c r="Z218" s="58">
        <f>(ROUNDUP((X218/100),0))*100</f>
        <v>334300</v>
      </c>
      <c r="AA218" s="58"/>
      <c r="AB218" s="58"/>
      <c r="AC218" s="180"/>
      <c r="AD218" s="180"/>
      <c r="AE218" s="176"/>
      <c r="AF218" s="176"/>
      <c r="AG218" s="176"/>
      <c r="AH218" s="176"/>
    </row>
    <row r="219" spans="1:35" ht="14.45" customHeight="1" x14ac:dyDescent="0.2">
      <c r="A219" s="47">
        <v>112</v>
      </c>
      <c r="B219" s="48" t="str">
        <f>REPLACE(E219,1,3, )</f>
        <v xml:space="preserve"> 270</v>
      </c>
      <c r="C219" s="70" t="s">
        <v>290</v>
      </c>
      <c r="D219" s="49">
        <f>IF(E219=C219,0,1)</f>
        <v>0</v>
      </c>
      <c r="E219" s="47" t="s">
        <v>290</v>
      </c>
      <c r="F219" s="30" t="str">
        <f>REPLACE(E219,4,4, )</f>
        <v>SLT</v>
      </c>
      <c r="G219" s="30" t="s">
        <v>91</v>
      </c>
      <c r="H219" s="71" t="s">
        <v>256</v>
      </c>
      <c r="I219" s="30" t="s">
        <v>291</v>
      </c>
      <c r="J219" s="51">
        <v>105000</v>
      </c>
      <c r="K219" s="52">
        <f>J219-M219</f>
        <v>6450</v>
      </c>
      <c r="L219" s="49" t="s">
        <v>94</v>
      </c>
      <c r="M219" s="53">
        <f>J219-N219</f>
        <v>98550</v>
      </c>
      <c r="N219" s="53">
        <f>2000+200+350+600+300+3000</f>
        <v>6450</v>
      </c>
      <c r="O219" s="55">
        <f>M219+N219</f>
        <v>105000</v>
      </c>
      <c r="P219" s="47">
        <v>112</v>
      </c>
      <c r="Q219" s="56">
        <v>105000</v>
      </c>
      <c r="R219" s="41">
        <f>O219-Q219</f>
        <v>0</v>
      </c>
      <c r="S219" s="67" t="s">
        <v>292</v>
      </c>
      <c r="T219" s="33" t="s">
        <v>293</v>
      </c>
      <c r="U219" s="57"/>
      <c r="V219" s="57">
        <f>U219+O219</f>
        <v>105000</v>
      </c>
      <c r="W219" s="57">
        <f>V219/0.7</f>
        <v>150000</v>
      </c>
      <c r="X219" s="58">
        <f>W219/0.875</f>
        <v>171428.57142857142</v>
      </c>
      <c r="Y219" s="59">
        <f>(X219-W219)/X219</f>
        <v>0.12499999999999996</v>
      </c>
      <c r="Z219" s="58">
        <f>(ROUNDUP((X219/100),0))*100</f>
        <v>171500</v>
      </c>
      <c r="AA219" s="178"/>
      <c r="AB219" s="178"/>
      <c r="AC219" s="177"/>
      <c r="AD219" s="177"/>
      <c r="AE219" s="179"/>
      <c r="AF219" s="179"/>
      <c r="AG219" s="179"/>
      <c r="AH219" s="179"/>
      <c r="AI219" s="85"/>
    </row>
    <row r="220" spans="1:35" s="91" customFormat="1" ht="14.45" customHeight="1" x14ac:dyDescent="0.2">
      <c r="A220" s="47">
        <v>369</v>
      </c>
      <c r="B220" s="48" t="str">
        <f>REPLACE(E220,1,3, )</f>
        <v xml:space="preserve"> 249</v>
      </c>
      <c r="C220" s="89" t="s">
        <v>759</v>
      </c>
      <c r="D220" s="49">
        <f>IF(E220=C220,0,1)</f>
        <v>0</v>
      </c>
      <c r="E220" s="33" t="s">
        <v>759</v>
      </c>
      <c r="F220" s="30" t="str">
        <f>REPLACE(E220,4,4, )</f>
        <v>SLX</v>
      </c>
      <c r="G220" s="33" t="s">
        <v>91</v>
      </c>
      <c r="H220" s="34" t="s">
        <v>722</v>
      </c>
      <c r="I220" s="33" t="s">
        <v>351</v>
      </c>
      <c r="J220" s="51">
        <v>93000</v>
      </c>
      <c r="K220" s="52">
        <f>J220-M220</f>
        <v>6950</v>
      </c>
      <c r="L220" s="49" t="s">
        <v>94</v>
      </c>
      <c r="M220" s="53">
        <f>J220-N220</f>
        <v>86050</v>
      </c>
      <c r="N220" s="53">
        <f>2000+200+600+750+3000+400</f>
        <v>6950</v>
      </c>
      <c r="O220" s="55">
        <f>M220+N220</f>
        <v>93000</v>
      </c>
      <c r="P220" s="47">
        <v>369</v>
      </c>
      <c r="Q220" s="56">
        <v>93000</v>
      </c>
      <c r="R220" s="41">
        <f>O220-Q220</f>
        <v>0</v>
      </c>
      <c r="S220" s="42"/>
      <c r="T220" s="33" t="s">
        <v>352</v>
      </c>
      <c r="U220" s="57"/>
      <c r="V220" s="57">
        <f>U220+O220</f>
        <v>93000</v>
      </c>
      <c r="W220" s="57">
        <f>V220/0.7</f>
        <v>132857.14285714287</v>
      </c>
      <c r="X220" s="58">
        <f>W220/0.875</f>
        <v>151836.73469387757</v>
      </c>
      <c r="Y220" s="59">
        <f>(X220-W220)/X220</f>
        <v>0.12500000000000006</v>
      </c>
      <c r="Z220" s="58">
        <f>(ROUNDUP((X220/100),0))*100</f>
        <v>151900</v>
      </c>
      <c r="AA220" s="178" t="s">
        <v>1780</v>
      </c>
      <c r="AB220" s="224">
        <v>43432</v>
      </c>
      <c r="AC220" s="177"/>
      <c r="AD220" s="177"/>
      <c r="AE220" s="179"/>
      <c r="AF220" s="179"/>
      <c r="AG220" s="179"/>
      <c r="AH220" s="179"/>
    </row>
    <row r="221" spans="1:35" ht="14.45" customHeight="1" x14ac:dyDescent="0.2">
      <c r="A221" s="47">
        <v>146</v>
      </c>
      <c r="B221" s="48" t="str">
        <f>REPLACE(E221,1,3, )</f>
        <v xml:space="preserve"> 326</v>
      </c>
      <c r="C221" s="70" t="s">
        <v>350</v>
      </c>
      <c r="D221" s="49">
        <f>IF(E221=C221,0,1)</f>
        <v>0</v>
      </c>
      <c r="E221" s="49" t="s">
        <v>350</v>
      </c>
      <c r="F221" s="30" t="str">
        <f>REPLACE(E221,4,4, )</f>
        <v>SLX</v>
      </c>
      <c r="G221" s="49" t="s">
        <v>91</v>
      </c>
      <c r="H221" s="34" t="s">
        <v>342</v>
      </c>
      <c r="I221" s="33" t="s">
        <v>351</v>
      </c>
      <c r="J221" s="51">
        <v>93000</v>
      </c>
      <c r="K221" s="52">
        <f>J221-M221</f>
        <v>6950</v>
      </c>
      <c r="L221" s="49" t="s">
        <v>94</v>
      </c>
      <c r="M221" s="53">
        <f>J221-N221</f>
        <v>86050</v>
      </c>
      <c r="N221" s="53">
        <f>2000+200+600+750+3000+400</f>
        <v>6950</v>
      </c>
      <c r="O221" s="55">
        <f>M221+N221</f>
        <v>93000</v>
      </c>
      <c r="P221" s="47">
        <v>146</v>
      </c>
      <c r="Q221" s="56">
        <v>93000</v>
      </c>
      <c r="R221" s="41">
        <f>O221-Q221</f>
        <v>0</v>
      </c>
      <c r="S221" s="67"/>
      <c r="T221" s="33" t="s">
        <v>352</v>
      </c>
      <c r="U221" s="57">
        <v>-1000</v>
      </c>
      <c r="V221" s="57">
        <f>U221+O221</f>
        <v>92000</v>
      </c>
      <c r="W221" s="57">
        <f>V221/0.7</f>
        <v>131428.57142857145</v>
      </c>
      <c r="X221" s="58">
        <f>W221/0.875</f>
        <v>150204.08163265308</v>
      </c>
      <c r="Y221" s="59">
        <f>(X221-W221)/X221</f>
        <v>0.12499999999999996</v>
      </c>
      <c r="Z221" s="58">
        <f>(ROUNDUP((X221/100),0))*100</f>
        <v>150300</v>
      </c>
      <c r="AA221" s="178" t="s">
        <v>1780</v>
      </c>
      <c r="AB221" s="224">
        <v>43432</v>
      </c>
      <c r="AC221" s="177"/>
      <c r="AD221" s="177"/>
      <c r="AE221" s="179"/>
      <c r="AF221" s="179"/>
      <c r="AG221" s="179"/>
      <c r="AH221" s="179"/>
      <c r="AI221" s="85"/>
    </row>
    <row r="222" spans="1:35" s="91" customFormat="1" ht="14.45" customHeight="1" x14ac:dyDescent="0.2">
      <c r="A222" s="47">
        <v>367</v>
      </c>
      <c r="B222" s="48" t="str">
        <f>REPLACE(E222,1,3, )</f>
        <v xml:space="preserve"> 853</v>
      </c>
      <c r="C222" s="70" t="s">
        <v>756</v>
      </c>
      <c r="D222" s="49">
        <f>IF(E222=C222,0,1)</f>
        <v>0</v>
      </c>
      <c r="E222" s="48" t="s">
        <v>756</v>
      </c>
      <c r="F222" s="30" t="str">
        <f>REPLACE(E222,4,4, )</f>
        <v>SLX</v>
      </c>
      <c r="G222" s="49" t="s">
        <v>34</v>
      </c>
      <c r="H222" s="34" t="s">
        <v>722</v>
      </c>
      <c r="I222" s="33" t="s">
        <v>351</v>
      </c>
      <c r="J222" s="51">
        <v>93000</v>
      </c>
      <c r="K222" s="52">
        <f>J222-M222</f>
        <v>6950</v>
      </c>
      <c r="L222" s="49" t="s">
        <v>94</v>
      </c>
      <c r="M222" s="53">
        <f>J222-N222</f>
        <v>86050</v>
      </c>
      <c r="N222" s="53">
        <f>2000+200+600+750+3000+400</f>
        <v>6950</v>
      </c>
      <c r="O222" s="55">
        <f>M222+N222</f>
        <v>93000</v>
      </c>
      <c r="P222" s="47">
        <v>367</v>
      </c>
      <c r="Q222" s="56">
        <v>93000</v>
      </c>
      <c r="R222" s="41">
        <f>O222-Q222</f>
        <v>0</v>
      </c>
      <c r="S222" s="67"/>
      <c r="T222" s="33" t="s">
        <v>352</v>
      </c>
      <c r="U222" s="57"/>
      <c r="V222" s="57">
        <f>U222+O222</f>
        <v>93000</v>
      </c>
      <c r="W222" s="57">
        <f>V222/0.7</f>
        <v>132857.14285714287</v>
      </c>
      <c r="X222" s="58">
        <f>W222/0.875</f>
        <v>151836.73469387757</v>
      </c>
      <c r="Y222" s="59">
        <f>(X222-W222)/X222</f>
        <v>0.12500000000000006</v>
      </c>
      <c r="Z222" s="58">
        <f>(ROUNDUP((X222/100),0))*100</f>
        <v>151900</v>
      </c>
      <c r="AA222" s="58"/>
      <c r="AB222" s="58"/>
      <c r="AC222" s="180"/>
      <c r="AD222" s="180"/>
      <c r="AE222" s="176"/>
      <c r="AF222" s="176"/>
      <c r="AG222" s="176"/>
      <c r="AH222" s="176"/>
    </row>
    <row r="223" spans="1:35" ht="14.45" customHeight="1" x14ac:dyDescent="0.2">
      <c r="A223" s="30">
        <v>148</v>
      </c>
      <c r="B223" s="31" t="str">
        <f>REPLACE(E223,1,3, )</f>
        <v xml:space="preserve"> 961</v>
      </c>
      <c r="C223" s="70" t="s">
        <v>354</v>
      </c>
      <c r="D223" s="33">
        <f>IF(E223=C223,0,1)</f>
        <v>0</v>
      </c>
      <c r="E223" s="33" t="s">
        <v>354</v>
      </c>
      <c r="F223" s="30" t="str">
        <f>REPLACE(E223,4,4, )</f>
        <v>SLX</v>
      </c>
      <c r="G223" s="33" t="s">
        <v>91</v>
      </c>
      <c r="H223" s="34" t="s">
        <v>342</v>
      </c>
      <c r="I223" s="33" t="s">
        <v>351</v>
      </c>
      <c r="J223" s="80">
        <v>93000</v>
      </c>
      <c r="K223" s="81">
        <f>J223-M223</f>
        <v>6950</v>
      </c>
      <c r="L223" s="33" t="s">
        <v>94</v>
      </c>
      <c r="M223" s="53">
        <f>J223-N223</f>
        <v>86050</v>
      </c>
      <c r="N223" s="53">
        <f>2000+200+600+750+3000+400</f>
        <v>6950</v>
      </c>
      <c r="O223" s="53">
        <f>M223+N223</f>
        <v>93000</v>
      </c>
      <c r="P223" s="30">
        <v>148</v>
      </c>
      <c r="Q223" s="82">
        <v>93000</v>
      </c>
      <c r="R223" s="41">
        <f>O223-Q223</f>
        <v>0</v>
      </c>
      <c r="S223" s="83"/>
      <c r="T223" s="33" t="s">
        <v>352</v>
      </c>
      <c r="U223" s="57">
        <v>-1000</v>
      </c>
      <c r="V223" s="44">
        <f>U223+O223</f>
        <v>92000</v>
      </c>
      <c r="W223" s="44">
        <f>V223/0.7</f>
        <v>131428.57142857145</v>
      </c>
      <c r="X223" s="45">
        <f>W223/0.875</f>
        <v>150204.08163265308</v>
      </c>
      <c r="Y223" s="46">
        <f>(X223-W223)/X223</f>
        <v>0.12499999999999996</v>
      </c>
      <c r="Z223" s="45">
        <f>(ROUNDUP((X223/100),0))*100</f>
        <v>150300</v>
      </c>
      <c r="AA223" s="227" t="s">
        <v>1780</v>
      </c>
      <c r="AB223" s="228">
        <v>43432</v>
      </c>
      <c r="AC223" s="177"/>
      <c r="AD223" s="177"/>
      <c r="AE223" s="179"/>
      <c r="AF223" s="179"/>
      <c r="AG223" s="179"/>
      <c r="AH223" s="179"/>
      <c r="AI223" s="85"/>
    </row>
    <row r="224" spans="1:35" ht="14.45" customHeight="1" x14ac:dyDescent="0.2">
      <c r="A224" s="47">
        <v>373</v>
      </c>
      <c r="B224" s="48" t="str">
        <f>REPLACE(E224,1,3, )</f>
        <v xml:space="preserve"> 967</v>
      </c>
      <c r="C224" s="70" t="s">
        <v>765</v>
      </c>
      <c r="D224" s="49">
        <f>IF(E224=C224,0,1)</f>
        <v>0</v>
      </c>
      <c r="E224" s="49" t="s">
        <v>765</v>
      </c>
      <c r="F224" s="30" t="str">
        <f>REPLACE(E224,4,4, )</f>
        <v>SLX</v>
      </c>
      <c r="G224" s="49" t="s">
        <v>91</v>
      </c>
      <c r="H224" s="34" t="s">
        <v>722</v>
      </c>
      <c r="I224" s="33" t="s">
        <v>351</v>
      </c>
      <c r="J224" s="80">
        <v>93000</v>
      </c>
      <c r="K224" s="52">
        <f>J224-M224</f>
        <v>6950</v>
      </c>
      <c r="L224" s="49" t="s">
        <v>94</v>
      </c>
      <c r="M224" s="53">
        <f>J224-N224</f>
        <v>86050</v>
      </c>
      <c r="N224" s="53">
        <f>2000+200+600+750+3000+400</f>
        <v>6950</v>
      </c>
      <c r="O224" s="55">
        <f>M224+N224</f>
        <v>93000</v>
      </c>
      <c r="P224" s="47">
        <v>373</v>
      </c>
      <c r="Q224" s="56">
        <v>93000</v>
      </c>
      <c r="R224" s="41">
        <f>O224-Q224</f>
        <v>0</v>
      </c>
      <c r="S224" s="42"/>
      <c r="T224" s="33" t="s">
        <v>352</v>
      </c>
      <c r="U224" s="57"/>
      <c r="V224" s="57">
        <f>U224+O224</f>
        <v>93000</v>
      </c>
      <c r="W224" s="57">
        <f>V224/0.7</f>
        <v>132857.14285714287</v>
      </c>
      <c r="X224" s="58">
        <f>W224/0.875</f>
        <v>151836.73469387757</v>
      </c>
      <c r="Y224" s="59">
        <f>(X224-W224)/X224</f>
        <v>0.12500000000000006</v>
      </c>
      <c r="Z224" s="58">
        <f>(ROUNDUP((X224/100),0))*100</f>
        <v>151900</v>
      </c>
      <c r="AA224" s="178" t="s">
        <v>1780</v>
      </c>
      <c r="AB224" s="224">
        <v>43432</v>
      </c>
      <c r="AC224" s="177"/>
      <c r="AD224" s="177"/>
      <c r="AE224" s="179"/>
      <c r="AF224" s="179"/>
      <c r="AG224" s="179"/>
      <c r="AH224" s="179"/>
      <c r="AI224" s="85"/>
    </row>
    <row r="225" spans="1:35" ht="14.45" customHeight="1" x14ac:dyDescent="0.2">
      <c r="A225" s="47">
        <v>143</v>
      </c>
      <c r="B225" s="48" t="str">
        <f>REPLACE(E225,1,3, )</f>
        <v xml:space="preserve"> 170</v>
      </c>
      <c r="C225" s="70" t="s">
        <v>345</v>
      </c>
      <c r="D225" s="49">
        <f>IF(E225=C225,0,1)</f>
        <v>0</v>
      </c>
      <c r="E225" s="49" t="s">
        <v>345</v>
      </c>
      <c r="F225" s="30" t="str">
        <f>REPLACE(E225,4,4, )</f>
        <v>SMA</v>
      </c>
      <c r="G225" s="33" t="s">
        <v>91</v>
      </c>
      <c r="H225" s="34" t="s">
        <v>342</v>
      </c>
      <c r="I225" s="33" t="s">
        <v>110</v>
      </c>
      <c r="J225" s="51">
        <v>94000</v>
      </c>
      <c r="K225" s="52">
        <f>J225-M225</f>
        <v>4600</v>
      </c>
      <c r="L225" s="49" t="s">
        <v>94</v>
      </c>
      <c r="M225" s="53">
        <f>J225-N225</f>
        <v>89400</v>
      </c>
      <c r="N225" s="53">
        <f>2000+200+600+650+750+400</f>
        <v>4600</v>
      </c>
      <c r="O225" s="55">
        <f>M225+N225</f>
        <v>94000</v>
      </c>
      <c r="P225" s="47">
        <v>143</v>
      </c>
      <c r="Q225" s="56">
        <v>94000</v>
      </c>
      <c r="R225" s="41">
        <f>O225-Q225</f>
        <v>0</v>
      </c>
      <c r="S225" s="67"/>
      <c r="T225" s="33" t="s">
        <v>346</v>
      </c>
      <c r="U225" s="57">
        <v>-1000</v>
      </c>
      <c r="V225" s="57">
        <f>U225+O225</f>
        <v>93000</v>
      </c>
      <c r="W225" s="57">
        <f>V225/0.7</f>
        <v>132857.14285714287</v>
      </c>
      <c r="X225" s="58">
        <f>W225/0.875</f>
        <v>151836.73469387757</v>
      </c>
      <c r="Y225" s="59">
        <f>(X225-W225)/X225</f>
        <v>0.12500000000000006</v>
      </c>
      <c r="Z225" s="58">
        <f>(ROUNDUP((X225/100),0))*100</f>
        <v>151900</v>
      </c>
      <c r="AA225" s="178" t="s">
        <v>1780</v>
      </c>
      <c r="AB225" s="224">
        <v>43428</v>
      </c>
      <c r="AC225" s="177"/>
      <c r="AD225" s="177"/>
      <c r="AE225" s="179"/>
      <c r="AF225" s="179"/>
      <c r="AG225" s="179"/>
      <c r="AH225" s="179"/>
      <c r="AI225" s="85"/>
    </row>
    <row r="226" spans="1:35" ht="14.45" customHeight="1" x14ac:dyDescent="0.2">
      <c r="A226" s="47">
        <v>129</v>
      </c>
      <c r="B226" s="48" t="str">
        <f>REPLACE(E226,1,3, )</f>
        <v xml:space="preserve"> 305</v>
      </c>
      <c r="C226" s="70" t="s">
        <v>324</v>
      </c>
      <c r="D226" s="49">
        <f>IF(E226=C226,0,1)</f>
        <v>0</v>
      </c>
      <c r="E226" s="49" t="s">
        <v>324</v>
      </c>
      <c r="F226" s="30" t="str">
        <f>REPLACE(E226,4,4, )</f>
        <v>SMA</v>
      </c>
      <c r="G226" s="33" t="s">
        <v>91</v>
      </c>
      <c r="H226" s="34" t="s">
        <v>319</v>
      </c>
      <c r="I226" s="33" t="s">
        <v>110</v>
      </c>
      <c r="J226" s="51">
        <v>98000</v>
      </c>
      <c r="K226" s="52">
        <f>J226-M226</f>
        <v>7150</v>
      </c>
      <c r="L226" s="49" t="s">
        <v>94</v>
      </c>
      <c r="M226" s="53">
        <f>J226-N226</f>
        <v>90850</v>
      </c>
      <c r="N226" s="53">
        <f>2000+200+350+600+1000+3000</f>
        <v>7150</v>
      </c>
      <c r="O226" s="55">
        <f>M226+N226</f>
        <v>98000</v>
      </c>
      <c r="P226" s="47">
        <v>129</v>
      </c>
      <c r="Q226" s="56">
        <v>98000</v>
      </c>
      <c r="R226" s="41">
        <f>O226-Q226</f>
        <v>0</v>
      </c>
      <c r="S226" s="67"/>
      <c r="T226" s="33" t="s">
        <v>325</v>
      </c>
      <c r="U226" s="57">
        <v>7000</v>
      </c>
      <c r="V226" s="57">
        <f>U226+O226</f>
        <v>105000</v>
      </c>
      <c r="W226" s="57">
        <f>V226/0.7</f>
        <v>150000</v>
      </c>
      <c r="X226" s="58">
        <f>W226/0.875</f>
        <v>171428.57142857142</v>
      </c>
      <c r="Y226" s="59">
        <f>(X226-W226)/X226</f>
        <v>0.12499999999999996</v>
      </c>
      <c r="Z226" s="58">
        <f>(ROUNDUP((X226/100),0))*100</f>
        <v>171500</v>
      </c>
      <c r="AA226" s="178" t="s">
        <v>1780</v>
      </c>
      <c r="AB226" s="224">
        <v>43432</v>
      </c>
      <c r="AC226" s="177"/>
      <c r="AD226" s="177"/>
      <c r="AE226" s="179"/>
      <c r="AF226" s="179"/>
      <c r="AG226" s="179"/>
      <c r="AH226" s="179"/>
      <c r="AI226" s="85"/>
    </row>
    <row r="227" spans="1:35" ht="14.45" customHeight="1" x14ac:dyDescent="0.2">
      <c r="A227" s="47">
        <v>114</v>
      </c>
      <c r="B227" s="48" t="str">
        <f>REPLACE(E227,1,3, )</f>
        <v xml:space="preserve"> 794</v>
      </c>
      <c r="C227" s="70" t="s">
        <v>295</v>
      </c>
      <c r="D227" s="49">
        <f>IF(E227=C227,0,1)</f>
        <v>0</v>
      </c>
      <c r="E227" s="49" t="s">
        <v>295</v>
      </c>
      <c r="F227" s="30" t="str">
        <f>REPLACE(E227,4,4, )</f>
        <v>SMA</v>
      </c>
      <c r="G227" s="33" t="s">
        <v>91</v>
      </c>
      <c r="H227" s="71" t="s">
        <v>256</v>
      </c>
      <c r="I227" s="33" t="s">
        <v>110</v>
      </c>
      <c r="J227" s="51">
        <v>128000</v>
      </c>
      <c r="K227" s="52">
        <f>J227-M227</f>
        <v>6150</v>
      </c>
      <c r="L227" s="49" t="s">
        <v>94</v>
      </c>
      <c r="M227" s="53">
        <f>J227-N227</f>
        <v>121850</v>
      </c>
      <c r="N227" s="53">
        <f>2000+200+350+600+3000</f>
        <v>6150</v>
      </c>
      <c r="O227" s="55">
        <f>M227+N227</f>
        <v>128000</v>
      </c>
      <c r="P227" s="47">
        <v>114</v>
      </c>
      <c r="Q227" s="56">
        <v>128000</v>
      </c>
      <c r="R227" s="41">
        <f>O227-Q227</f>
        <v>0</v>
      </c>
      <c r="S227" s="67" t="s">
        <v>296</v>
      </c>
      <c r="T227" s="33" t="s">
        <v>297</v>
      </c>
      <c r="U227" s="57"/>
      <c r="V227" s="57">
        <f>U227+O227</f>
        <v>128000</v>
      </c>
      <c r="W227" s="57">
        <f>V227/0.7</f>
        <v>182857.14285714287</v>
      </c>
      <c r="X227" s="58">
        <f>W227/0.875</f>
        <v>208979.5918367347</v>
      </c>
      <c r="Y227" s="59">
        <f>(X227-W227)/X227</f>
        <v>0.12499999999999999</v>
      </c>
      <c r="Z227" s="58">
        <f>(ROUNDUP((X227/100),0))*100</f>
        <v>209000</v>
      </c>
      <c r="AA227" s="178"/>
      <c r="AB227" s="178"/>
      <c r="AC227" s="177"/>
      <c r="AD227" s="177"/>
      <c r="AE227" s="179"/>
      <c r="AF227" s="179"/>
      <c r="AG227" s="179"/>
      <c r="AH227" s="179"/>
      <c r="AI227" s="85"/>
    </row>
    <row r="228" spans="1:35" ht="14.45" customHeight="1" x14ac:dyDescent="0.2">
      <c r="A228" s="47">
        <v>150</v>
      </c>
      <c r="B228" s="48" t="str">
        <f>REPLACE(E228,1,3, )</f>
        <v xml:space="preserve"> 871</v>
      </c>
      <c r="C228" s="84" t="s">
        <v>356</v>
      </c>
      <c r="D228" s="49">
        <f>IF(E228=C228,0,1)</f>
        <v>1</v>
      </c>
      <c r="E228" s="49" t="s">
        <v>1794</v>
      </c>
      <c r="F228" s="30" t="str">
        <f>REPLACE(E228,4,4, )</f>
        <v>SGA</v>
      </c>
      <c r="G228" s="49" t="s">
        <v>91</v>
      </c>
      <c r="H228" s="71" t="s">
        <v>357</v>
      </c>
      <c r="I228" s="33" t="s">
        <v>110</v>
      </c>
      <c r="J228" s="80"/>
      <c r="K228" s="52">
        <f>J228-M228</f>
        <v>0</v>
      </c>
      <c r="L228" s="49"/>
      <c r="M228" s="53">
        <f>J228-N228</f>
        <v>0</v>
      </c>
      <c r="N228" s="53"/>
      <c r="O228" s="55">
        <f>M228+N228</f>
        <v>0</v>
      </c>
      <c r="P228" s="47">
        <v>150</v>
      </c>
      <c r="Q228" s="41"/>
      <c r="R228" s="41"/>
      <c r="S228" s="67"/>
      <c r="T228" s="33"/>
      <c r="U228" s="57"/>
      <c r="V228" s="57">
        <f>U228+O228</f>
        <v>0</v>
      </c>
      <c r="W228" s="57">
        <f>V228/0.7</f>
        <v>0</v>
      </c>
      <c r="X228" s="58">
        <f>W228/0.875</f>
        <v>0</v>
      </c>
      <c r="Y228" s="59" t="e">
        <f>(X228-W228)/X228</f>
        <v>#DIV/0!</v>
      </c>
      <c r="Z228" s="58">
        <f>(ROUNDUP((X228/100),0))*100</f>
        <v>0</v>
      </c>
      <c r="AA228" s="178" t="s">
        <v>1790</v>
      </c>
      <c r="AB228" s="224">
        <v>43446</v>
      </c>
      <c r="AC228" s="177"/>
      <c r="AD228" s="177"/>
      <c r="AE228" s="179"/>
      <c r="AF228" s="179"/>
      <c r="AG228" s="179"/>
      <c r="AH228" s="179"/>
      <c r="AI228" s="85"/>
    </row>
    <row r="229" spans="1:35" ht="14.45" customHeight="1" x14ac:dyDescent="0.2">
      <c r="A229" s="47">
        <v>131</v>
      </c>
      <c r="B229" s="48" t="str">
        <f>REPLACE(E229,1,3, )</f>
        <v xml:space="preserve"> 928</v>
      </c>
      <c r="C229" s="70" t="s">
        <v>328</v>
      </c>
      <c r="D229" s="49">
        <f>IF(E229=C229,0,1)</f>
        <v>0</v>
      </c>
      <c r="E229" s="49" t="s">
        <v>328</v>
      </c>
      <c r="F229" s="30" t="str">
        <f>REPLACE(E229,4,4, )</f>
        <v>SMA</v>
      </c>
      <c r="G229" s="33" t="s">
        <v>91</v>
      </c>
      <c r="H229" s="34" t="s">
        <v>319</v>
      </c>
      <c r="I229" s="33" t="s">
        <v>110</v>
      </c>
      <c r="J229" s="51">
        <v>98000</v>
      </c>
      <c r="K229" s="52">
        <f>J229-M229</f>
        <v>7150</v>
      </c>
      <c r="L229" s="49" t="s">
        <v>94</v>
      </c>
      <c r="M229" s="53">
        <f>J229-N229</f>
        <v>90850</v>
      </c>
      <c r="N229" s="53">
        <f>2000+200+350+600+1000+3000</f>
        <v>7150</v>
      </c>
      <c r="O229" s="55">
        <f>M229+N229</f>
        <v>98000</v>
      </c>
      <c r="P229" s="47">
        <v>131</v>
      </c>
      <c r="Q229" s="56">
        <v>98000</v>
      </c>
      <c r="R229" s="41">
        <f>O229-Q229</f>
        <v>0</v>
      </c>
      <c r="S229" s="67"/>
      <c r="T229" s="33" t="s">
        <v>325</v>
      </c>
      <c r="U229" s="57">
        <v>7000</v>
      </c>
      <c r="V229" s="57">
        <f>U229+O229</f>
        <v>105000</v>
      </c>
      <c r="W229" s="57">
        <f>V229/0.7</f>
        <v>150000</v>
      </c>
      <c r="X229" s="58">
        <f>W229/0.875</f>
        <v>171428.57142857142</v>
      </c>
      <c r="Y229" s="59">
        <f>(X229-W229)/X229</f>
        <v>0.12499999999999996</v>
      </c>
      <c r="Z229" s="58">
        <f>(ROUNDUP((X229/100),0))*100</f>
        <v>171500</v>
      </c>
      <c r="AA229" s="178" t="s">
        <v>1780</v>
      </c>
      <c r="AB229" s="224">
        <v>43432</v>
      </c>
      <c r="AC229" s="177"/>
      <c r="AD229" s="177"/>
      <c r="AE229" s="179"/>
      <c r="AF229" s="179"/>
      <c r="AG229" s="179"/>
      <c r="AH229" s="179"/>
      <c r="AI229" s="85"/>
    </row>
    <row r="230" spans="1:35" s="91" customFormat="1" ht="14.45" customHeight="1" x14ac:dyDescent="0.2">
      <c r="A230" s="47">
        <v>9</v>
      </c>
      <c r="B230" s="48" t="str">
        <f>REPLACE(E230,1,3, )</f>
        <v xml:space="preserve"> 938</v>
      </c>
      <c r="C230" s="32" t="s">
        <v>109</v>
      </c>
      <c r="D230" s="49">
        <f>IF(E230=C230,0,1)</f>
        <v>0</v>
      </c>
      <c r="E230" s="49" t="s">
        <v>109</v>
      </c>
      <c r="F230" s="30" t="str">
        <f>REPLACE(E230,4,4, )</f>
        <v>SMA</v>
      </c>
      <c r="G230" s="33" t="s">
        <v>91</v>
      </c>
      <c r="H230" s="34" t="s">
        <v>92</v>
      </c>
      <c r="I230" s="33" t="s">
        <v>110</v>
      </c>
      <c r="J230" s="51">
        <v>65000</v>
      </c>
      <c r="K230" s="52">
        <f>J230-M230</f>
        <v>3900</v>
      </c>
      <c r="L230" s="49" t="s">
        <v>94</v>
      </c>
      <c r="M230" s="53">
        <f>J230-N230</f>
        <v>61100</v>
      </c>
      <c r="N230" s="53">
        <f>2000+200+350+600+750</f>
        <v>3900</v>
      </c>
      <c r="O230" s="55">
        <f>M230+N230</f>
        <v>65000</v>
      </c>
      <c r="P230" s="47">
        <v>9</v>
      </c>
      <c r="Q230" s="56">
        <v>65000</v>
      </c>
      <c r="R230" s="41">
        <f>O230-Q230</f>
        <v>0</v>
      </c>
      <c r="S230" s="67"/>
      <c r="T230" s="33" t="s">
        <v>111</v>
      </c>
      <c r="U230" s="57">
        <v>1000</v>
      </c>
      <c r="V230" s="57">
        <f>U230+O230</f>
        <v>66000</v>
      </c>
      <c r="W230" s="57">
        <f>V230/0.7</f>
        <v>94285.71428571429</v>
      </c>
      <c r="X230" s="58">
        <f>W230/0.875</f>
        <v>107755.10204081633</v>
      </c>
      <c r="Y230" s="59">
        <f>(X230-W230)/X230</f>
        <v>0.125</v>
      </c>
      <c r="Z230" s="58">
        <f>(ROUNDUP((X230/100),0))*100</f>
        <v>107800</v>
      </c>
      <c r="AA230" s="178" t="s">
        <v>1780</v>
      </c>
      <c r="AB230" s="224">
        <v>43428</v>
      </c>
      <c r="AC230" s="224" t="s">
        <v>1780</v>
      </c>
      <c r="AD230" s="224">
        <v>43444</v>
      </c>
      <c r="AE230" s="179">
        <v>61050</v>
      </c>
      <c r="AF230" s="179" t="s">
        <v>1801</v>
      </c>
      <c r="AG230" s="179">
        <v>3950</v>
      </c>
      <c r="AH230" s="179">
        <v>65000</v>
      </c>
    </row>
    <row r="231" spans="1:35" s="91" customFormat="1" ht="14.45" customHeight="1" x14ac:dyDescent="0.2">
      <c r="A231" s="47">
        <v>249</v>
      </c>
      <c r="B231" s="48" t="str">
        <f>REPLACE(E231,1,3, )</f>
        <v xml:space="preserve"> 187</v>
      </c>
      <c r="C231" s="70" t="s">
        <v>552</v>
      </c>
      <c r="D231" s="49">
        <f>IF(E231=C231,0,1)</f>
        <v>0</v>
      </c>
      <c r="E231" s="49" t="s">
        <v>552</v>
      </c>
      <c r="F231" s="30" t="str">
        <f>REPLACE(E231,4,4, )</f>
        <v>SMB</v>
      </c>
      <c r="G231" s="33" t="s">
        <v>91</v>
      </c>
      <c r="H231" s="71" t="s">
        <v>545</v>
      </c>
      <c r="I231" s="33" t="s">
        <v>553</v>
      </c>
      <c r="J231" s="51">
        <v>40900</v>
      </c>
      <c r="K231" s="52">
        <f>J231-M231</f>
        <v>5900</v>
      </c>
      <c r="L231" s="49" t="s">
        <v>94</v>
      </c>
      <c r="M231" s="53">
        <f>J231-N231</f>
        <v>35000</v>
      </c>
      <c r="N231" s="53">
        <f>2000+300+600+1000+2000</f>
        <v>5900</v>
      </c>
      <c r="O231" s="55">
        <f>M231+N231</f>
        <v>40900</v>
      </c>
      <c r="P231" s="47">
        <v>249</v>
      </c>
      <c r="Q231" s="56">
        <v>40900</v>
      </c>
      <c r="R231" s="41">
        <f>O231-Q231</f>
        <v>0</v>
      </c>
      <c r="S231" s="42"/>
      <c r="T231" s="33" t="s">
        <v>455</v>
      </c>
      <c r="U231" s="57"/>
      <c r="V231" s="57">
        <f>U231+O231</f>
        <v>40900</v>
      </c>
      <c r="W231" s="57">
        <f>V231/0.7</f>
        <v>58428.571428571435</v>
      </c>
      <c r="X231" s="58">
        <f>W231/0.875</f>
        <v>66775.510204081642</v>
      </c>
      <c r="Y231" s="59">
        <f>(X231-W231)/X231</f>
        <v>0.12500000000000003</v>
      </c>
      <c r="Z231" s="58">
        <f>(ROUNDUP((X231/100),0))*100</f>
        <v>66800</v>
      </c>
      <c r="AA231" s="178"/>
      <c r="AB231" s="178"/>
      <c r="AC231" s="177"/>
      <c r="AD231" s="177"/>
      <c r="AE231" s="179"/>
      <c r="AF231" s="179"/>
      <c r="AG231" s="179"/>
      <c r="AH231" s="179"/>
    </row>
    <row r="232" spans="1:35" s="91" customFormat="1" ht="14.45" customHeight="1" x14ac:dyDescent="0.2">
      <c r="A232" s="47">
        <v>450</v>
      </c>
      <c r="B232" s="48" t="str">
        <f>REPLACE(E232,1,3, )</f>
        <v xml:space="preserve"> 251</v>
      </c>
      <c r="C232" s="32" t="s">
        <v>903</v>
      </c>
      <c r="D232" s="49">
        <f>IF(E232=C232,0,1)</f>
        <v>0</v>
      </c>
      <c r="E232" s="49" t="s">
        <v>903</v>
      </c>
      <c r="F232" s="30" t="str">
        <f>REPLACE(E232,4,4, )</f>
        <v>SMB</v>
      </c>
      <c r="G232" s="33" t="s">
        <v>209</v>
      </c>
      <c r="H232" s="34" t="s">
        <v>878</v>
      </c>
      <c r="I232" s="33" t="s">
        <v>553</v>
      </c>
      <c r="J232" s="51">
        <v>26000</v>
      </c>
      <c r="K232" s="52">
        <f>J232-M232</f>
        <v>5100</v>
      </c>
      <c r="L232" s="49" t="s">
        <v>94</v>
      </c>
      <c r="M232" s="53">
        <f>J232-N232</f>
        <v>20900</v>
      </c>
      <c r="N232" s="53">
        <f>2000+200+600+1650+650</f>
        <v>5100</v>
      </c>
      <c r="O232" s="55">
        <f>M232+N232</f>
        <v>26000</v>
      </c>
      <c r="P232" s="47">
        <v>450</v>
      </c>
      <c r="Q232" s="56">
        <v>26000</v>
      </c>
      <c r="R232" s="41">
        <f>O232-Q232</f>
        <v>0</v>
      </c>
      <c r="S232" s="67"/>
      <c r="T232" s="33" t="s">
        <v>901</v>
      </c>
      <c r="U232" s="57"/>
      <c r="V232" s="57">
        <f>U232+O232</f>
        <v>26000</v>
      </c>
      <c r="W232" s="57">
        <f>V232/0.7</f>
        <v>37142.857142857145</v>
      </c>
      <c r="X232" s="58">
        <f>W232/0.875</f>
        <v>42448.979591836738</v>
      </c>
      <c r="Y232" s="59">
        <f>(X232-W232)/X232</f>
        <v>0.12500000000000003</v>
      </c>
      <c r="Z232" s="58">
        <f>(ROUNDUP((X232/100),0))*100</f>
        <v>42500</v>
      </c>
      <c r="AA232" s="178"/>
      <c r="AB232" s="178"/>
      <c r="AC232" s="177"/>
      <c r="AD232" s="177"/>
      <c r="AE232" s="179"/>
      <c r="AF232" s="179"/>
      <c r="AG232" s="179"/>
      <c r="AH232" s="179"/>
    </row>
    <row r="233" spans="1:35" ht="14.45" customHeight="1" x14ac:dyDescent="0.2">
      <c r="A233" s="47">
        <v>448</v>
      </c>
      <c r="B233" s="48" t="str">
        <f>REPLACE(E233,1,3, )</f>
        <v xml:space="preserve"> 611</v>
      </c>
      <c r="C233" s="32" t="s">
        <v>900</v>
      </c>
      <c r="D233" s="49">
        <f>IF(E233=C233,0,1)</f>
        <v>0</v>
      </c>
      <c r="E233" s="48" t="s">
        <v>900</v>
      </c>
      <c r="F233" s="30" t="str">
        <f>REPLACE(E233,4,4, )</f>
        <v>SMB</v>
      </c>
      <c r="G233" s="33" t="s">
        <v>34</v>
      </c>
      <c r="H233" s="34" t="s">
        <v>878</v>
      </c>
      <c r="I233" s="33" t="s">
        <v>553</v>
      </c>
      <c r="J233" s="51">
        <v>25000</v>
      </c>
      <c r="K233" s="52">
        <f>J233-M233</f>
        <v>5100</v>
      </c>
      <c r="L233" s="49" t="s">
        <v>94</v>
      </c>
      <c r="M233" s="53">
        <f>J233-N233</f>
        <v>19900</v>
      </c>
      <c r="N233" s="53">
        <f>2000+200+600+1650+650</f>
        <v>5100</v>
      </c>
      <c r="O233" s="55">
        <f>M233+N233</f>
        <v>25000</v>
      </c>
      <c r="P233" s="47">
        <v>448</v>
      </c>
      <c r="Q233" s="56">
        <v>25000</v>
      </c>
      <c r="R233" s="41">
        <f>O233-Q233</f>
        <v>0</v>
      </c>
      <c r="S233" s="67"/>
      <c r="T233" s="33" t="s">
        <v>901</v>
      </c>
      <c r="U233" s="57">
        <v>7000</v>
      </c>
      <c r="V233" s="57">
        <f>U233+O233</f>
        <v>32000</v>
      </c>
      <c r="W233" s="57">
        <f>V233/0.7</f>
        <v>45714.285714285717</v>
      </c>
      <c r="X233" s="58">
        <f>W233/0.875</f>
        <v>52244.897959183676</v>
      </c>
      <c r="Y233" s="59">
        <f>(X233-W233)/X233</f>
        <v>0.12499999999999999</v>
      </c>
      <c r="Z233" s="58">
        <f>(ROUNDUP((X233/100),0))*100</f>
        <v>52300</v>
      </c>
      <c r="AA233" s="58"/>
      <c r="AB233" s="58"/>
      <c r="AC233" s="180"/>
      <c r="AD233" s="180"/>
      <c r="AE233" s="176"/>
      <c r="AF233" s="176"/>
      <c r="AG233" s="176"/>
      <c r="AH233" s="176"/>
      <c r="AI233" s="85"/>
    </row>
    <row r="234" spans="1:35" ht="14.45" customHeight="1" x14ac:dyDescent="0.2">
      <c r="A234" s="47">
        <v>255</v>
      </c>
      <c r="B234" s="48" t="str">
        <f>REPLACE(E234,1,3, )</f>
        <v xml:space="preserve"> 763</v>
      </c>
      <c r="C234" s="70" t="s">
        <v>563</v>
      </c>
      <c r="D234" s="49">
        <f>IF(E234=C234,0,1)</f>
        <v>0</v>
      </c>
      <c r="E234" s="49" t="s">
        <v>563</v>
      </c>
      <c r="F234" s="30" t="str">
        <f>REPLACE(E234,4,4, )</f>
        <v>SMB</v>
      </c>
      <c r="G234" s="33" t="s">
        <v>91</v>
      </c>
      <c r="H234" s="71" t="s">
        <v>545</v>
      </c>
      <c r="I234" s="33" t="s">
        <v>553</v>
      </c>
      <c r="J234" s="51">
        <v>41900</v>
      </c>
      <c r="K234" s="52">
        <f>J234-M234</f>
        <v>5900</v>
      </c>
      <c r="L234" s="49" t="s">
        <v>94</v>
      </c>
      <c r="M234" s="53">
        <f>J234-N234</f>
        <v>36000</v>
      </c>
      <c r="N234" s="53">
        <f>2000+300+600+1000+2000</f>
        <v>5900</v>
      </c>
      <c r="O234" s="55">
        <f>M234+N234</f>
        <v>41900</v>
      </c>
      <c r="P234" s="47">
        <v>255</v>
      </c>
      <c r="Q234" s="56">
        <v>41900</v>
      </c>
      <c r="R234" s="41">
        <f>O234-Q234</f>
        <v>0</v>
      </c>
      <c r="S234" s="67"/>
      <c r="T234" s="33" t="s">
        <v>455</v>
      </c>
      <c r="U234" s="57"/>
      <c r="V234" s="57">
        <f>U234+O234</f>
        <v>41900</v>
      </c>
      <c r="W234" s="57">
        <f>V234/0.7</f>
        <v>59857.142857142862</v>
      </c>
      <c r="X234" s="58">
        <f>W234/0.875</f>
        <v>68408.163265306124</v>
      </c>
      <c r="Y234" s="59">
        <f>(X234-W234)/X234</f>
        <v>0.12499999999999994</v>
      </c>
      <c r="Z234" s="58">
        <f>(ROUNDUP((X234/100),0))*100</f>
        <v>68500</v>
      </c>
      <c r="AA234" s="178"/>
      <c r="AB234" s="178"/>
      <c r="AC234" s="177"/>
      <c r="AD234" s="177"/>
      <c r="AE234" s="179"/>
      <c r="AF234" s="179"/>
      <c r="AG234" s="179"/>
      <c r="AH234" s="179"/>
      <c r="AI234" s="85"/>
    </row>
    <row r="235" spans="1:35" s="91" customFormat="1" ht="14.45" customHeight="1" x14ac:dyDescent="0.2">
      <c r="A235" s="47">
        <v>109</v>
      </c>
      <c r="B235" s="48" t="str">
        <f>REPLACE(E235,1,3, )</f>
        <v xml:space="preserve"> 102</v>
      </c>
      <c r="C235" s="70" t="s">
        <v>283</v>
      </c>
      <c r="D235" s="49">
        <f>IF(E235=C235,0,1)</f>
        <v>0</v>
      </c>
      <c r="E235" s="49" t="s">
        <v>283</v>
      </c>
      <c r="F235" s="30" t="str">
        <f>REPLACE(E235,4,4, )</f>
        <v>SMD</v>
      </c>
      <c r="G235" s="33" t="s">
        <v>91</v>
      </c>
      <c r="H235" s="71" t="s">
        <v>261</v>
      </c>
      <c r="I235" s="33" t="s">
        <v>262</v>
      </c>
      <c r="J235" s="51">
        <f>M235</f>
        <v>81000</v>
      </c>
      <c r="K235" s="52">
        <f>J235-M235</f>
        <v>0</v>
      </c>
      <c r="L235" s="60" t="s">
        <v>97</v>
      </c>
      <c r="M235" s="62">
        <v>81000</v>
      </c>
      <c r="N235" s="53">
        <f>2000+200+350+600+300+800</f>
        <v>4250</v>
      </c>
      <c r="O235" s="55">
        <f>M235+N235</f>
        <v>85250</v>
      </c>
      <c r="P235" s="47">
        <v>109</v>
      </c>
      <c r="Q235" s="56">
        <v>85200</v>
      </c>
      <c r="R235" s="41">
        <f>O235-Q235</f>
        <v>50</v>
      </c>
      <c r="S235" s="67"/>
      <c r="T235" s="33" t="s">
        <v>284</v>
      </c>
      <c r="U235" s="57">
        <v>1000</v>
      </c>
      <c r="V235" s="57">
        <f>U235+O235</f>
        <v>86250</v>
      </c>
      <c r="W235" s="57">
        <f>V235/0.7</f>
        <v>123214.28571428572</v>
      </c>
      <c r="X235" s="58">
        <f>W235/0.875</f>
        <v>140816.32653061225</v>
      </c>
      <c r="Y235" s="59">
        <f>(X235-W235)/X235</f>
        <v>0.12499999999999994</v>
      </c>
      <c r="Z235" s="58">
        <f>(ROUNDUP((X235/100),0))*100</f>
        <v>140900</v>
      </c>
      <c r="AA235" s="178" t="s">
        <v>1780</v>
      </c>
      <c r="AB235" s="224">
        <v>43428</v>
      </c>
      <c r="AC235" s="177"/>
      <c r="AD235" s="177"/>
      <c r="AE235" s="179"/>
      <c r="AF235" s="179"/>
      <c r="AG235" s="179"/>
      <c r="AH235" s="179"/>
    </row>
    <row r="236" spans="1:35" ht="14.45" customHeight="1" x14ac:dyDescent="0.2">
      <c r="A236" s="47">
        <v>134</v>
      </c>
      <c r="B236" s="48" t="str">
        <f>REPLACE(E236,1,3, )</f>
        <v xml:space="preserve"> 142</v>
      </c>
      <c r="C236" s="70" t="s">
        <v>332</v>
      </c>
      <c r="D236" s="49">
        <f>IF(E236=C236,0,1)</f>
        <v>0</v>
      </c>
      <c r="E236" s="48" t="s">
        <v>332</v>
      </c>
      <c r="F236" s="30" t="str">
        <f>REPLACE(E236,4,4, )</f>
        <v>SMD</v>
      </c>
      <c r="G236" s="33" t="s">
        <v>34</v>
      </c>
      <c r="H236" s="71" t="s">
        <v>261</v>
      </c>
      <c r="I236" s="33" t="s">
        <v>262</v>
      </c>
      <c r="J236" s="51">
        <f>M236</f>
        <v>90000</v>
      </c>
      <c r="K236" s="52">
        <f>J236-M236</f>
        <v>0</v>
      </c>
      <c r="L236" s="60" t="s">
        <v>97</v>
      </c>
      <c r="M236" s="61">
        <v>90000</v>
      </c>
      <c r="N236" s="54">
        <f>2000+200+350+600+800+3000</f>
        <v>6950</v>
      </c>
      <c r="O236" s="55">
        <f>M236+N236</f>
        <v>96950</v>
      </c>
      <c r="P236" s="47">
        <v>134</v>
      </c>
      <c r="Q236" s="56">
        <v>96950</v>
      </c>
      <c r="R236" s="41">
        <f>O236-Q236</f>
        <v>0</v>
      </c>
      <c r="S236" s="67"/>
      <c r="T236" s="33"/>
      <c r="U236" s="57">
        <v>1000</v>
      </c>
      <c r="V236" s="57">
        <f>U236+O236</f>
        <v>97950</v>
      </c>
      <c r="W236" s="57">
        <f>V236/0.7</f>
        <v>139928.57142857145</v>
      </c>
      <c r="X236" s="58">
        <f>W236/0.875</f>
        <v>159918.36734693879</v>
      </c>
      <c r="Y236" s="59">
        <f>(X236-W236)/X236</f>
        <v>0.12499999999999993</v>
      </c>
      <c r="Z236" s="58">
        <f>(ROUNDUP((X236/100),0))*100</f>
        <v>160000</v>
      </c>
      <c r="AA236" s="58"/>
      <c r="AB236" s="58"/>
      <c r="AC236" s="180"/>
      <c r="AD236" s="180"/>
      <c r="AE236" s="176"/>
      <c r="AF236" s="176"/>
      <c r="AG236" s="176"/>
      <c r="AH236" s="176"/>
      <c r="AI236" s="85"/>
    </row>
    <row r="237" spans="1:35" ht="14.45" customHeight="1" x14ac:dyDescent="0.2">
      <c r="A237" s="47">
        <v>99</v>
      </c>
      <c r="B237" s="48" t="str">
        <f>REPLACE(E237,1,3, )</f>
        <v xml:space="preserve"> 153</v>
      </c>
      <c r="C237" s="70" t="s">
        <v>260</v>
      </c>
      <c r="D237" s="49">
        <f>IF(E237=C237,0,1)</f>
        <v>0</v>
      </c>
      <c r="E237" s="48" t="s">
        <v>260</v>
      </c>
      <c r="F237" s="30" t="str">
        <f>REPLACE(E237,4,4, )</f>
        <v>SMD</v>
      </c>
      <c r="G237" s="33" t="s">
        <v>34</v>
      </c>
      <c r="H237" s="71" t="s">
        <v>261</v>
      </c>
      <c r="I237" s="33" t="s">
        <v>262</v>
      </c>
      <c r="J237" s="51">
        <f>M237</f>
        <v>81500</v>
      </c>
      <c r="K237" s="52">
        <f>J237-M237</f>
        <v>0</v>
      </c>
      <c r="L237" s="60" t="s">
        <v>97</v>
      </c>
      <c r="M237" s="61">
        <v>81500</v>
      </c>
      <c r="N237" s="54">
        <f>2000+200+300+800+500+2850</f>
        <v>6650</v>
      </c>
      <c r="O237" s="55">
        <f>M237+N237</f>
        <v>88150</v>
      </c>
      <c r="P237" s="47">
        <v>99</v>
      </c>
      <c r="Q237" s="56">
        <v>88150</v>
      </c>
      <c r="R237" s="41">
        <f>O237-Q237</f>
        <v>0</v>
      </c>
      <c r="S237" s="67"/>
      <c r="T237" s="33" t="s">
        <v>263</v>
      </c>
      <c r="U237" s="57"/>
      <c r="V237" s="57">
        <f>U237+O237</f>
        <v>88150</v>
      </c>
      <c r="W237" s="57">
        <f>V237/0.7</f>
        <v>125928.57142857143</v>
      </c>
      <c r="X237" s="58">
        <f>W237/0.875</f>
        <v>143918.36734693879</v>
      </c>
      <c r="Y237" s="59">
        <f>(X237-W237)/X237</f>
        <v>0.12500000000000003</v>
      </c>
      <c r="Z237" s="58">
        <f>(ROUNDUP((X237/100),0))*100</f>
        <v>144000</v>
      </c>
      <c r="AA237" s="58"/>
      <c r="AB237" s="58"/>
      <c r="AC237" s="180"/>
      <c r="AD237" s="180"/>
      <c r="AE237" s="176"/>
      <c r="AF237" s="176"/>
      <c r="AG237" s="176"/>
      <c r="AH237" s="176"/>
      <c r="AI237" s="85"/>
    </row>
    <row r="238" spans="1:35" ht="14.45" customHeight="1" x14ac:dyDescent="0.2">
      <c r="A238" s="47">
        <v>123</v>
      </c>
      <c r="B238" s="48" t="str">
        <f>REPLACE(E238,1,3, )</f>
        <v xml:space="preserve"> 168</v>
      </c>
      <c r="C238" s="70" t="s">
        <v>309</v>
      </c>
      <c r="D238" s="49">
        <f>IF(E238=C238,0,1)</f>
        <v>0</v>
      </c>
      <c r="E238" s="49" t="s">
        <v>309</v>
      </c>
      <c r="F238" s="30" t="str">
        <f>REPLACE(E238,4,4, )</f>
        <v>SMD</v>
      </c>
      <c r="G238" s="33" t="s">
        <v>91</v>
      </c>
      <c r="H238" s="71" t="s">
        <v>261</v>
      </c>
      <c r="I238" s="33" t="s">
        <v>262</v>
      </c>
      <c r="J238" s="51">
        <f>M238</f>
        <v>81000</v>
      </c>
      <c r="K238" s="52">
        <f>J238-M238</f>
        <v>0</v>
      </c>
      <c r="L238" s="60" t="s">
        <v>97</v>
      </c>
      <c r="M238" s="62">
        <v>81000</v>
      </c>
      <c r="N238" s="53">
        <f>2000+200+350+600+300+800</f>
        <v>4250</v>
      </c>
      <c r="O238" s="55">
        <f>M238+N238</f>
        <v>85250</v>
      </c>
      <c r="P238" s="47">
        <v>123</v>
      </c>
      <c r="Q238" s="56">
        <v>85200</v>
      </c>
      <c r="R238" s="41">
        <f>O238-Q238</f>
        <v>50</v>
      </c>
      <c r="S238" s="67"/>
      <c r="T238" s="33" t="s">
        <v>307</v>
      </c>
      <c r="U238" s="57">
        <v>1000</v>
      </c>
      <c r="V238" s="57">
        <f>U238+O238</f>
        <v>86250</v>
      </c>
      <c r="W238" s="57">
        <f>V238/0.7</f>
        <v>123214.28571428572</v>
      </c>
      <c r="X238" s="58">
        <f>W238/0.875</f>
        <v>140816.32653061225</v>
      </c>
      <c r="Y238" s="59">
        <f>(X238-W238)/X238</f>
        <v>0.12499999999999994</v>
      </c>
      <c r="Z238" s="58">
        <f>(ROUNDUP((X238/100),0))*100</f>
        <v>140900</v>
      </c>
      <c r="AA238" s="178"/>
      <c r="AB238" s="178"/>
      <c r="AC238" s="177"/>
      <c r="AD238" s="177"/>
      <c r="AE238" s="179"/>
      <c r="AF238" s="179"/>
      <c r="AG238" s="179"/>
      <c r="AH238" s="179"/>
      <c r="AI238" s="85"/>
    </row>
    <row r="239" spans="1:35" s="91" customFormat="1" ht="14.45" customHeight="1" x14ac:dyDescent="0.2">
      <c r="A239" s="47">
        <v>299</v>
      </c>
      <c r="B239" s="48" t="str">
        <f>REPLACE(E239,1,3, )</f>
        <v xml:space="preserve"> 222</v>
      </c>
      <c r="C239" s="70" t="s">
        <v>629</v>
      </c>
      <c r="D239" s="49">
        <f>IF(E239=C239,0,1)</f>
        <v>0</v>
      </c>
      <c r="E239" s="48" t="s">
        <v>629</v>
      </c>
      <c r="F239" s="30" t="str">
        <f>REPLACE(E239,4,4, )</f>
        <v>SMD</v>
      </c>
      <c r="G239" s="33" t="s">
        <v>34</v>
      </c>
      <c r="H239" s="71" t="s">
        <v>612</v>
      </c>
      <c r="I239" s="33" t="s">
        <v>262</v>
      </c>
      <c r="J239" s="51">
        <f>M239</f>
        <v>69000</v>
      </c>
      <c r="K239" s="52">
        <f>J239-M239</f>
        <v>0</v>
      </c>
      <c r="L239" s="60" t="s">
        <v>97</v>
      </c>
      <c r="M239" s="61">
        <v>69000</v>
      </c>
      <c r="N239" s="54">
        <f>2000+200+300+500+800</f>
        <v>3800</v>
      </c>
      <c r="O239" s="55">
        <f>M239+N239</f>
        <v>72800</v>
      </c>
      <c r="P239" s="47">
        <v>299</v>
      </c>
      <c r="Q239" s="56">
        <v>72650</v>
      </c>
      <c r="R239" s="41">
        <f>O239-Q239</f>
        <v>150</v>
      </c>
      <c r="S239" s="67"/>
      <c r="T239" s="33" t="s">
        <v>630</v>
      </c>
      <c r="U239" s="57">
        <v>3000</v>
      </c>
      <c r="V239" s="57">
        <f>U239+O239</f>
        <v>75800</v>
      </c>
      <c r="W239" s="57">
        <f>V239/0.7</f>
        <v>108285.71428571429</v>
      </c>
      <c r="X239" s="58">
        <f>W239/0.875</f>
        <v>123755.10204081633</v>
      </c>
      <c r="Y239" s="59">
        <f>(X239-W239)/X239</f>
        <v>0.125</v>
      </c>
      <c r="Z239" s="58">
        <f>(ROUNDUP((X239/100),0))*100</f>
        <v>123800</v>
      </c>
      <c r="AA239" s="58"/>
      <c r="AB239" s="58"/>
      <c r="AC239" s="180"/>
      <c r="AD239" s="180"/>
      <c r="AE239" s="176"/>
      <c r="AF239" s="176"/>
      <c r="AG239" s="176"/>
      <c r="AH239" s="176"/>
    </row>
    <row r="240" spans="1:35" ht="14.45" customHeight="1" x14ac:dyDescent="0.2">
      <c r="A240" s="47">
        <v>118</v>
      </c>
      <c r="B240" s="48" t="str">
        <f>REPLACE(E240,1,3, )</f>
        <v xml:space="preserve"> 265</v>
      </c>
      <c r="C240" s="70" t="s">
        <v>303</v>
      </c>
      <c r="D240" s="49">
        <f>IF(E240=C240,0,1)</f>
        <v>0</v>
      </c>
      <c r="E240" s="48" t="s">
        <v>303</v>
      </c>
      <c r="F240" s="30" t="str">
        <f>REPLACE(E240,4,4, )</f>
        <v>SMD</v>
      </c>
      <c r="G240" s="33" t="s">
        <v>34</v>
      </c>
      <c r="H240" s="71" t="s">
        <v>261</v>
      </c>
      <c r="I240" s="33" t="s">
        <v>262</v>
      </c>
      <c r="J240" s="51">
        <f>M240</f>
        <v>81500</v>
      </c>
      <c r="K240" s="52">
        <f>J240-M240</f>
        <v>0</v>
      </c>
      <c r="L240" s="60" t="s">
        <v>97</v>
      </c>
      <c r="M240" s="61">
        <v>81500</v>
      </c>
      <c r="N240" s="54">
        <f>2000+200+300+800+500+2850</f>
        <v>6650</v>
      </c>
      <c r="O240" s="55">
        <f>M240+N240</f>
        <v>88150</v>
      </c>
      <c r="P240" s="47">
        <v>118</v>
      </c>
      <c r="Q240" s="56">
        <v>88150</v>
      </c>
      <c r="R240" s="41">
        <f>O240-Q240</f>
        <v>0</v>
      </c>
      <c r="S240" s="67"/>
      <c r="T240" s="33" t="s">
        <v>263</v>
      </c>
      <c r="U240" s="57"/>
      <c r="V240" s="57">
        <f>U240+O240</f>
        <v>88150</v>
      </c>
      <c r="W240" s="57">
        <f>V240/0.7</f>
        <v>125928.57142857143</v>
      </c>
      <c r="X240" s="58">
        <f>W240/0.875</f>
        <v>143918.36734693879</v>
      </c>
      <c r="Y240" s="59">
        <f>(X240-W240)/X240</f>
        <v>0.12500000000000003</v>
      </c>
      <c r="Z240" s="58">
        <f>(ROUNDUP((X240/100),0))*100</f>
        <v>144000</v>
      </c>
      <c r="AA240" s="58"/>
      <c r="AB240" s="58"/>
      <c r="AC240" s="180"/>
      <c r="AD240" s="180"/>
      <c r="AE240" s="176"/>
      <c r="AF240" s="176"/>
      <c r="AG240" s="176"/>
      <c r="AH240" s="176"/>
      <c r="AI240" s="85"/>
    </row>
    <row r="241" spans="1:35" s="91" customFormat="1" ht="14.45" customHeight="1" x14ac:dyDescent="0.2">
      <c r="A241" s="47">
        <v>104</v>
      </c>
      <c r="B241" s="48" t="str">
        <f>REPLACE(E241,1,3, )</f>
        <v xml:space="preserve"> 275</v>
      </c>
      <c r="C241" s="70" t="s">
        <v>271</v>
      </c>
      <c r="D241" s="49">
        <f>IF(E241=C241,0,1)</f>
        <v>0</v>
      </c>
      <c r="E241" s="49" t="s">
        <v>271</v>
      </c>
      <c r="F241" s="30" t="str">
        <f>REPLACE(E241,4,4, )</f>
        <v>SMD</v>
      </c>
      <c r="G241" s="33" t="s">
        <v>91</v>
      </c>
      <c r="H241" s="71" t="s">
        <v>265</v>
      </c>
      <c r="I241" s="33" t="s">
        <v>262</v>
      </c>
      <c r="J241" s="51">
        <f>M241</f>
        <v>104000</v>
      </c>
      <c r="K241" s="52">
        <f>J241-M241</f>
        <v>0</v>
      </c>
      <c r="L241" s="60" t="s">
        <v>97</v>
      </c>
      <c r="M241" s="62">
        <v>104000</v>
      </c>
      <c r="N241" s="53">
        <f>2000+200+300+800+500+3000</f>
        <v>6800</v>
      </c>
      <c r="O241" s="55">
        <f>M241+N241</f>
        <v>110800</v>
      </c>
      <c r="P241" s="47">
        <v>104</v>
      </c>
      <c r="Q241" s="41"/>
      <c r="R241" s="41">
        <f>O241-Q241</f>
        <v>110800</v>
      </c>
      <c r="S241" s="67"/>
      <c r="T241" s="33"/>
      <c r="U241" s="57">
        <v>-2000</v>
      </c>
      <c r="V241" s="57">
        <f>U241+O241</f>
        <v>108800</v>
      </c>
      <c r="W241" s="57">
        <f>V241/0.7</f>
        <v>155428.57142857145</v>
      </c>
      <c r="X241" s="58">
        <f>W241/0.875</f>
        <v>177632.65306122453</v>
      </c>
      <c r="Y241" s="59">
        <f>(X241-W241)/X241</f>
        <v>0.12500000000000006</v>
      </c>
      <c r="Z241" s="58">
        <f>(ROUNDUP((X241/100),0))*100</f>
        <v>177700</v>
      </c>
      <c r="AA241" s="178"/>
      <c r="AB241" s="178"/>
      <c r="AC241" s="177"/>
      <c r="AD241" s="177"/>
      <c r="AE241" s="179"/>
      <c r="AF241" s="179"/>
      <c r="AG241" s="179"/>
      <c r="AH241" s="179"/>
    </row>
    <row r="242" spans="1:35" s="91" customFormat="1" ht="14.45" customHeight="1" x14ac:dyDescent="0.2">
      <c r="A242" s="47">
        <v>121</v>
      </c>
      <c r="B242" s="48" t="str">
        <f>REPLACE(E242,1,3, )</f>
        <v xml:space="preserve"> 343</v>
      </c>
      <c r="C242" s="70" t="s">
        <v>306</v>
      </c>
      <c r="D242" s="49">
        <f>IF(E242=C242,0,1)</f>
        <v>0</v>
      </c>
      <c r="E242" s="49" t="s">
        <v>306</v>
      </c>
      <c r="F242" s="30" t="str">
        <f>REPLACE(E242,4,4, )</f>
        <v>SMD</v>
      </c>
      <c r="G242" s="33" t="s">
        <v>91</v>
      </c>
      <c r="H242" s="71" t="s">
        <v>265</v>
      </c>
      <c r="I242" s="33" t="s">
        <v>262</v>
      </c>
      <c r="J242" s="51">
        <f>M242</f>
        <v>87500</v>
      </c>
      <c r="K242" s="52">
        <f>J242-M242</f>
        <v>0</v>
      </c>
      <c r="L242" s="60" t="s">
        <v>97</v>
      </c>
      <c r="M242" s="62">
        <v>87500</v>
      </c>
      <c r="N242" s="53">
        <f>2000+200+350+600+300+800</f>
        <v>4250</v>
      </c>
      <c r="O242" s="55">
        <f>M242+N242</f>
        <v>91750</v>
      </c>
      <c r="P242" s="47">
        <v>121</v>
      </c>
      <c r="Q242" s="56">
        <v>91750</v>
      </c>
      <c r="R242" s="41">
        <f>O242-Q242</f>
        <v>0</v>
      </c>
      <c r="S242" s="67" t="s">
        <v>276</v>
      </c>
      <c r="T242" s="33" t="s">
        <v>307</v>
      </c>
      <c r="U242" s="57">
        <v>-2000</v>
      </c>
      <c r="V242" s="57">
        <f>U242+O242</f>
        <v>89750</v>
      </c>
      <c r="W242" s="57">
        <f>V242/0.7</f>
        <v>128214.28571428572</v>
      </c>
      <c r="X242" s="58">
        <f>W242/0.875</f>
        <v>146530.61224489796</v>
      </c>
      <c r="Y242" s="59">
        <f>(X242-W242)/X242</f>
        <v>0.12499999999999993</v>
      </c>
      <c r="Z242" s="58">
        <f>(ROUNDUP((X242/100),0))*100</f>
        <v>146600</v>
      </c>
      <c r="AA242" s="178"/>
      <c r="AB242" s="178"/>
      <c r="AC242" s="177"/>
      <c r="AD242" s="177"/>
      <c r="AE242" s="179"/>
      <c r="AF242" s="179"/>
      <c r="AG242" s="179"/>
      <c r="AH242" s="179"/>
    </row>
    <row r="243" spans="1:35" ht="14.45" customHeight="1" x14ac:dyDescent="0.2">
      <c r="A243" s="47">
        <v>497</v>
      </c>
      <c r="B243" s="48" t="str">
        <f>REPLACE(E243,1,3, )</f>
        <v xml:space="preserve"> 346</v>
      </c>
      <c r="C243" s="32" t="s">
        <v>987</v>
      </c>
      <c r="D243" s="49">
        <f>IF(E243=C243,0,1)</f>
        <v>0</v>
      </c>
      <c r="E243" s="49" t="s">
        <v>987</v>
      </c>
      <c r="F243" s="30" t="str">
        <f>REPLACE(E243,4,4, )</f>
        <v>SMD</v>
      </c>
      <c r="G243" s="33" t="s">
        <v>91</v>
      </c>
      <c r="H243" s="71" t="s">
        <v>988</v>
      </c>
      <c r="I243" s="33" t="s">
        <v>262</v>
      </c>
      <c r="J243" s="51">
        <f>M243</f>
        <v>79000</v>
      </c>
      <c r="K243" s="52">
        <f>J243-M243</f>
        <v>0</v>
      </c>
      <c r="L243" s="60" t="s">
        <v>97</v>
      </c>
      <c r="M243" s="62">
        <v>79000</v>
      </c>
      <c r="N243" s="53">
        <f>2000+200+350+600+300+800</f>
        <v>4250</v>
      </c>
      <c r="O243" s="55">
        <f>M243+N243</f>
        <v>83250</v>
      </c>
      <c r="P243" s="47">
        <v>497</v>
      </c>
      <c r="Q243" s="41">
        <v>83200</v>
      </c>
      <c r="R243" s="41">
        <f>O243-Q243</f>
        <v>50</v>
      </c>
      <c r="S243" s="67"/>
      <c r="T243" s="33" t="s">
        <v>989</v>
      </c>
      <c r="U243" s="57"/>
      <c r="V243" s="57">
        <f>U243+O243</f>
        <v>83250</v>
      </c>
      <c r="W243" s="57">
        <f>V243/0.7</f>
        <v>118928.57142857143</v>
      </c>
      <c r="X243" s="58">
        <f>W243/0.875</f>
        <v>135918.36734693879</v>
      </c>
      <c r="Y243" s="59">
        <f>(X243-W243)/X243</f>
        <v>0.12500000000000003</v>
      </c>
      <c r="Z243" s="58">
        <f>(ROUNDUP((X243/100),0))*100</f>
        <v>136000</v>
      </c>
      <c r="AA243" s="178" t="s">
        <v>1780</v>
      </c>
      <c r="AB243" s="224">
        <v>43428</v>
      </c>
      <c r="AC243" s="177"/>
      <c r="AD243" s="177"/>
      <c r="AE243" s="179"/>
      <c r="AF243" s="179"/>
      <c r="AG243" s="179"/>
      <c r="AH243" s="179"/>
      <c r="AI243" s="85"/>
    </row>
    <row r="244" spans="1:35" ht="14.45" customHeight="1" x14ac:dyDescent="0.2">
      <c r="A244" s="47">
        <v>113</v>
      </c>
      <c r="B244" s="48" t="str">
        <f>REPLACE(E244,1,3, )</f>
        <v xml:space="preserve"> 359</v>
      </c>
      <c r="C244" s="70" t="s">
        <v>294</v>
      </c>
      <c r="D244" s="49">
        <f>IF(E244=C244,0,1)</f>
        <v>0</v>
      </c>
      <c r="E244" s="49" t="s">
        <v>294</v>
      </c>
      <c r="F244" s="30" t="str">
        <f>REPLACE(E244,4,4, )</f>
        <v>SMD</v>
      </c>
      <c r="G244" s="33" t="s">
        <v>91</v>
      </c>
      <c r="H244" s="71" t="s">
        <v>282</v>
      </c>
      <c r="I244" s="33" t="s">
        <v>262</v>
      </c>
      <c r="J244" s="51">
        <f>M244</f>
        <v>87000</v>
      </c>
      <c r="K244" s="52">
        <f>J244-M244</f>
        <v>0</v>
      </c>
      <c r="L244" s="60" t="s">
        <v>97</v>
      </c>
      <c r="M244" s="62">
        <v>87000</v>
      </c>
      <c r="N244" s="53">
        <f>2000+200+350+600+800</f>
        <v>3950</v>
      </c>
      <c r="O244" s="55">
        <f>M244+N244</f>
        <v>90950</v>
      </c>
      <c r="P244" s="47">
        <v>113</v>
      </c>
      <c r="Q244" s="56">
        <v>90950</v>
      </c>
      <c r="R244" s="41">
        <f>O244-Q244</f>
        <v>0</v>
      </c>
      <c r="S244" s="67"/>
      <c r="T244" s="33" t="s">
        <v>166</v>
      </c>
      <c r="U244" s="57"/>
      <c r="V244" s="57">
        <f>U244+O244</f>
        <v>90950</v>
      </c>
      <c r="W244" s="57">
        <f>V244/0.7</f>
        <v>129928.57142857143</v>
      </c>
      <c r="X244" s="58">
        <f>W244/0.875</f>
        <v>148489.79591836737</v>
      </c>
      <c r="Y244" s="59">
        <f>(X244-W244)/X244</f>
        <v>0.12500000000000008</v>
      </c>
      <c r="Z244" s="58">
        <f>(ROUNDUP((X244/100),0))*100</f>
        <v>148500</v>
      </c>
      <c r="AA244" s="178"/>
      <c r="AB244" s="178"/>
      <c r="AC244" s="177"/>
      <c r="AD244" s="177"/>
      <c r="AE244" s="179"/>
      <c r="AF244" s="179"/>
      <c r="AG244" s="179"/>
      <c r="AH244" s="179"/>
      <c r="AI244" s="85"/>
    </row>
    <row r="245" spans="1:35" ht="14.45" customHeight="1" x14ac:dyDescent="0.2">
      <c r="A245" s="47">
        <v>309</v>
      </c>
      <c r="B245" s="48" t="str">
        <f>REPLACE(E245,1,3, )</f>
        <v xml:space="preserve"> 364</v>
      </c>
      <c r="C245" s="70" t="s">
        <v>647</v>
      </c>
      <c r="D245" s="49">
        <f>IF(E245=C245,0,1)</f>
        <v>0</v>
      </c>
      <c r="E245" s="49" t="s">
        <v>647</v>
      </c>
      <c r="F245" s="30" t="str">
        <f>REPLACE(E245,4,4, )</f>
        <v>SMD</v>
      </c>
      <c r="G245" s="33" t="s">
        <v>91</v>
      </c>
      <c r="H245" s="71" t="s">
        <v>644</v>
      </c>
      <c r="I245" s="33" t="s">
        <v>262</v>
      </c>
      <c r="J245" s="51">
        <f>M245</f>
        <v>88500</v>
      </c>
      <c r="K245" s="52">
        <f>J245-M245</f>
        <v>0</v>
      </c>
      <c r="L245" s="60" t="s">
        <v>97</v>
      </c>
      <c r="M245" s="62">
        <v>88500</v>
      </c>
      <c r="N245" s="53">
        <f>2000+200+350+600+3000</f>
        <v>6150</v>
      </c>
      <c r="O245" s="55">
        <f>M245+N245</f>
        <v>94650</v>
      </c>
      <c r="P245" s="47">
        <v>309</v>
      </c>
      <c r="Q245" s="56">
        <v>94650</v>
      </c>
      <c r="R245" s="41">
        <f>O245-Q245</f>
        <v>0</v>
      </c>
      <c r="S245" s="67"/>
      <c r="T245" s="33" t="s">
        <v>648</v>
      </c>
      <c r="U245" s="57">
        <v>-1000</v>
      </c>
      <c r="V245" s="57">
        <f>U245+O245</f>
        <v>93650</v>
      </c>
      <c r="W245" s="57">
        <f>V245/0.7</f>
        <v>133785.71428571429</v>
      </c>
      <c r="X245" s="58">
        <f>W245/0.875</f>
        <v>152897.95918367346</v>
      </c>
      <c r="Y245" s="59">
        <f>(X245-W245)/X245</f>
        <v>0.12499999999999993</v>
      </c>
      <c r="Z245" s="58">
        <f>(ROUNDUP((X245/100),0))*100</f>
        <v>152900</v>
      </c>
      <c r="AA245" s="178"/>
      <c r="AB245" s="178"/>
      <c r="AC245" s="177"/>
      <c r="AD245" s="177"/>
      <c r="AE245" s="179"/>
      <c r="AF245" s="179"/>
      <c r="AG245" s="179"/>
      <c r="AH245" s="179"/>
      <c r="AI245" s="85"/>
    </row>
    <row r="246" spans="1:35" ht="14.45" customHeight="1" x14ac:dyDescent="0.2">
      <c r="A246" s="47">
        <v>105</v>
      </c>
      <c r="B246" s="48" t="str">
        <f>REPLACE(E246,1,3, )</f>
        <v xml:space="preserve"> 373</v>
      </c>
      <c r="C246" s="70" t="s">
        <v>272</v>
      </c>
      <c r="D246" s="49">
        <f>IF(E246=C246,0,1)</f>
        <v>0</v>
      </c>
      <c r="E246" s="48" t="s">
        <v>272</v>
      </c>
      <c r="F246" s="30" t="str">
        <f>REPLACE(E246,4,4, )</f>
        <v>SMD</v>
      </c>
      <c r="G246" s="33" t="s">
        <v>34</v>
      </c>
      <c r="H246" s="71" t="s">
        <v>256</v>
      </c>
      <c r="I246" s="33" t="s">
        <v>262</v>
      </c>
      <c r="J246" s="51">
        <f>M246</f>
        <v>87000</v>
      </c>
      <c r="K246" s="52">
        <f>J246-M246</f>
        <v>0</v>
      </c>
      <c r="L246" s="60" t="s">
        <v>97</v>
      </c>
      <c r="M246" s="61">
        <v>87000</v>
      </c>
      <c r="N246" s="54">
        <f>2000+400+1000+800+2850</f>
        <v>7050</v>
      </c>
      <c r="O246" s="55">
        <f>M246+N246</f>
        <v>94050</v>
      </c>
      <c r="P246" s="47">
        <v>105</v>
      </c>
      <c r="Q246" s="56">
        <v>94050</v>
      </c>
      <c r="R246" s="41">
        <f>O246-Q246</f>
        <v>0</v>
      </c>
      <c r="S246" s="67"/>
      <c r="T246" s="33" t="s">
        <v>273</v>
      </c>
      <c r="U246" s="57">
        <v>-2500</v>
      </c>
      <c r="V246" s="57">
        <f>U246+O246</f>
        <v>91550</v>
      </c>
      <c r="W246" s="57">
        <f>V246/0.7</f>
        <v>130785.71428571429</v>
      </c>
      <c r="X246" s="58">
        <f>W246/0.875</f>
        <v>149469.38775510204</v>
      </c>
      <c r="Y246" s="59">
        <f>(X246-W246)/X246</f>
        <v>0.12499999999999997</v>
      </c>
      <c r="Z246" s="58">
        <f>(ROUNDUP((X246/100),0))*100</f>
        <v>149500</v>
      </c>
      <c r="AA246" s="58"/>
      <c r="AB246" s="58"/>
      <c r="AC246" s="180"/>
      <c r="AD246" s="180"/>
      <c r="AE246" s="176"/>
      <c r="AF246" s="176"/>
      <c r="AG246" s="176"/>
      <c r="AH246" s="176"/>
      <c r="AI246" s="85"/>
    </row>
    <row r="247" spans="1:35" s="91" customFormat="1" ht="14.45" customHeight="1" x14ac:dyDescent="0.2">
      <c r="A247" s="47">
        <v>315</v>
      </c>
      <c r="B247" s="48" t="str">
        <f>REPLACE(E247,1,3, )</f>
        <v xml:space="preserve"> 375</v>
      </c>
      <c r="C247" s="70" t="s">
        <v>660</v>
      </c>
      <c r="D247" s="49">
        <f>IF(E247=C247,0,1)</f>
        <v>0</v>
      </c>
      <c r="E247" s="49" t="s">
        <v>660</v>
      </c>
      <c r="F247" s="30" t="str">
        <f>REPLACE(E247,4,4, )</f>
        <v>SMD</v>
      </c>
      <c r="G247" s="33" t="s">
        <v>91</v>
      </c>
      <c r="H247" s="71" t="s">
        <v>644</v>
      </c>
      <c r="I247" s="33" t="s">
        <v>262</v>
      </c>
      <c r="J247" s="51">
        <f>M247</f>
        <v>101000</v>
      </c>
      <c r="K247" s="52">
        <f>J247-M247</f>
        <v>0</v>
      </c>
      <c r="L247" s="60" t="s">
        <v>97</v>
      </c>
      <c r="M247" s="62">
        <v>101000</v>
      </c>
      <c r="N247" s="53">
        <f>2000+200+350+600+300+3000</f>
        <v>6450</v>
      </c>
      <c r="O247" s="55">
        <f>M247+N247</f>
        <v>107450</v>
      </c>
      <c r="P247" s="47">
        <v>315</v>
      </c>
      <c r="Q247" s="56">
        <v>107450</v>
      </c>
      <c r="R247" s="41">
        <f>O247-Q247</f>
        <v>0</v>
      </c>
      <c r="S247" s="67"/>
      <c r="T247" s="33" t="s">
        <v>661</v>
      </c>
      <c r="U247" s="57"/>
      <c r="V247" s="57">
        <f>U247+O247</f>
        <v>107450</v>
      </c>
      <c r="W247" s="57">
        <f>V247/0.7</f>
        <v>153500</v>
      </c>
      <c r="X247" s="58">
        <f>W247/0.875</f>
        <v>175428.57142857142</v>
      </c>
      <c r="Y247" s="59">
        <f>(X247-W247)/X247</f>
        <v>0.12499999999999996</v>
      </c>
      <c r="Z247" s="58">
        <f>(ROUNDUP((X247/100),0))*100</f>
        <v>175500</v>
      </c>
      <c r="AA247" s="178"/>
      <c r="AB247" s="178"/>
      <c r="AC247" s="177"/>
      <c r="AD247" s="177"/>
      <c r="AE247" s="179"/>
      <c r="AF247" s="179"/>
      <c r="AG247" s="179"/>
      <c r="AH247" s="179"/>
    </row>
    <row r="248" spans="1:35" s="91" customFormat="1" ht="14.45" customHeight="1" x14ac:dyDescent="0.2">
      <c r="A248" s="47">
        <v>337</v>
      </c>
      <c r="B248" s="48" t="str">
        <f>REPLACE(E248,1,3, )</f>
        <v xml:space="preserve"> 386</v>
      </c>
      <c r="C248" s="70" t="s">
        <v>700</v>
      </c>
      <c r="D248" s="49">
        <f>IF(E248=C248,0,1)</f>
        <v>0</v>
      </c>
      <c r="E248" s="49" t="s">
        <v>700</v>
      </c>
      <c r="F248" s="30" t="str">
        <f>REPLACE(E248,4,4, )</f>
        <v>SMD</v>
      </c>
      <c r="G248" s="33" t="s">
        <v>91</v>
      </c>
      <c r="H248" s="71" t="s">
        <v>340</v>
      </c>
      <c r="I248" s="33" t="s">
        <v>262</v>
      </c>
      <c r="J248" s="51">
        <v>107500</v>
      </c>
      <c r="K248" s="52">
        <f>J248-M248</f>
        <v>0</v>
      </c>
      <c r="L248" s="60" t="s">
        <v>97</v>
      </c>
      <c r="M248" s="62">
        <v>107500</v>
      </c>
      <c r="N248" s="53">
        <f>2000+200+350+600+300+3000</f>
        <v>6450</v>
      </c>
      <c r="O248" s="55">
        <f>M248+N248</f>
        <v>113950</v>
      </c>
      <c r="P248" s="47">
        <v>337</v>
      </c>
      <c r="Q248" s="56">
        <v>107500</v>
      </c>
      <c r="R248" s="41">
        <f>O248-Q248</f>
        <v>6450</v>
      </c>
      <c r="S248" s="67"/>
      <c r="T248" s="33" t="s">
        <v>661</v>
      </c>
      <c r="U248" s="57"/>
      <c r="V248" s="57">
        <f>U248+O248</f>
        <v>113950</v>
      </c>
      <c r="W248" s="57">
        <f>V248/0.7</f>
        <v>162785.71428571429</v>
      </c>
      <c r="X248" s="58">
        <f>W248/0.875</f>
        <v>186040.81632653062</v>
      </c>
      <c r="Y248" s="59">
        <f>(X248-W248)/X248</f>
        <v>0.12500000000000003</v>
      </c>
      <c r="Z248" s="58">
        <f>(ROUNDUP((X248/100),0))*100</f>
        <v>186100</v>
      </c>
      <c r="AA248" s="178"/>
      <c r="AB248" s="178"/>
      <c r="AC248" s="177"/>
      <c r="AD248" s="177"/>
      <c r="AE248" s="179"/>
      <c r="AF248" s="179"/>
      <c r="AG248" s="179"/>
      <c r="AH248" s="179"/>
    </row>
    <row r="249" spans="1:35" s="91" customFormat="1" ht="14.45" customHeight="1" x14ac:dyDescent="0.2">
      <c r="A249" s="47">
        <v>319</v>
      </c>
      <c r="B249" s="48" t="str">
        <f>REPLACE(E249,1,3, )</f>
        <v xml:space="preserve"> 431</v>
      </c>
      <c r="C249" s="70" t="s">
        <v>668</v>
      </c>
      <c r="D249" s="49">
        <f>IF(E249=C249,0,1)</f>
        <v>0</v>
      </c>
      <c r="E249" s="48" t="s">
        <v>668</v>
      </c>
      <c r="F249" s="30" t="str">
        <f>REPLACE(E249,4,4, )</f>
        <v>SMD</v>
      </c>
      <c r="G249" s="33" t="s">
        <v>34</v>
      </c>
      <c r="H249" s="71" t="s">
        <v>644</v>
      </c>
      <c r="I249" s="33" t="s">
        <v>262</v>
      </c>
      <c r="J249" s="51">
        <f>M249</f>
        <v>101000</v>
      </c>
      <c r="K249" s="52">
        <f>J249-M249</f>
        <v>0</v>
      </c>
      <c r="L249" s="60" t="s">
        <v>97</v>
      </c>
      <c r="M249" s="61">
        <v>101000</v>
      </c>
      <c r="N249" s="54">
        <f>2000+200+300+800+2850</f>
        <v>6150</v>
      </c>
      <c r="O249" s="55">
        <f>M249+N249</f>
        <v>107150</v>
      </c>
      <c r="P249" s="47">
        <v>319</v>
      </c>
      <c r="Q249" s="56">
        <v>107150</v>
      </c>
      <c r="R249" s="41">
        <f>O249-Q249</f>
        <v>0</v>
      </c>
      <c r="S249" s="67"/>
      <c r="T249" s="33" t="s">
        <v>648</v>
      </c>
      <c r="U249" s="57"/>
      <c r="V249" s="57">
        <f>U249+O249</f>
        <v>107150</v>
      </c>
      <c r="W249" s="57">
        <f>V249/0.7</f>
        <v>153071.42857142858</v>
      </c>
      <c r="X249" s="58">
        <f>W249/0.875</f>
        <v>174938.77551020408</v>
      </c>
      <c r="Y249" s="59">
        <f>(X249-W249)/X249</f>
        <v>0.12499999999999996</v>
      </c>
      <c r="Z249" s="58">
        <f>(ROUNDUP((X249/100),0))*100</f>
        <v>175000</v>
      </c>
      <c r="AA249" s="58"/>
      <c r="AB249" s="58"/>
      <c r="AC249" s="180"/>
      <c r="AD249" s="180"/>
      <c r="AE249" s="176"/>
      <c r="AF249" s="176"/>
      <c r="AG249" s="176"/>
      <c r="AH249" s="176"/>
    </row>
    <row r="250" spans="1:35" s="91" customFormat="1" ht="14.45" customHeight="1" x14ac:dyDescent="0.2">
      <c r="A250" s="47">
        <v>101</v>
      </c>
      <c r="B250" s="48" t="str">
        <f>REPLACE(E250,1,3, )</f>
        <v xml:space="preserve"> 442</v>
      </c>
      <c r="C250" s="70" t="s">
        <v>267</v>
      </c>
      <c r="D250" s="49">
        <f>IF(E250=C250,0,1)</f>
        <v>0</v>
      </c>
      <c r="E250" s="48" t="s">
        <v>267</v>
      </c>
      <c r="F250" s="30" t="str">
        <f>REPLACE(E250,4,4, )</f>
        <v>SMD</v>
      </c>
      <c r="G250" s="33" t="s">
        <v>34</v>
      </c>
      <c r="H250" s="71" t="s">
        <v>261</v>
      </c>
      <c r="I250" s="33" t="s">
        <v>262</v>
      </c>
      <c r="J250" s="51">
        <f>M250</f>
        <v>87000</v>
      </c>
      <c r="K250" s="52">
        <f>J250-M250</f>
        <v>0</v>
      </c>
      <c r="L250" s="60" t="s">
        <v>97</v>
      </c>
      <c r="M250" s="61">
        <v>87000</v>
      </c>
      <c r="N250" s="54">
        <f>2000+200+300+800+500+2850</f>
        <v>6650</v>
      </c>
      <c r="O250" s="55">
        <f>M250+N250</f>
        <v>93650</v>
      </c>
      <c r="P250" s="47">
        <v>101</v>
      </c>
      <c r="Q250" s="56">
        <v>93650</v>
      </c>
      <c r="R250" s="41">
        <f>O250-Q250</f>
        <v>0</v>
      </c>
      <c r="S250" s="67"/>
      <c r="T250" s="33" t="s">
        <v>263</v>
      </c>
      <c r="U250" s="57">
        <v>500</v>
      </c>
      <c r="V250" s="57">
        <f>U250+O250</f>
        <v>94150</v>
      </c>
      <c r="W250" s="57">
        <f>V250/0.7</f>
        <v>134500</v>
      </c>
      <c r="X250" s="58">
        <f>W250/0.875</f>
        <v>153714.28571428571</v>
      </c>
      <c r="Y250" s="59">
        <f>(X250-W250)/X250</f>
        <v>0.12499999999999997</v>
      </c>
      <c r="Z250" s="58">
        <f>(ROUNDUP((X250/100),0))*100</f>
        <v>153800</v>
      </c>
      <c r="AA250" s="58"/>
      <c r="AB250" s="58"/>
      <c r="AC250" s="180"/>
      <c r="AD250" s="180"/>
      <c r="AE250" s="176"/>
      <c r="AF250" s="176"/>
      <c r="AG250" s="176"/>
      <c r="AH250" s="176"/>
    </row>
    <row r="251" spans="1:35" ht="14.45" customHeight="1" x14ac:dyDescent="0.2">
      <c r="A251" s="47">
        <v>278</v>
      </c>
      <c r="B251" s="48" t="str">
        <f>REPLACE(E251,1,3, )</f>
        <v xml:space="preserve"> 447</v>
      </c>
      <c r="C251" s="70" t="s">
        <v>597</v>
      </c>
      <c r="D251" s="49">
        <f>IF(E251=C251,0,1)</f>
        <v>0</v>
      </c>
      <c r="E251" s="49" t="s">
        <v>597</v>
      </c>
      <c r="F251" s="30" t="str">
        <f>REPLACE(E251,4,4, )</f>
        <v>SMD</v>
      </c>
      <c r="G251" s="33" t="s">
        <v>91</v>
      </c>
      <c r="H251" s="34" t="s">
        <v>585</v>
      </c>
      <c r="I251" s="33" t="s">
        <v>262</v>
      </c>
      <c r="J251" s="51">
        <f>M251</f>
        <v>59000</v>
      </c>
      <c r="K251" s="52">
        <f>J251-M251</f>
        <v>0</v>
      </c>
      <c r="L251" s="60" t="s">
        <v>97</v>
      </c>
      <c r="M251" s="62">
        <v>59000</v>
      </c>
      <c r="N251" s="53">
        <f>2000+200+350+600+300+800</f>
        <v>4250</v>
      </c>
      <c r="O251" s="55">
        <f>M251+N251</f>
        <v>63250</v>
      </c>
      <c r="P251" s="47">
        <v>278</v>
      </c>
      <c r="Q251" s="56">
        <v>63200</v>
      </c>
      <c r="R251" s="41">
        <f>O251-Q251</f>
        <v>50</v>
      </c>
      <c r="S251" s="67"/>
      <c r="T251" s="33" t="s">
        <v>598</v>
      </c>
      <c r="U251" s="57"/>
      <c r="V251" s="57">
        <f>U251+O251</f>
        <v>63250</v>
      </c>
      <c r="W251" s="57">
        <f>V251/0.7</f>
        <v>90357.14285714287</v>
      </c>
      <c r="X251" s="58">
        <f>W251/0.875</f>
        <v>103265.30612244899</v>
      </c>
      <c r="Y251" s="59">
        <f>(X251-W251)/X251</f>
        <v>0.125</v>
      </c>
      <c r="Z251" s="58">
        <f>(ROUNDUP((X251/100),0))*100</f>
        <v>103300</v>
      </c>
      <c r="AA251" s="178" t="s">
        <v>1780</v>
      </c>
      <c r="AB251" s="224">
        <v>43421</v>
      </c>
      <c r="AC251" s="177" t="s">
        <v>1790</v>
      </c>
      <c r="AD251" s="224">
        <v>43441</v>
      </c>
      <c r="AE251" s="179">
        <v>59000</v>
      </c>
      <c r="AF251" s="179" t="s">
        <v>1800</v>
      </c>
      <c r="AG251" s="179">
        <v>4250</v>
      </c>
      <c r="AH251" s="179">
        <v>63250</v>
      </c>
      <c r="AI251" s="85"/>
    </row>
    <row r="252" spans="1:35" ht="14.45" customHeight="1" x14ac:dyDescent="0.2">
      <c r="A252" s="47">
        <v>307</v>
      </c>
      <c r="B252" s="48" t="str">
        <f>REPLACE(E252,1,3, )</f>
        <v xml:space="preserve"> 658</v>
      </c>
      <c r="C252" s="70" t="s">
        <v>641</v>
      </c>
      <c r="D252" s="49">
        <f>IF(E252=C252,0,1)</f>
        <v>0</v>
      </c>
      <c r="E252" s="48" t="s">
        <v>641</v>
      </c>
      <c r="F252" s="30" t="str">
        <f>REPLACE(E252,4,4, )</f>
        <v>SMD</v>
      </c>
      <c r="G252" s="33" t="s">
        <v>34</v>
      </c>
      <c r="H252" s="34" t="s">
        <v>638</v>
      </c>
      <c r="I252" s="33" t="s">
        <v>262</v>
      </c>
      <c r="J252" s="51">
        <f>M252</f>
        <v>69000</v>
      </c>
      <c r="K252" s="52">
        <f>J252-M252</f>
        <v>0</v>
      </c>
      <c r="L252" s="60" t="s">
        <v>97</v>
      </c>
      <c r="M252" s="61">
        <v>69000</v>
      </c>
      <c r="N252" s="54">
        <f>2000+200+350+600+550+800</f>
        <v>4500</v>
      </c>
      <c r="O252" s="55">
        <f>M252+N252</f>
        <v>73500</v>
      </c>
      <c r="P252" s="47">
        <v>307</v>
      </c>
      <c r="Q252" s="56">
        <v>73450</v>
      </c>
      <c r="R252" s="41">
        <f>O252-Q252</f>
        <v>50</v>
      </c>
      <c r="S252" s="67"/>
      <c r="T252" s="33" t="s">
        <v>642</v>
      </c>
      <c r="U252" s="57">
        <v>-1000</v>
      </c>
      <c r="V252" s="57">
        <f>U252+O252</f>
        <v>72500</v>
      </c>
      <c r="W252" s="57">
        <f>V252/0.7</f>
        <v>103571.42857142858</v>
      </c>
      <c r="X252" s="58">
        <f>W252/0.875</f>
        <v>118367.34693877552</v>
      </c>
      <c r="Y252" s="59">
        <f>(X252-W252)/X252</f>
        <v>0.12499999999999999</v>
      </c>
      <c r="Z252" s="58">
        <f>(ROUNDUP((X252/100),0))*100</f>
        <v>118400</v>
      </c>
      <c r="AA252" s="58"/>
      <c r="AB252" s="58"/>
      <c r="AC252" s="180"/>
      <c r="AD252" s="180"/>
      <c r="AE252" s="176"/>
      <c r="AF252" s="176"/>
      <c r="AG252" s="176"/>
      <c r="AH252" s="176"/>
      <c r="AI252" s="85"/>
    </row>
    <row r="253" spans="1:35" ht="14.45" customHeight="1" x14ac:dyDescent="0.2">
      <c r="A253" s="47">
        <v>329</v>
      </c>
      <c r="B253" s="48" t="str">
        <f>REPLACE(E253,1,3, )</f>
        <v xml:space="preserve"> 711</v>
      </c>
      <c r="C253" s="70" t="s">
        <v>688</v>
      </c>
      <c r="D253" s="49">
        <f>IF(E253=C253,0,1)</f>
        <v>0</v>
      </c>
      <c r="E253" s="49" t="s">
        <v>688</v>
      </c>
      <c r="F253" s="30" t="str">
        <f>REPLACE(E253,4,4, )</f>
        <v>SMD</v>
      </c>
      <c r="G253" s="33" t="s">
        <v>91</v>
      </c>
      <c r="H253" s="71" t="s">
        <v>340</v>
      </c>
      <c r="I253" s="33" t="s">
        <v>262</v>
      </c>
      <c r="J253" s="51">
        <f>M253</f>
        <v>84000</v>
      </c>
      <c r="K253" s="52">
        <f>J253-M253</f>
        <v>0</v>
      </c>
      <c r="L253" s="60" t="s">
        <v>97</v>
      </c>
      <c r="M253" s="62">
        <v>84000</v>
      </c>
      <c r="N253" s="53">
        <f>2000+200+350+600+300+3000</f>
        <v>6450</v>
      </c>
      <c r="O253" s="55">
        <f>M253+N253</f>
        <v>90450</v>
      </c>
      <c r="P253" s="47">
        <v>329</v>
      </c>
      <c r="Q253" s="56">
        <v>90450</v>
      </c>
      <c r="R253" s="41">
        <f>O253-Q253</f>
        <v>0</v>
      </c>
      <c r="S253" s="67"/>
      <c r="T253" s="33" t="s">
        <v>640</v>
      </c>
      <c r="U253" s="57"/>
      <c r="V253" s="57">
        <f>U253+O253</f>
        <v>90450</v>
      </c>
      <c r="W253" s="57">
        <f>V253/0.7</f>
        <v>129214.28571428572</v>
      </c>
      <c r="X253" s="58">
        <f>W253/0.875</f>
        <v>147673.46938775512</v>
      </c>
      <c r="Y253" s="59">
        <f>(X253-W253)/X253</f>
        <v>0.12500000000000003</v>
      </c>
      <c r="Z253" s="58">
        <f>(ROUNDUP((X253/100),0))*100</f>
        <v>147700</v>
      </c>
      <c r="AA253" s="178" t="s">
        <v>1780</v>
      </c>
      <c r="AB253" s="224">
        <v>43428</v>
      </c>
      <c r="AC253" s="177"/>
      <c r="AD253" s="177"/>
      <c r="AE253" s="179"/>
      <c r="AF253" s="179"/>
      <c r="AG253" s="179"/>
      <c r="AH253" s="179"/>
      <c r="AI253" s="85"/>
    </row>
    <row r="254" spans="1:35" ht="14.45" customHeight="1" x14ac:dyDescent="0.2">
      <c r="A254" s="47">
        <v>310</v>
      </c>
      <c r="B254" s="48" t="str">
        <f>REPLACE(E254,1,3, )</f>
        <v xml:space="preserve"> 722</v>
      </c>
      <c r="C254" s="70" t="s">
        <v>649</v>
      </c>
      <c r="D254" s="49">
        <f>IF(E254=C254,0,1)</f>
        <v>0</v>
      </c>
      <c r="E254" s="48" t="s">
        <v>649</v>
      </c>
      <c r="F254" s="30" t="str">
        <f>REPLACE(E254,4,4, )</f>
        <v>SMD</v>
      </c>
      <c r="G254" s="33" t="s">
        <v>34</v>
      </c>
      <c r="H254" s="71" t="s">
        <v>644</v>
      </c>
      <c r="I254" s="33" t="s">
        <v>262</v>
      </c>
      <c r="J254" s="51">
        <f>M254</f>
        <v>88500</v>
      </c>
      <c r="K254" s="52">
        <f>J254-M254</f>
        <v>0</v>
      </c>
      <c r="L254" s="60" t="s">
        <v>97</v>
      </c>
      <c r="M254" s="61">
        <v>88500</v>
      </c>
      <c r="N254" s="54">
        <f>2000+200+300+800+800+2850</f>
        <v>6950</v>
      </c>
      <c r="O254" s="55">
        <f>M254+N254</f>
        <v>95450</v>
      </c>
      <c r="P254" s="47">
        <v>310</v>
      </c>
      <c r="Q254" s="56">
        <v>95450</v>
      </c>
      <c r="R254" s="41">
        <f>O254-Q254</f>
        <v>0</v>
      </c>
      <c r="S254" s="67"/>
      <c r="T254" s="33" t="s">
        <v>650</v>
      </c>
      <c r="U254" s="57">
        <v>-1000</v>
      </c>
      <c r="V254" s="57">
        <f>U254+O254</f>
        <v>94450</v>
      </c>
      <c r="W254" s="57">
        <f>V254/0.7</f>
        <v>134928.57142857145</v>
      </c>
      <c r="X254" s="58">
        <f>W254/0.875</f>
        <v>154204.08163265308</v>
      </c>
      <c r="Y254" s="59">
        <f>(X254-W254)/X254</f>
        <v>0.12499999999999996</v>
      </c>
      <c r="Z254" s="58">
        <f>(ROUNDUP((X254/100),0))*100</f>
        <v>154300</v>
      </c>
      <c r="AA254" s="58"/>
      <c r="AB254" s="58"/>
      <c r="AC254" s="180"/>
      <c r="AD254" s="180"/>
      <c r="AE254" s="176"/>
      <c r="AF254" s="176"/>
      <c r="AG254" s="176"/>
      <c r="AH254" s="176"/>
      <c r="AI254" s="85"/>
    </row>
    <row r="255" spans="1:35" ht="14.45" customHeight="1" x14ac:dyDescent="0.2">
      <c r="A255" s="47">
        <v>305</v>
      </c>
      <c r="B255" s="48" t="str">
        <f>REPLACE(E255,1,3, )</f>
        <v xml:space="preserve"> 726</v>
      </c>
      <c r="C255" s="70" t="s">
        <v>637</v>
      </c>
      <c r="D255" s="49">
        <f>IF(E255=C255,0,1)</f>
        <v>0</v>
      </c>
      <c r="E255" s="49" t="s">
        <v>637</v>
      </c>
      <c r="F255" s="30" t="str">
        <f>REPLACE(E255,4,4, )</f>
        <v>SMD</v>
      </c>
      <c r="G255" s="33" t="s">
        <v>91</v>
      </c>
      <c r="H255" s="34" t="s">
        <v>638</v>
      </c>
      <c r="I255" s="33" t="s">
        <v>262</v>
      </c>
      <c r="J255" s="51">
        <f>M255</f>
        <v>69000</v>
      </c>
      <c r="K255" s="52">
        <f>J255-M255</f>
        <v>0</v>
      </c>
      <c r="L255" s="60" t="s">
        <v>97</v>
      </c>
      <c r="M255" s="62">
        <v>69000</v>
      </c>
      <c r="N255" s="53">
        <f>2000+200+350+600+300+800</f>
        <v>4250</v>
      </c>
      <c r="O255" s="55">
        <f>M255+N255</f>
        <v>73250</v>
      </c>
      <c r="P255" s="47">
        <v>305</v>
      </c>
      <c r="Q255" s="56">
        <v>73200</v>
      </c>
      <c r="R255" s="41">
        <f>O255-Q255</f>
        <v>50</v>
      </c>
      <c r="S255" s="67"/>
      <c r="T255" s="33" t="s">
        <v>307</v>
      </c>
      <c r="U255" s="57">
        <v>-1000</v>
      </c>
      <c r="V255" s="57">
        <f>U255+O255</f>
        <v>72250</v>
      </c>
      <c r="W255" s="57">
        <f>V255/0.7</f>
        <v>103214.28571428572</v>
      </c>
      <c r="X255" s="58">
        <f>W255/0.875</f>
        <v>117959.18367346939</v>
      </c>
      <c r="Y255" s="59">
        <f>(X255-W255)/X255</f>
        <v>0.12499999999999996</v>
      </c>
      <c r="Z255" s="58">
        <f>(ROUNDUP((X255/100),0))*100</f>
        <v>118000</v>
      </c>
      <c r="AA255" s="178"/>
      <c r="AB255" s="178"/>
      <c r="AC255" s="177"/>
      <c r="AD255" s="177"/>
      <c r="AE255" s="179"/>
      <c r="AF255" s="179"/>
      <c r="AG255" s="179"/>
      <c r="AH255" s="179"/>
      <c r="AI255" s="85"/>
    </row>
    <row r="256" spans="1:35" s="91" customFormat="1" ht="14.45" customHeight="1" x14ac:dyDescent="0.2">
      <c r="A256" s="47">
        <v>280</v>
      </c>
      <c r="B256" s="48" t="str">
        <f>REPLACE(E256,1,3, )</f>
        <v xml:space="preserve"> 757</v>
      </c>
      <c r="C256" s="70" t="s">
        <v>602</v>
      </c>
      <c r="D256" s="49">
        <f>IF(E256=C256,0,1)</f>
        <v>0</v>
      </c>
      <c r="E256" s="49" t="s">
        <v>602</v>
      </c>
      <c r="F256" s="30" t="str">
        <f>REPLACE(E256,4,4, )</f>
        <v>SMD</v>
      </c>
      <c r="G256" s="33" t="s">
        <v>91</v>
      </c>
      <c r="H256" s="34" t="s">
        <v>585</v>
      </c>
      <c r="I256" s="33" t="s">
        <v>262</v>
      </c>
      <c r="J256" s="51">
        <f>M256</f>
        <v>59000</v>
      </c>
      <c r="K256" s="52">
        <f>J256-M256</f>
        <v>0</v>
      </c>
      <c r="L256" s="60" t="s">
        <v>97</v>
      </c>
      <c r="M256" s="62">
        <v>59000</v>
      </c>
      <c r="N256" s="53">
        <f>2000+200+350+600+300+800</f>
        <v>4250</v>
      </c>
      <c r="O256" s="55">
        <f>M256+N256</f>
        <v>63250</v>
      </c>
      <c r="P256" s="47">
        <v>280</v>
      </c>
      <c r="Q256" s="56">
        <v>63200</v>
      </c>
      <c r="R256" s="41">
        <f>O256-Q256</f>
        <v>50</v>
      </c>
      <c r="S256" s="67"/>
      <c r="T256" s="33" t="s">
        <v>603</v>
      </c>
      <c r="U256" s="57"/>
      <c r="V256" s="57">
        <f>U256+O256</f>
        <v>63250</v>
      </c>
      <c r="W256" s="57">
        <f>V256/0.7</f>
        <v>90357.14285714287</v>
      </c>
      <c r="X256" s="58">
        <f>W256/0.875</f>
        <v>103265.30612244899</v>
      </c>
      <c r="Y256" s="59">
        <f>(X256-W256)/X256</f>
        <v>0.125</v>
      </c>
      <c r="Z256" s="58">
        <f>(ROUNDUP((X256/100),0))*100</f>
        <v>103300</v>
      </c>
      <c r="AA256" s="178" t="s">
        <v>1780</v>
      </c>
      <c r="AB256" s="224">
        <v>43421</v>
      </c>
      <c r="AC256" s="177"/>
      <c r="AD256" s="177"/>
      <c r="AE256" s="179"/>
      <c r="AF256" s="179"/>
      <c r="AG256" s="179"/>
      <c r="AH256" s="179"/>
    </row>
    <row r="257" spans="1:35" ht="14.45" customHeight="1" x14ac:dyDescent="0.2">
      <c r="A257" s="47">
        <v>304</v>
      </c>
      <c r="B257" s="48" t="str">
        <f>REPLACE(E257,1,3, )</f>
        <v xml:space="preserve"> 822</v>
      </c>
      <c r="C257" s="70" t="s">
        <v>636</v>
      </c>
      <c r="D257" s="49">
        <f>IF(E257=C257,0,1)</f>
        <v>0</v>
      </c>
      <c r="E257" s="48" t="s">
        <v>636</v>
      </c>
      <c r="F257" s="30" t="str">
        <f>REPLACE(E257,4,4, )</f>
        <v>SMD</v>
      </c>
      <c r="G257" s="33" t="s">
        <v>34</v>
      </c>
      <c r="H257" s="34" t="s">
        <v>585</v>
      </c>
      <c r="I257" s="33" t="s">
        <v>262</v>
      </c>
      <c r="J257" s="51">
        <f>M257</f>
        <v>59000</v>
      </c>
      <c r="K257" s="52">
        <f>J257-M257</f>
        <v>0</v>
      </c>
      <c r="L257" s="60" t="s">
        <v>97</v>
      </c>
      <c r="M257" s="61">
        <v>59000</v>
      </c>
      <c r="N257" s="54">
        <f>2000+200+350+600+300+800</f>
        <v>4250</v>
      </c>
      <c r="O257" s="55">
        <f>M257+N257</f>
        <v>63250</v>
      </c>
      <c r="P257" s="47">
        <v>304</v>
      </c>
      <c r="Q257" s="41"/>
      <c r="R257" s="41">
        <f>O257-Q257</f>
        <v>63250</v>
      </c>
      <c r="S257" s="67"/>
      <c r="T257" s="33"/>
      <c r="U257" s="57"/>
      <c r="V257" s="57">
        <f>U257+O257</f>
        <v>63250</v>
      </c>
      <c r="W257" s="57">
        <f>V257/0.7</f>
        <v>90357.14285714287</v>
      </c>
      <c r="X257" s="58">
        <f>W257/0.875</f>
        <v>103265.30612244899</v>
      </c>
      <c r="Y257" s="59">
        <f>(X257-W257)/X257</f>
        <v>0.125</v>
      </c>
      <c r="Z257" s="58">
        <f>(ROUNDUP((X257/100),0))*100</f>
        <v>103300</v>
      </c>
      <c r="AA257" s="58"/>
      <c r="AB257" s="58"/>
      <c r="AC257" s="180"/>
      <c r="AD257" s="180"/>
      <c r="AE257" s="176"/>
      <c r="AF257" s="176"/>
      <c r="AG257" s="176"/>
      <c r="AH257" s="176"/>
      <c r="AI257" s="85"/>
    </row>
    <row r="258" spans="1:35" ht="14.45" customHeight="1" x14ac:dyDescent="0.2">
      <c r="A258" s="47">
        <v>306</v>
      </c>
      <c r="B258" s="48" t="str">
        <f>REPLACE(E258,1,3, )</f>
        <v xml:space="preserve"> 927</v>
      </c>
      <c r="C258" s="70" t="s">
        <v>639</v>
      </c>
      <c r="D258" s="49">
        <f>IF(E258=C258,0,1)</f>
        <v>0</v>
      </c>
      <c r="E258" s="49" t="s">
        <v>639</v>
      </c>
      <c r="F258" s="30" t="str">
        <f>REPLACE(E258,4,4, )</f>
        <v>SMD</v>
      </c>
      <c r="G258" s="33" t="s">
        <v>91</v>
      </c>
      <c r="H258" s="34" t="s">
        <v>638</v>
      </c>
      <c r="I258" s="33" t="s">
        <v>262</v>
      </c>
      <c r="J258" s="51">
        <f>M258</f>
        <v>75000</v>
      </c>
      <c r="K258" s="52">
        <f>J258-M258</f>
        <v>0</v>
      </c>
      <c r="L258" s="60" t="s">
        <v>97</v>
      </c>
      <c r="M258" s="62">
        <v>75000</v>
      </c>
      <c r="N258" s="53">
        <f>2000+200+350+600+300+3000</f>
        <v>6450</v>
      </c>
      <c r="O258" s="55">
        <f>M258+N258</f>
        <v>81450</v>
      </c>
      <c r="P258" s="47">
        <v>306</v>
      </c>
      <c r="Q258" s="56">
        <v>81450</v>
      </c>
      <c r="R258" s="41">
        <f>O258-Q258</f>
        <v>0</v>
      </c>
      <c r="S258" s="67"/>
      <c r="T258" s="33" t="s">
        <v>640</v>
      </c>
      <c r="U258" s="57">
        <v>-1000</v>
      </c>
      <c r="V258" s="57">
        <f>U258+O258</f>
        <v>80450</v>
      </c>
      <c r="W258" s="57">
        <f>V258/0.7</f>
        <v>114928.57142857143</v>
      </c>
      <c r="X258" s="58">
        <f>W258/0.875</f>
        <v>131346.93877551021</v>
      </c>
      <c r="Y258" s="59">
        <f>(X258-W258)/X258</f>
        <v>0.12499999999999997</v>
      </c>
      <c r="Z258" s="58">
        <f>(ROUNDUP((X258/100),0))*100</f>
        <v>131400</v>
      </c>
      <c r="AA258" s="178" t="s">
        <v>1780</v>
      </c>
      <c r="AB258" s="224">
        <v>43428</v>
      </c>
      <c r="AC258" s="177"/>
      <c r="AD258" s="177"/>
      <c r="AE258" s="179"/>
      <c r="AF258" s="179"/>
      <c r="AG258" s="179"/>
      <c r="AH258" s="179"/>
      <c r="AI258" s="85"/>
    </row>
    <row r="259" spans="1:35" s="91" customFormat="1" ht="14.45" customHeight="1" x14ac:dyDescent="0.2">
      <c r="A259" s="47">
        <v>402</v>
      </c>
      <c r="B259" s="48" t="str">
        <f>REPLACE(E259,1,3, )</f>
        <v xml:space="preserve"> 527</v>
      </c>
      <c r="C259" s="70" t="s">
        <v>814</v>
      </c>
      <c r="D259" s="49">
        <f>IF(E259=C259,0,1)</f>
        <v>0</v>
      </c>
      <c r="E259" s="50" t="s">
        <v>814</v>
      </c>
      <c r="F259" s="30" t="str">
        <f>REPLACE(E259,4,4, )</f>
        <v>SMH</v>
      </c>
      <c r="G259" s="30" t="s">
        <v>34</v>
      </c>
      <c r="H259" s="34" t="s">
        <v>767</v>
      </c>
      <c r="I259" s="30" t="s">
        <v>520</v>
      </c>
      <c r="J259" s="74">
        <v>65000</v>
      </c>
      <c r="K259" s="74">
        <f>J259-M259</f>
        <v>0</v>
      </c>
      <c r="L259" s="64" t="s">
        <v>87</v>
      </c>
      <c r="M259" s="73">
        <f>J259</f>
        <v>65000</v>
      </c>
      <c r="N259" s="74">
        <f>2000+3450+800+200+250+400</f>
        <v>7100</v>
      </c>
      <c r="O259" s="75">
        <f>M259+N259</f>
        <v>72100</v>
      </c>
      <c r="P259" s="47">
        <v>402</v>
      </c>
      <c r="Q259" s="76">
        <v>72100</v>
      </c>
      <c r="R259" s="41">
        <f>O259-Q259</f>
        <v>0</v>
      </c>
      <c r="S259" s="67" t="s">
        <v>815</v>
      </c>
      <c r="T259" s="47" t="s">
        <v>816</v>
      </c>
      <c r="U259" s="57">
        <v>6000</v>
      </c>
      <c r="V259" s="57">
        <f>U259+O259</f>
        <v>78100</v>
      </c>
      <c r="W259" s="57">
        <f>V259/0.7</f>
        <v>111571.42857142858</v>
      </c>
      <c r="X259" s="58">
        <f>W259/0.875</f>
        <v>127510.20408163266</v>
      </c>
      <c r="Y259" s="59">
        <f>(X259-W259)/X259</f>
        <v>0.125</v>
      </c>
      <c r="Z259" s="58">
        <f>(ROUNDUP((X259/100),0))*100</f>
        <v>127600</v>
      </c>
      <c r="AA259" s="58"/>
      <c r="AB259" s="58"/>
      <c r="AC259" s="180"/>
      <c r="AD259" s="180"/>
      <c r="AE259" s="176"/>
      <c r="AF259" s="176"/>
      <c r="AG259" s="176"/>
      <c r="AH259" s="176"/>
    </row>
    <row r="260" spans="1:35" s="91" customFormat="1" ht="14.45" customHeight="1" x14ac:dyDescent="0.2">
      <c r="A260" s="47">
        <v>244</v>
      </c>
      <c r="B260" s="48" t="str">
        <f>REPLACE(E260,1,3, )</f>
        <v xml:space="preserve"> 553</v>
      </c>
      <c r="C260" s="70" t="s">
        <v>542</v>
      </c>
      <c r="D260" s="49">
        <f>IF(E260=C260,0,1)</f>
        <v>0</v>
      </c>
      <c r="E260" s="48" t="s">
        <v>542</v>
      </c>
      <c r="F260" s="30" t="str">
        <f>REPLACE(E260,4,4, )</f>
        <v>SMH</v>
      </c>
      <c r="G260" s="33" t="s">
        <v>34</v>
      </c>
      <c r="H260" s="34" t="s">
        <v>537</v>
      </c>
      <c r="I260" s="33" t="s">
        <v>520</v>
      </c>
      <c r="J260" s="72">
        <v>70000</v>
      </c>
      <c r="K260" s="72">
        <f>J260-M260</f>
        <v>0</v>
      </c>
      <c r="L260" s="88" t="s">
        <v>87</v>
      </c>
      <c r="M260" s="73">
        <f>J260</f>
        <v>70000</v>
      </c>
      <c r="N260" s="74">
        <f>2000+3450+800+200+250+700</f>
        <v>7400</v>
      </c>
      <c r="O260" s="75">
        <f>M260+N260</f>
        <v>77400</v>
      </c>
      <c r="P260" s="47">
        <v>244</v>
      </c>
      <c r="Q260" s="76">
        <v>77400</v>
      </c>
      <c r="R260" s="41">
        <f>O260-Q260</f>
        <v>0</v>
      </c>
      <c r="S260" s="42" t="s">
        <v>88</v>
      </c>
      <c r="T260" s="47" t="s">
        <v>543</v>
      </c>
      <c r="U260" s="57">
        <v>5000</v>
      </c>
      <c r="V260" s="57">
        <f>U260+O260</f>
        <v>82400</v>
      </c>
      <c r="W260" s="57">
        <f>V260/0.7</f>
        <v>117714.28571428572</v>
      </c>
      <c r="X260" s="58">
        <f>W260/0.875</f>
        <v>134530.61224489796</v>
      </c>
      <c r="Y260" s="59">
        <f>(X260-W260)/X260</f>
        <v>0.12499999999999992</v>
      </c>
      <c r="Z260" s="58">
        <f>(ROUNDUP((X260/100),0))*100</f>
        <v>134600</v>
      </c>
      <c r="AA260" s="58"/>
      <c r="AB260" s="58"/>
      <c r="AC260" s="180"/>
      <c r="AD260" s="180"/>
      <c r="AE260" s="176"/>
      <c r="AF260" s="176"/>
      <c r="AG260" s="176"/>
      <c r="AH260" s="176"/>
    </row>
    <row r="261" spans="1:35" ht="14.45" customHeight="1" x14ac:dyDescent="0.2">
      <c r="A261" s="47">
        <v>232</v>
      </c>
      <c r="B261" s="48" t="str">
        <f>REPLACE(E261,1,3, )</f>
        <v xml:space="preserve"> 558</v>
      </c>
      <c r="C261" s="70" t="s">
        <v>519</v>
      </c>
      <c r="D261" s="49">
        <f>IF(E261=C261,0,1)</f>
        <v>0</v>
      </c>
      <c r="E261" s="50" t="s">
        <v>519</v>
      </c>
      <c r="F261" s="30" t="str">
        <f>REPLACE(E261,4,4, )</f>
        <v>SMH</v>
      </c>
      <c r="G261" s="30" t="s">
        <v>34</v>
      </c>
      <c r="H261" s="34" t="s">
        <v>493</v>
      </c>
      <c r="I261" s="30" t="s">
        <v>520</v>
      </c>
      <c r="J261" s="72">
        <v>65000</v>
      </c>
      <c r="K261" s="72">
        <f>J261-M261</f>
        <v>0</v>
      </c>
      <c r="L261" s="88" t="s">
        <v>87</v>
      </c>
      <c r="M261" s="73">
        <f>J261</f>
        <v>65000</v>
      </c>
      <c r="N261" s="74">
        <f>2000+3450+800+200+250+700</f>
        <v>7400</v>
      </c>
      <c r="O261" s="75">
        <f>M261+N261</f>
        <v>72400</v>
      </c>
      <c r="P261" s="47">
        <v>232</v>
      </c>
      <c r="Q261" s="76">
        <v>72400</v>
      </c>
      <c r="R261" s="41">
        <f>O261-Q261</f>
        <v>0</v>
      </c>
      <c r="S261" s="42" t="s">
        <v>88</v>
      </c>
      <c r="T261" s="47" t="s">
        <v>521</v>
      </c>
      <c r="U261" s="57">
        <v>6000</v>
      </c>
      <c r="V261" s="57">
        <f>U261+O261</f>
        <v>78400</v>
      </c>
      <c r="W261" s="57">
        <f>V261/0.7</f>
        <v>112000</v>
      </c>
      <c r="X261" s="58">
        <f>W261/0.875</f>
        <v>128000</v>
      </c>
      <c r="Y261" s="59">
        <f>(X261-W261)/X261</f>
        <v>0.125</v>
      </c>
      <c r="Z261" s="58">
        <f>(ROUNDUP((X261/100),0))*100</f>
        <v>128000</v>
      </c>
      <c r="AA261" s="58"/>
      <c r="AB261" s="58"/>
      <c r="AC261" s="180"/>
      <c r="AD261" s="180"/>
      <c r="AE261" s="176"/>
      <c r="AF261" s="176"/>
      <c r="AG261" s="176"/>
      <c r="AH261" s="176"/>
      <c r="AI261" s="85"/>
    </row>
    <row r="262" spans="1:35" s="91" customFormat="1" ht="14.45" customHeight="1" x14ac:dyDescent="0.2">
      <c r="A262" s="47">
        <v>355</v>
      </c>
      <c r="B262" s="48" t="str">
        <f>REPLACE(E262,1,3, )</f>
        <v xml:space="preserve"> 401</v>
      </c>
      <c r="C262" s="70" t="s">
        <v>731</v>
      </c>
      <c r="D262" s="49">
        <f>IF(E262=C262,0,1)</f>
        <v>0</v>
      </c>
      <c r="E262" s="48" t="s">
        <v>731</v>
      </c>
      <c r="F262" s="30" t="str">
        <f>REPLACE(E262,4,4, )</f>
        <v>SMI</v>
      </c>
      <c r="G262" s="33" t="s">
        <v>34</v>
      </c>
      <c r="H262" s="71" t="s">
        <v>732</v>
      </c>
      <c r="I262" s="33" t="s">
        <v>645</v>
      </c>
      <c r="J262" s="51">
        <v>126750</v>
      </c>
      <c r="K262" s="52">
        <f>J262-M262</f>
        <v>6750</v>
      </c>
      <c r="L262" s="49" t="s">
        <v>94</v>
      </c>
      <c r="M262" s="53">
        <f>J262-N262</f>
        <v>120000</v>
      </c>
      <c r="N262" s="54">
        <f>2000+200+350+600+3600</f>
        <v>6750</v>
      </c>
      <c r="O262" s="55">
        <f>M262+N262</f>
        <v>126750</v>
      </c>
      <c r="P262" s="47">
        <v>355</v>
      </c>
      <c r="Q262" s="56">
        <v>126750</v>
      </c>
      <c r="R262" s="41">
        <f>O262-Q262</f>
        <v>0</v>
      </c>
      <c r="S262" s="67"/>
      <c r="T262" s="33" t="s">
        <v>733</v>
      </c>
      <c r="U262" s="57">
        <v>2000</v>
      </c>
      <c r="V262" s="57">
        <f>U262+O262</f>
        <v>128750</v>
      </c>
      <c r="W262" s="57">
        <f>V262/0.7</f>
        <v>183928.57142857145</v>
      </c>
      <c r="X262" s="58">
        <f>W262/0.875</f>
        <v>210204.08163265308</v>
      </c>
      <c r="Y262" s="59">
        <f>(X262-W262)/X262</f>
        <v>0.12499999999999997</v>
      </c>
      <c r="Z262" s="58">
        <f>(ROUNDUP((X262/100),0))*100</f>
        <v>210300</v>
      </c>
      <c r="AA262" s="58"/>
      <c r="AB262" s="58"/>
      <c r="AC262" s="180"/>
      <c r="AD262" s="180"/>
      <c r="AE262" s="176"/>
      <c r="AF262" s="176"/>
      <c r="AG262" s="176"/>
      <c r="AH262" s="176"/>
    </row>
    <row r="263" spans="1:35" ht="14.45" customHeight="1" x14ac:dyDescent="0.2">
      <c r="A263" s="47">
        <v>327</v>
      </c>
      <c r="B263" s="48" t="str">
        <f>REPLACE(E263,1,3, )</f>
        <v xml:space="preserve"> 405</v>
      </c>
      <c r="C263" s="70" t="s">
        <v>685</v>
      </c>
      <c r="D263" s="49">
        <f>IF(E263=C263,0,1)</f>
        <v>0</v>
      </c>
      <c r="E263" s="49" t="s">
        <v>685</v>
      </c>
      <c r="F263" s="30" t="str">
        <f>REPLACE(E263,4,4, )</f>
        <v>SMI</v>
      </c>
      <c r="G263" s="33" t="s">
        <v>91</v>
      </c>
      <c r="H263" s="71" t="s">
        <v>340</v>
      </c>
      <c r="I263" s="33" t="s">
        <v>645</v>
      </c>
      <c r="J263" s="51">
        <v>107500</v>
      </c>
      <c r="K263" s="52">
        <f>J263-M263</f>
        <v>6450</v>
      </c>
      <c r="L263" s="49" t="s">
        <v>94</v>
      </c>
      <c r="M263" s="53">
        <f>J263-N263</f>
        <v>101050</v>
      </c>
      <c r="N263" s="53">
        <f>2000+200+350+600+300+3000</f>
        <v>6450</v>
      </c>
      <c r="O263" s="55">
        <f>M263+N263</f>
        <v>107500</v>
      </c>
      <c r="P263" s="47">
        <v>327</v>
      </c>
      <c r="Q263" s="56">
        <v>107500</v>
      </c>
      <c r="R263" s="41">
        <f>O263-Q263</f>
        <v>0</v>
      </c>
      <c r="S263" s="67"/>
      <c r="T263" s="33" t="s">
        <v>640</v>
      </c>
      <c r="U263" s="57"/>
      <c r="V263" s="57">
        <f>U263+O263</f>
        <v>107500</v>
      </c>
      <c r="W263" s="57">
        <f>V263/0.7</f>
        <v>153571.42857142858</v>
      </c>
      <c r="X263" s="58">
        <f>W263/0.875</f>
        <v>175510.20408163266</v>
      </c>
      <c r="Y263" s="59">
        <f>(X263-W263)/X263</f>
        <v>0.125</v>
      </c>
      <c r="Z263" s="58">
        <f>(ROUNDUP((X263/100),0))*100</f>
        <v>175600</v>
      </c>
      <c r="AA263" s="178"/>
      <c r="AB263" s="178"/>
      <c r="AC263" s="177"/>
      <c r="AD263" s="177"/>
      <c r="AE263" s="179"/>
      <c r="AF263" s="179"/>
      <c r="AG263" s="179"/>
      <c r="AH263" s="179"/>
      <c r="AI263" s="85"/>
    </row>
    <row r="264" spans="1:35" ht="14.45" customHeight="1" x14ac:dyDescent="0.2">
      <c r="A264" s="47">
        <v>334</v>
      </c>
      <c r="B264" s="48" t="str">
        <f>REPLACE(E264,1,3, )</f>
        <v xml:space="preserve"> 579</v>
      </c>
      <c r="C264" s="70" t="s">
        <v>697</v>
      </c>
      <c r="D264" s="49">
        <f>IF(E264=C264,0,1)</f>
        <v>0</v>
      </c>
      <c r="E264" s="225" t="s">
        <v>697</v>
      </c>
      <c r="F264" s="30" t="str">
        <f>REPLACE(E264,4,4, )</f>
        <v>SMI</v>
      </c>
      <c r="G264" s="33" t="s">
        <v>91</v>
      </c>
      <c r="H264" s="34" t="s">
        <v>670</v>
      </c>
      <c r="I264" s="33" t="s">
        <v>645</v>
      </c>
      <c r="J264" s="51">
        <v>105000</v>
      </c>
      <c r="K264" s="52">
        <f>J264-M264</f>
        <v>6450</v>
      </c>
      <c r="L264" s="49" t="s">
        <v>94</v>
      </c>
      <c r="M264" s="53">
        <f>J264-N264</f>
        <v>98550</v>
      </c>
      <c r="N264" s="53">
        <f>2000+200+350+600+300+3000</f>
        <v>6450</v>
      </c>
      <c r="O264" s="55">
        <f>M264+N264</f>
        <v>105000</v>
      </c>
      <c r="P264" s="47">
        <v>334</v>
      </c>
      <c r="Q264" s="56">
        <v>105000</v>
      </c>
      <c r="R264" s="41">
        <f>O264-Q264</f>
        <v>0</v>
      </c>
      <c r="S264" s="67"/>
      <c r="T264" s="33" t="s">
        <v>640</v>
      </c>
      <c r="U264" s="57"/>
      <c r="V264" s="57">
        <f>U264+O264</f>
        <v>105000</v>
      </c>
      <c r="W264" s="57">
        <f>V264/0.7</f>
        <v>150000</v>
      </c>
      <c r="X264" s="58">
        <f>W264/0.875</f>
        <v>171428.57142857142</v>
      </c>
      <c r="Y264" s="59">
        <f>(X264-W264)/X264</f>
        <v>0.12499999999999996</v>
      </c>
      <c r="Z264" s="58">
        <f>(ROUNDUP((X264/100),0))*100</f>
        <v>171500</v>
      </c>
      <c r="AA264" s="178"/>
      <c r="AB264" s="178"/>
      <c r="AC264" s="177"/>
      <c r="AD264" s="177"/>
      <c r="AE264" s="179"/>
      <c r="AF264" s="179"/>
      <c r="AG264" s="179"/>
      <c r="AH264" s="179"/>
      <c r="AI264" s="85"/>
    </row>
    <row r="265" spans="1:35" s="91" customFormat="1" ht="14.45" customHeight="1" x14ac:dyDescent="0.2">
      <c r="A265" s="47">
        <v>308</v>
      </c>
      <c r="B265" s="48" t="str">
        <f>REPLACE(E265,1,3, )</f>
        <v xml:space="preserve"> 588</v>
      </c>
      <c r="C265" s="70" t="s">
        <v>643</v>
      </c>
      <c r="D265" s="49">
        <f>IF(E265=C265,0,1)</f>
        <v>0</v>
      </c>
      <c r="E265" s="49" t="s">
        <v>643</v>
      </c>
      <c r="F265" s="30" t="str">
        <f>REPLACE(E265,4,4, )</f>
        <v>SMI</v>
      </c>
      <c r="G265" s="33" t="s">
        <v>91</v>
      </c>
      <c r="H265" s="71" t="s">
        <v>644</v>
      </c>
      <c r="I265" s="33" t="s">
        <v>645</v>
      </c>
      <c r="J265" s="51">
        <v>100000</v>
      </c>
      <c r="K265" s="52">
        <f>J265-M265</f>
        <v>6800</v>
      </c>
      <c r="L265" s="49" t="s">
        <v>94</v>
      </c>
      <c r="M265" s="53">
        <f>J265-N265</f>
        <v>93200</v>
      </c>
      <c r="N265" s="53">
        <f>2000+200+350+600+650+3000</f>
        <v>6800</v>
      </c>
      <c r="O265" s="55">
        <f>M265+N265</f>
        <v>100000</v>
      </c>
      <c r="P265" s="47">
        <v>308</v>
      </c>
      <c r="Q265" s="56">
        <v>100000</v>
      </c>
      <c r="R265" s="41">
        <f>O265-Q265</f>
        <v>0</v>
      </c>
      <c r="S265" s="67"/>
      <c r="T265" s="33" t="s">
        <v>646</v>
      </c>
      <c r="U265" s="57">
        <v>-1000</v>
      </c>
      <c r="V265" s="57">
        <f>U265+O265</f>
        <v>99000</v>
      </c>
      <c r="W265" s="57">
        <f>V265/0.7</f>
        <v>141428.57142857145</v>
      </c>
      <c r="X265" s="58">
        <f>W265/0.875</f>
        <v>161632.65306122453</v>
      </c>
      <c r="Y265" s="59">
        <f>(X265-W265)/X265</f>
        <v>0.12500000000000006</v>
      </c>
      <c r="Z265" s="58">
        <f>(ROUNDUP((X265/100),0))*100</f>
        <v>161700</v>
      </c>
      <c r="AA265" s="178" t="s">
        <v>1790</v>
      </c>
      <c r="AB265" s="224">
        <v>41255</v>
      </c>
      <c r="AC265" s="177"/>
      <c r="AD265" s="177"/>
      <c r="AE265" s="179"/>
      <c r="AF265" s="179"/>
      <c r="AG265" s="179"/>
      <c r="AH265" s="179"/>
    </row>
    <row r="266" spans="1:35" s="91" customFormat="1" ht="14.45" customHeight="1" x14ac:dyDescent="0.2">
      <c r="A266" s="47">
        <v>336</v>
      </c>
      <c r="B266" s="48" t="str">
        <f>REPLACE(E266,1,3, )</f>
        <v xml:space="preserve"> 704</v>
      </c>
      <c r="C266" s="70" t="s">
        <v>699</v>
      </c>
      <c r="D266" s="49">
        <f>IF(E266=C266,0,1)</f>
        <v>0</v>
      </c>
      <c r="E266" s="49" t="s">
        <v>699</v>
      </c>
      <c r="F266" s="30" t="str">
        <f>REPLACE(E266,4,4, )</f>
        <v>SMI</v>
      </c>
      <c r="G266" s="33" t="s">
        <v>91</v>
      </c>
      <c r="H266" s="71" t="s">
        <v>340</v>
      </c>
      <c r="I266" s="33" t="s">
        <v>645</v>
      </c>
      <c r="J266" s="51">
        <v>101000</v>
      </c>
      <c r="K266" s="52">
        <f>J266-M266</f>
        <v>6450</v>
      </c>
      <c r="L266" s="49" t="s">
        <v>94</v>
      </c>
      <c r="M266" s="53">
        <f>J266-N266</f>
        <v>94550</v>
      </c>
      <c r="N266" s="53">
        <f>2000+200+350+600+300+3000</f>
        <v>6450</v>
      </c>
      <c r="O266" s="55">
        <f>M266+N266</f>
        <v>101000</v>
      </c>
      <c r="P266" s="47">
        <v>336</v>
      </c>
      <c r="Q266" s="56">
        <v>101000</v>
      </c>
      <c r="R266" s="41">
        <f>O266-Q266</f>
        <v>0</v>
      </c>
      <c r="S266" s="67"/>
      <c r="T266" s="33" t="s">
        <v>640</v>
      </c>
      <c r="U266" s="57"/>
      <c r="V266" s="57">
        <f>U266+O266</f>
        <v>101000</v>
      </c>
      <c r="W266" s="57">
        <f>V266/0.7</f>
        <v>144285.71428571429</v>
      </c>
      <c r="X266" s="58">
        <f>W266/0.875</f>
        <v>164897.95918367346</v>
      </c>
      <c r="Y266" s="59">
        <f>(X266-W266)/X266</f>
        <v>0.12499999999999993</v>
      </c>
      <c r="Z266" s="58">
        <f>(ROUNDUP((X266/100),0))*100</f>
        <v>164900</v>
      </c>
      <c r="AA266" s="178" t="s">
        <v>1790</v>
      </c>
      <c r="AB266" s="224">
        <v>43446</v>
      </c>
      <c r="AC266" s="177"/>
      <c r="AD266" s="177"/>
      <c r="AE266" s="179"/>
      <c r="AF266" s="179"/>
      <c r="AG266" s="179"/>
      <c r="AH266" s="179"/>
    </row>
    <row r="267" spans="1:35" ht="14.45" customHeight="1" x14ac:dyDescent="0.2">
      <c r="A267" s="47">
        <v>332</v>
      </c>
      <c r="B267" s="48" t="str">
        <f>REPLACE(E267,1,3, )</f>
        <v xml:space="preserve"> 835</v>
      </c>
      <c r="C267" s="70" t="s">
        <v>695</v>
      </c>
      <c r="D267" s="49">
        <f>IF(E267=C267,0,1)</f>
        <v>0</v>
      </c>
      <c r="E267" s="49" t="s">
        <v>695</v>
      </c>
      <c r="F267" s="30" t="str">
        <f>REPLACE(E267,4,4, )</f>
        <v>SMI</v>
      </c>
      <c r="G267" s="33" t="s">
        <v>91</v>
      </c>
      <c r="H267" s="71" t="s">
        <v>340</v>
      </c>
      <c r="I267" s="33" t="s">
        <v>645</v>
      </c>
      <c r="J267" s="51">
        <v>105000</v>
      </c>
      <c r="K267" s="52">
        <f>J267-M267</f>
        <v>6450</v>
      </c>
      <c r="L267" s="49" t="s">
        <v>94</v>
      </c>
      <c r="M267" s="53">
        <f>J267-N267</f>
        <v>98550</v>
      </c>
      <c r="N267" s="53">
        <f>2000+200+350+600+300+3000</f>
        <v>6450</v>
      </c>
      <c r="O267" s="55">
        <f>M267+N267</f>
        <v>105000</v>
      </c>
      <c r="P267" s="47">
        <v>332</v>
      </c>
      <c r="Q267" s="56">
        <v>105000</v>
      </c>
      <c r="R267" s="41">
        <f>O267-Q267</f>
        <v>0</v>
      </c>
      <c r="S267" s="67"/>
      <c r="T267" s="33" t="s">
        <v>640</v>
      </c>
      <c r="U267" s="57"/>
      <c r="V267" s="57">
        <f>U267+O267</f>
        <v>105000</v>
      </c>
      <c r="W267" s="57">
        <f>V267/0.7</f>
        <v>150000</v>
      </c>
      <c r="X267" s="58">
        <f>W267/0.875</f>
        <v>171428.57142857142</v>
      </c>
      <c r="Y267" s="59">
        <f>(X267-W267)/X267</f>
        <v>0.12499999999999996</v>
      </c>
      <c r="Z267" s="58">
        <f>(ROUNDUP((X267/100),0))*100</f>
        <v>171500</v>
      </c>
      <c r="AA267" s="178" t="s">
        <v>1790</v>
      </c>
      <c r="AB267" s="224">
        <v>43446</v>
      </c>
      <c r="AC267" s="177"/>
      <c r="AD267" s="177"/>
      <c r="AE267" s="179"/>
      <c r="AF267" s="179"/>
      <c r="AG267" s="179"/>
      <c r="AH267" s="179"/>
      <c r="AI267" s="85"/>
    </row>
    <row r="268" spans="1:35" ht="14.45" customHeight="1" x14ac:dyDescent="0.2">
      <c r="A268" s="86">
        <v>385</v>
      </c>
      <c r="B268" s="48" t="str">
        <f>REPLACE(E268,1,3, )</f>
        <v xml:space="preserve"> 193</v>
      </c>
      <c r="C268" s="70" t="s">
        <v>788</v>
      </c>
      <c r="D268" s="49">
        <f>IF(E268=C268,0,1)</f>
        <v>0</v>
      </c>
      <c r="E268" s="50" t="s">
        <v>788</v>
      </c>
      <c r="F268" s="30" t="str">
        <f>REPLACE(E268,4,4, )</f>
        <v>SMM</v>
      </c>
      <c r="G268" s="30" t="s">
        <v>34</v>
      </c>
      <c r="H268" s="34" t="s">
        <v>767</v>
      </c>
      <c r="I268" s="30" t="s">
        <v>775</v>
      </c>
      <c r="J268" s="51">
        <f>M268</f>
        <v>72250</v>
      </c>
      <c r="K268" s="52">
        <f>J268-M268</f>
        <v>0</v>
      </c>
      <c r="L268" s="60" t="s">
        <v>97</v>
      </c>
      <c r="M268" s="61">
        <v>72250</v>
      </c>
      <c r="N268" s="54">
        <f>2000+600+200+250+400+3600+450</f>
        <v>7500</v>
      </c>
      <c r="O268" s="55">
        <f>M268+N268</f>
        <v>79750</v>
      </c>
      <c r="P268" s="86">
        <v>385</v>
      </c>
      <c r="Q268" s="56">
        <v>79750</v>
      </c>
      <c r="R268" s="41">
        <f>O268-Q268</f>
        <v>0</v>
      </c>
      <c r="S268" s="67"/>
      <c r="T268" s="33" t="s">
        <v>789</v>
      </c>
      <c r="U268" s="57"/>
      <c r="V268" s="57">
        <f>U268+O268</f>
        <v>79750</v>
      </c>
      <c r="W268" s="57">
        <f>V268/0.7</f>
        <v>113928.57142857143</v>
      </c>
      <c r="X268" s="58">
        <f>W268/0.875</f>
        <v>130204.08163265306</v>
      </c>
      <c r="Y268" s="59">
        <f>(X268-W268)/X268</f>
        <v>0.12499999999999996</v>
      </c>
      <c r="Z268" s="58">
        <f>(ROUNDUP((X268/100),0))*100</f>
        <v>130300</v>
      </c>
      <c r="AA268" s="58"/>
      <c r="AB268" s="58"/>
      <c r="AC268" s="180"/>
      <c r="AD268" s="180"/>
      <c r="AE268" s="176"/>
      <c r="AF268" s="176"/>
      <c r="AG268" s="176"/>
      <c r="AH268" s="176"/>
      <c r="AI268" s="85"/>
    </row>
    <row r="269" spans="1:35" ht="14.45" customHeight="1" x14ac:dyDescent="0.2">
      <c r="A269" s="86">
        <v>394</v>
      </c>
      <c r="B269" s="48" t="str">
        <f>REPLACE(E269,1,3, )</f>
        <v xml:space="preserve"> 196</v>
      </c>
      <c r="C269" s="70" t="s">
        <v>801</v>
      </c>
      <c r="D269" s="49">
        <f>IF(E269=C269,0,1)</f>
        <v>0</v>
      </c>
      <c r="E269" s="47" t="s">
        <v>801</v>
      </c>
      <c r="F269" s="30" t="str">
        <f>REPLACE(E269,4,4, )</f>
        <v>SMM</v>
      </c>
      <c r="G269" s="30" t="s">
        <v>91</v>
      </c>
      <c r="H269" s="34" t="s">
        <v>767</v>
      </c>
      <c r="I269" s="30" t="s">
        <v>775</v>
      </c>
      <c r="J269" s="51">
        <f>M269</f>
        <v>64200</v>
      </c>
      <c r="K269" s="52">
        <f>J269-M269</f>
        <v>0</v>
      </c>
      <c r="L269" s="60" t="s">
        <v>97</v>
      </c>
      <c r="M269" s="62">
        <v>64200</v>
      </c>
      <c r="N269" s="53">
        <f>2000+600+200+250+1000+3600+450</f>
        <v>8100</v>
      </c>
      <c r="O269" s="55">
        <f>M269+N269</f>
        <v>72300</v>
      </c>
      <c r="P269" s="86">
        <v>394</v>
      </c>
      <c r="Q269" s="56">
        <v>72300</v>
      </c>
      <c r="R269" s="41">
        <f>O269-Q269</f>
        <v>0</v>
      </c>
      <c r="S269" s="67"/>
      <c r="T269" s="33" t="s">
        <v>786</v>
      </c>
      <c r="U269" s="57"/>
      <c r="V269" s="57">
        <f>U269+O269</f>
        <v>72300</v>
      </c>
      <c r="W269" s="57">
        <f>V269/0.7</f>
        <v>103285.71428571429</v>
      </c>
      <c r="X269" s="58">
        <f>W269/0.875</f>
        <v>118040.81632653062</v>
      </c>
      <c r="Y269" s="59">
        <f>(X269-W269)/X269</f>
        <v>0.12500000000000003</v>
      </c>
      <c r="Z269" s="58">
        <f>(ROUNDUP((X269/100),0))*100</f>
        <v>118100</v>
      </c>
      <c r="AA269" s="178"/>
      <c r="AB269" s="178"/>
      <c r="AC269" s="177"/>
      <c r="AD269" s="177"/>
      <c r="AE269" s="179"/>
      <c r="AF269" s="179"/>
      <c r="AG269" s="179"/>
      <c r="AH269" s="179"/>
      <c r="AI269" s="85"/>
    </row>
    <row r="270" spans="1:35" ht="14.45" customHeight="1" x14ac:dyDescent="0.2">
      <c r="A270" s="86">
        <v>434</v>
      </c>
      <c r="B270" s="48" t="str">
        <f>REPLACE(E270,1,3, )</f>
        <v xml:space="preserve"> 214</v>
      </c>
      <c r="C270" s="32" t="s">
        <v>873</v>
      </c>
      <c r="D270" s="49">
        <f>IF(E270=C270,0,1)</f>
        <v>0</v>
      </c>
      <c r="E270" s="47" t="s">
        <v>873</v>
      </c>
      <c r="F270" s="30" t="str">
        <f>REPLACE(E270,4,4, )</f>
        <v>SMM</v>
      </c>
      <c r="G270" s="30" t="s">
        <v>91</v>
      </c>
      <c r="H270" s="71" t="s">
        <v>859</v>
      </c>
      <c r="I270" s="30" t="s">
        <v>775</v>
      </c>
      <c r="J270" s="51">
        <f>M270</f>
        <v>35000</v>
      </c>
      <c r="K270" s="52">
        <f>J270-M270</f>
        <v>0</v>
      </c>
      <c r="L270" s="60" t="s">
        <v>97</v>
      </c>
      <c r="M270" s="62">
        <v>35000</v>
      </c>
      <c r="N270" s="53">
        <f>2000+600+200+250+650+2500</f>
        <v>6200</v>
      </c>
      <c r="O270" s="55">
        <f>M270+N270</f>
        <v>41200</v>
      </c>
      <c r="P270" s="86">
        <v>434</v>
      </c>
      <c r="Q270" s="56">
        <v>41200</v>
      </c>
      <c r="R270" s="41">
        <f>O270-Q270</f>
        <v>0</v>
      </c>
      <c r="S270" s="67"/>
      <c r="T270" s="33" t="s">
        <v>874</v>
      </c>
      <c r="U270" s="57"/>
      <c r="V270" s="57">
        <f>U270+O270</f>
        <v>41200</v>
      </c>
      <c r="W270" s="57">
        <f>V270/0.7</f>
        <v>58857.142857142862</v>
      </c>
      <c r="X270" s="58">
        <f>W270/0.875</f>
        <v>67265.306122448979</v>
      </c>
      <c r="Y270" s="59">
        <f>(X270-W270)/X270</f>
        <v>0.12499999999999992</v>
      </c>
      <c r="Z270" s="58">
        <f>(ROUNDUP((X270/100),0))*100</f>
        <v>67300</v>
      </c>
      <c r="AA270" s="178"/>
      <c r="AB270" s="178"/>
      <c r="AC270" s="177"/>
      <c r="AD270" s="177"/>
      <c r="AE270" s="179"/>
      <c r="AF270" s="179"/>
      <c r="AG270" s="179"/>
      <c r="AH270" s="179"/>
      <c r="AI270" s="85"/>
    </row>
    <row r="271" spans="1:35" ht="14.45" customHeight="1" x14ac:dyDescent="0.2">
      <c r="A271" s="86">
        <v>389</v>
      </c>
      <c r="B271" s="48" t="str">
        <f>REPLACE(E271,1,3, )</f>
        <v xml:space="preserve"> 344</v>
      </c>
      <c r="C271" s="70" t="s">
        <v>793</v>
      </c>
      <c r="D271" s="49">
        <f>IF(E271=C271,0,1)</f>
        <v>0</v>
      </c>
      <c r="E271" s="50" t="s">
        <v>793</v>
      </c>
      <c r="F271" s="30" t="str">
        <f>REPLACE(E271,4,4, )</f>
        <v>SMM</v>
      </c>
      <c r="G271" s="30" t="s">
        <v>34</v>
      </c>
      <c r="H271" s="34" t="s">
        <v>767</v>
      </c>
      <c r="I271" s="30" t="s">
        <v>775</v>
      </c>
      <c r="J271" s="51">
        <f>M271</f>
        <v>60000</v>
      </c>
      <c r="K271" s="52">
        <f>J271-M271</f>
        <v>0</v>
      </c>
      <c r="L271" s="60" t="s">
        <v>97</v>
      </c>
      <c r="M271" s="61">
        <v>60000</v>
      </c>
      <c r="N271" s="54">
        <f>2000+600+200+250+800+2400+3600+450</f>
        <v>10300</v>
      </c>
      <c r="O271" s="55">
        <f>M271+N271</f>
        <v>70300</v>
      </c>
      <c r="P271" s="86">
        <v>389</v>
      </c>
      <c r="Q271" s="56">
        <v>70300</v>
      </c>
      <c r="R271" s="41">
        <f>O271-Q271</f>
        <v>0</v>
      </c>
      <c r="S271" s="67"/>
      <c r="T271" s="33" t="s">
        <v>794</v>
      </c>
      <c r="U271" s="57">
        <v>-3000</v>
      </c>
      <c r="V271" s="57">
        <f>U271+O271</f>
        <v>67300</v>
      </c>
      <c r="W271" s="57">
        <f>V271/0.7</f>
        <v>96142.857142857145</v>
      </c>
      <c r="X271" s="58">
        <f>W271/0.875</f>
        <v>109877.55102040817</v>
      </c>
      <c r="Y271" s="59">
        <f>(X271-W271)/X271</f>
        <v>0.125</v>
      </c>
      <c r="Z271" s="58">
        <f>(ROUNDUP((X271/100),0))*100</f>
        <v>109900</v>
      </c>
      <c r="AA271" s="58"/>
      <c r="AB271" s="58"/>
      <c r="AC271" s="180"/>
      <c r="AD271" s="180"/>
      <c r="AE271" s="176"/>
      <c r="AF271" s="176"/>
      <c r="AG271" s="176"/>
      <c r="AH271" s="176"/>
      <c r="AI271" s="85"/>
    </row>
    <row r="272" spans="1:35" s="91" customFormat="1" ht="14.45" customHeight="1" x14ac:dyDescent="0.2">
      <c r="A272" s="86">
        <v>391</v>
      </c>
      <c r="B272" s="48" t="str">
        <f>REPLACE(E272,1,3, )</f>
        <v xml:space="preserve"> 345</v>
      </c>
      <c r="C272" s="70" t="s">
        <v>797</v>
      </c>
      <c r="D272" s="49">
        <f>IF(E272=C272,0,1)</f>
        <v>0</v>
      </c>
      <c r="E272" s="47" t="s">
        <v>797</v>
      </c>
      <c r="F272" s="30" t="str">
        <f>REPLACE(E272,4,4, )</f>
        <v>SMM</v>
      </c>
      <c r="G272" s="30" t="s">
        <v>91</v>
      </c>
      <c r="H272" s="34" t="s">
        <v>767</v>
      </c>
      <c r="I272" s="30" t="s">
        <v>775</v>
      </c>
      <c r="J272" s="51">
        <f>M272</f>
        <v>64200</v>
      </c>
      <c r="K272" s="52">
        <f>J272-M272</f>
        <v>0</v>
      </c>
      <c r="L272" s="60" t="s">
        <v>97</v>
      </c>
      <c r="M272" s="62">
        <v>64200</v>
      </c>
      <c r="N272" s="53">
        <f>2000+600+200+250+1000+3600+450</f>
        <v>8100</v>
      </c>
      <c r="O272" s="55">
        <f>M272+N272</f>
        <v>72300</v>
      </c>
      <c r="P272" s="86">
        <v>391</v>
      </c>
      <c r="Q272" s="56">
        <v>72300</v>
      </c>
      <c r="R272" s="41">
        <f>O272-Q272</f>
        <v>0</v>
      </c>
      <c r="S272" s="67"/>
      <c r="T272" s="33" t="s">
        <v>786</v>
      </c>
      <c r="U272" s="57"/>
      <c r="V272" s="57">
        <f>U272+O272</f>
        <v>72300</v>
      </c>
      <c r="W272" s="57">
        <f>V272/0.7</f>
        <v>103285.71428571429</v>
      </c>
      <c r="X272" s="58">
        <f>W272/0.875</f>
        <v>118040.81632653062</v>
      </c>
      <c r="Y272" s="59">
        <f>(X272-W272)/X272</f>
        <v>0.12500000000000003</v>
      </c>
      <c r="Z272" s="58">
        <f>(ROUNDUP((X272/100),0))*100</f>
        <v>118100</v>
      </c>
      <c r="AA272" s="178" t="s">
        <v>1780</v>
      </c>
      <c r="AB272" s="224" t="s">
        <v>1792</v>
      </c>
      <c r="AC272" s="177"/>
      <c r="AD272" s="177"/>
      <c r="AE272" s="179"/>
      <c r="AF272" s="179"/>
      <c r="AG272" s="179"/>
      <c r="AH272" s="179"/>
    </row>
    <row r="273" spans="1:35" s="91" customFormat="1" ht="14.45" customHeight="1" x14ac:dyDescent="0.2">
      <c r="A273" s="86">
        <v>401</v>
      </c>
      <c r="B273" s="48" t="str">
        <f>REPLACE(E273,1,3, )</f>
        <v xml:space="preserve"> 385</v>
      </c>
      <c r="C273" s="70" t="s">
        <v>812</v>
      </c>
      <c r="D273" s="49">
        <f>IF(E273=C273,0,1)</f>
        <v>0</v>
      </c>
      <c r="E273" s="50" t="s">
        <v>812</v>
      </c>
      <c r="F273" s="30" t="str">
        <f>REPLACE(E273,4,4, )</f>
        <v>SMM</v>
      </c>
      <c r="G273" s="30" t="s">
        <v>34</v>
      </c>
      <c r="H273" s="34" t="s">
        <v>767</v>
      </c>
      <c r="I273" s="30" t="s">
        <v>775</v>
      </c>
      <c r="J273" s="51">
        <f>M273</f>
        <v>71750</v>
      </c>
      <c r="K273" s="52">
        <f>J273-M273</f>
        <v>0</v>
      </c>
      <c r="L273" s="60" t="s">
        <v>97</v>
      </c>
      <c r="M273" s="61">
        <v>71750</v>
      </c>
      <c r="N273" s="54">
        <f>2000+600+200+250+700+3600+450</f>
        <v>7800</v>
      </c>
      <c r="O273" s="55">
        <f>M273+N273</f>
        <v>79550</v>
      </c>
      <c r="P273" s="86">
        <v>401</v>
      </c>
      <c r="Q273" s="56">
        <v>79550</v>
      </c>
      <c r="R273" s="41">
        <f>O273-Q273</f>
        <v>0</v>
      </c>
      <c r="S273" s="67"/>
      <c r="T273" s="33" t="s">
        <v>813</v>
      </c>
      <c r="U273" s="57">
        <v>-1000</v>
      </c>
      <c r="V273" s="57">
        <f>U273+O273</f>
        <v>78550</v>
      </c>
      <c r="W273" s="57">
        <f>V273/0.7</f>
        <v>112214.28571428572</v>
      </c>
      <c r="X273" s="58">
        <f>W273/0.875</f>
        <v>128244.89795918368</v>
      </c>
      <c r="Y273" s="59">
        <f>(X273-W273)/X273</f>
        <v>0.12499999999999999</v>
      </c>
      <c r="Z273" s="58">
        <f>(ROUNDUP((X273/100),0))*100</f>
        <v>128300</v>
      </c>
      <c r="AA273" s="58"/>
      <c r="AB273" s="58"/>
      <c r="AC273" s="180"/>
      <c r="AD273" s="180"/>
      <c r="AE273" s="176"/>
      <c r="AF273" s="176"/>
      <c r="AG273" s="176"/>
      <c r="AH273" s="176"/>
    </row>
    <row r="274" spans="1:35" ht="14.45" customHeight="1" x14ac:dyDescent="0.2">
      <c r="A274" s="86">
        <v>421</v>
      </c>
      <c r="B274" s="48" t="str">
        <f>REPLACE(E274,1,3, )</f>
        <v xml:space="preserve"> 409</v>
      </c>
      <c r="C274" s="70" t="s">
        <v>843</v>
      </c>
      <c r="D274" s="49">
        <f>IF(E274=C274,0,1)</f>
        <v>0</v>
      </c>
      <c r="E274" s="47" t="s">
        <v>843</v>
      </c>
      <c r="F274" s="30" t="str">
        <f>REPLACE(E274,4,4, )</f>
        <v>SMM</v>
      </c>
      <c r="G274" s="30" t="s">
        <v>91</v>
      </c>
      <c r="H274" s="34" t="s">
        <v>767</v>
      </c>
      <c r="I274" s="30" t="s">
        <v>775</v>
      </c>
      <c r="J274" s="51">
        <f>M274</f>
        <v>88250</v>
      </c>
      <c r="K274" s="52">
        <f>J274-M274</f>
        <v>0</v>
      </c>
      <c r="L274" s="60" t="s">
        <v>97</v>
      </c>
      <c r="M274" s="62">
        <v>88250</v>
      </c>
      <c r="N274" s="53">
        <f>2000+200+250+600+3600</f>
        <v>6650</v>
      </c>
      <c r="O274" s="55">
        <f>M274+N274</f>
        <v>94900</v>
      </c>
      <c r="P274" s="86">
        <v>421</v>
      </c>
      <c r="Q274" s="56">
        <v>94900</v>
      </c>
      <c r="R274" s="41">
        <f>O274-Q274</f>
        <v>0</v>
      </c>
      <c r="S274" s="67"/>
      <c r="T274" s="33" t="s">
        <v>844</v>
      </c>
      <c r="U274" s="57"/>
      <c r="V274" s="57">
        <f>U274+O274</f>
        <v>94900</v>
      </c>
      <c r="W274" s="57">
        <f>V274/0.7</f>
        <v>135571.42857142858</v>
      </c>
      <c r="X274" s="58">
        <f>W274/0.875</f>
        <v>154938.77551020408</v>
      </c>
      <c r="Y274" s="59">
        <f>(X274-W274)/X274</f>
        <v>0.12499999999999996</v>
      </c>
      <c r="Z274" s="58">
        <f>(ROUNDUP((X274/100),0))*100</f>
        <v>155000</v>
      </c>
      <c r="AA274" s="178" t="s">
        <v>1780</v>
      </c>
      <c r="AB274" s="224">
        <v>43428</v>
      </c>
      <c r="AC274" s="177"/>
      <c r="AD274" s="177"/>
      <c r="AE274" s="179"/>
      <c r="AF274" s="179"/>
      <c r="AG274" s="179"/>
      <c r="AH274" s="179"/>
      <c r="AI274" s="85"/>
    </row>
    <row r="275" spans="1:35" ht="14.45" customHeight="1" x14ac:dyDescent="0.2">
      <c r="A275" s="86">
        <v>383</v>
      </c>
      <c r="B275" s="48" t="str">
        <f>REPLACE(E275,1,3, )</f>
        <v xml:space="preserve"> 470</v>
      </c>
      <c r="C275" s="70" t="s">
        <v>785</v>
      </c>
      <c r="D275" s="49">
        <f>IF(E275=C275,0,1)</f>
        <v>0</v>
      </c>
      <c r="E275" s="47" t="s">
        <v>785</v>
      </c>
      <c r="F275" s="30" t="str">
        <f>REPLACE(E275,4,4, )</f>
        <v>SMM</v>
      </c>
      <c r="G275" s="30" t="s">
        <v>91</v>
      </c>
      <c r="H275" s="34" t="s">
        <v>767</v>
      </c>
      <c r="I275" s="30" t="s">
        <v>775</v>
      </c>
      <c r="J275" s="51">
        <f>M275</f>
        <v>73750</v>
      </c>
      <c r="K275" s="52">
        <f>J275-M275</f>
        <v>0</v>
      </c>
      <c r="L275" s="60" t="s">
        <v>97</v>
      </c>
      <c r="M275" s="62">
        <v>73750</v>
      </c>
      <c r="N275" s="53">
        <f>2000+600+200+250+1000+3600+450</f>
        <v>8100</v>
      </c>
      <c r="O275" s="55">
        <f>M275+N275</f>
        <v>81850</v>
      </c>
      <c r="P275" s="86">
        <v>383</v>
      </c>
      <c r="Q275" s="56">
        <v>81850</v>
      </c>
      <c r="R275" s="41">
        <f>O275-Q275</f>
        <v>0</v>
      </c>
      <c r="S275" s="67"/>
      <c r="T275" s="33" t="s">
        <v>786</v>
      </c>
      <c r="U275" s="57"/>
      <c r="V275" s="57">
        <f>U275+O275</f>
        <v>81850</v>
      </c>
      <c r="W275" s="57">
        <f>V275/0.7</f>
        <v>116928.57142857143</v>
      </c>
      <c r="X275" s="58">
        <f>W275/0.875</f>
        <v>133632.6530612245</v>
      </c>
      <c r="Y275" s="59">
        <f>(X275-W275)/X275</f>
        <v>0.125</v>
      </c>
      <c r="Z275" s="58">
        <f>(ROUNDUP((X275/100),0))*100</f>
        <v>133700</v>
      </c>
      <c r="AA275" s="178"/>
      <c r="AB275" s="178"/>
      <c r="AC275" s="177"/>
      <c r="AD275" s="177"/>
      <c r="AE275" s="179"/>
      <c r="AF275" s="179"/>
      <c r="AG275" s="179"/>
      <c r="AH275" s="179"/>
      <c r="AI275" s="85"/>
    </row>
    <row r="276" spans="1:35" ht="14.45" customHeight="1" x14ac:dyDescent="0.2">
      <c r="A276" s="86">
        <v>390</v>
      </c>
      <c r="B276" s="48" t="str">
        <f>REPLACE(E276,1,3, )</f>
        <v xml:space="preserve"> 481</v>
      </c>
      <c r="C276" s="70" t="s">
        <v>795</v>
      </c>
      <c r="D276" s="49">
        <f>IF(E276=C276,0,1)</f>
        <v>0</v>
      </c>
      <c r="E276" s="50" t="s">
        <v>795</v>
      </c>
      <c r="F276" s="30" t="str">
        <f>REPLACE(E276,4,4, )</f>
        <v>SMM</v>
      </c>
      <c r="G276" s="30" t="s">
        <v>34</v>
      </c>
      <c r="H276" s="34" t="s">
        <v>767</v>
      </c>
      <c r="I276" s="30" t="s">
        <v>775</v>
      </c>
      <c r="J276" s="51">
        <f>M276</f>
        <v>63750</v>
      </c>
      <c r="K276" s="52">
        <f>J276-M276</f>
        <v>0</v>
      </c>
      <c r="L276" s="60" t="s">
        <v>97</v>
      </c>
      <c r="M276" s="61">
        <v>63750</v>
      </c>
      <c r="N276" s="54">
        <f>2000+600+200+250+400+800+3600+450</f>
        <v>8300</v>
      </c>
      <c r="O276" s="55">
        <f>M276+N276</f>
        <v>72050</v>
      </c>
      <c r="P276" s="86">
        <v>390</v>
      </c>
      <c r="Q276" s="56">
        <v>72050</v>
      </c>
      <c r="R276" s="41">
        <f>O276-Q276</f>
        <v>0</v>
      </c>
      <c r="S276" s="67"/>
      <c r="T276" s="33" t="s">
        <v>796</v>
      </c>
      <c r="U276" s="57"/>
      <c r="V276" s="57">
        <f>U276+O276</f>
        <v>72050</v>
      </c>
      <c r="W276" s="57">
        <f>V276/0.7</f>
        <v>102928.57142857143</v>
      </c>
      <c r="X276" s="58">
        <f>W276/0.875</f>
        <v>117632.6530612245</v>
      </c>
      <c r="Y276" s="59">
        <f>(X276-W276)/X276</f>
        <v>0.125</v>
      </c>
      <c r="Z276" s="58">
        <f>(ROUNDUP((X276/100),0))*100</f>
        <v>117700</v>
      </c>
      <c r="AA276" s="58"/>
      <c r="AB276" s="58"/>
      <c r="AC276" s="180"/>
      <c r="AD276" s="180"/>
      <c r="AE276" s="176"/>
      <c r="AF276" s="176"/>
      <c r="AG276" s="176"/>
      <c r="AH276" s="176"/>
      <c r="AI276" s="85"/>
    </row>
    <row r="277" spans="1:35" ht="14.45" customHeight="1" x14ac:dyDescent="0.2">
      <c r="A277" s="86">
        <v>417</v>
      </c>
      <c r="B277" s="48" t="str">
        <f>REPLACE(E277,1,3, )</f>
        <v xml:space="preserve"> 483</v>
      </c>
      <c r="C277" s="70" t="s">
        <v>839</v>
      </c>
      <c r="D277" s="49">
        <f>IF(E277=C277,0,1)</f>
        <v>0</v>
      </c>
      <c r="E277" s="47" t="s">
        <v>839</v>
      </c>
      <c r="F277" s="30" t="str">
        <f>REPLACE(E277,4,4, )</f>
        <v>SMM</v>
      </c>
      <c r="G277" s="30" t="s">
        <v>91</v>
      </c>
      <c r="H277" s="34" t="s">
        <v>767</v>
      </c>
      <c r="I277" s="30" t="s">
        <v>775</v>
      </c>
      <c r="J277" s="51">
        <f>M277</f>
        <v>71750</v>
      </c>
      <c r="K277" s="52">
        <f>J277-M277</f>
        <v>0</v>
      </c>
      <c r="L277" s="60" t="s">
        <v>97</v>
      </c>
      <c r="M277" s="62">
        <v>71750</v>
      </c>
      <c r="N277" s="53">
        <f>2000+200+250+600+650+3600+450</f>
        <v>7750</v>
      </c>
      <c r="O277" s="55">
        <f>M277+N277</f>
        <v>79500</v>
      </c>
      <c r="P277" s="86">
        <v>417</v>
      </c>
      <c r="Q277" s="56">
        <v>79500</v>
      </c>
      <c r="R277" s="41">
        <f>O277-Q277</f>
        <v>0</v>
      </c>
      <c r="S277" s="67"/>
      <c r="T277" s="33" t="s">
        <v>776</v>
      </c>
      <c r="U277" s="57"/>
      <c r="V277" s="57">
        <f>U277+O277</f>
        <v>79500</v>
      </c>
      <c r="W277" s="57">
        <f>V277/0.7</f>
        <v>113571.42857142858</v>
      </c>
      <c r="X277" s="58">
        <f>W277/0.875</f>
        <v>129795.91836734695</v>
      </c>
      <c r="Y277" s="59">
        <f>(X277-W277)/X277</f>
        <v>0.12500000000000003</v>
      </c>
      <c r="Z277" s="58">
        <f>(ROUNDUP((X277/100),0))*100</f>
        <v>129800</v>
      </c>
      <c r="AA277" s="178"/>
      <c r="AB277" s="178"/>
      <c r="AC277" s="177"/>
      <c r="AD277" s="177"/>
      <c r="AE277" s="179"/>
      <c r="AF277" s="179"/>
      <c r="AG277" s="179"/>
      <c r="AH277" s="179"/>
      <c r="AI277" s="85"/>
    </row>
    <row r="278" spans="1:35" ht="14.45" customHeight="1" x14ac:dyDescent="0.2">
      <c r="A278" s="86">
        <v>419</v>
      </c>
      <c r="B278" s="48" t="str">
        <f>REPLACE(E278,1,3, )</f>
        <v xml:space="preserve"> 526</v>
      </c>
      <c r="C278" s="70" t="s">
        <v>841</v>
      </c>
      <c r="D278" s="49">
        <f>IF(E278=C278,0,1)</f>
        <v>0</v>
      </c>
      <c r="E278" s="50" t="s">
        <v>841</v>
      </c>
      <c r="F278" s="30" t="str">
        <f>REPLACE(E278,4,4, )</f>
        <v>SMM</v>
      </c>
      <c r="G278" s="30" t="s">
        <v>34</v>
      </c>
      <c r="H278" s="34" t="s">
        <v>767</v>
      </c>
      <c r="I278" s="30" t="s">
        <v>775</v>
      </c>
      <c r="J278" s="51">
        <f>M278</f>
        <v>72250</v>
      </c>
      <c r="K278" s="52">
        <f>J278-M278</f>
        <v>0</v>
      </c>
      <c r="L278" s="60" t="s">
        <v>97</v>
      </c>
      <c r="M278" s="61">
        <v>72250</v>
      </c>
      <c r="N278" s="54">
        <f>2000+600+200+250+400+3600+450</f>
        <v>7500</v>
      </c>
      <c r="O278" s="55">
        <f>M278+N278</f>
        <v>79750</v>
      </c>
      <c r="P278" s="86">
        <v>419</v>
      </c>
      <c r="Q278" s="56">
        <v>79750</v>
      </c>
      <c r="R278" s="41">
        <f>O278-Q278</f>
        <v>0</v>
      </c>
      <c r="S278" s="67"/>
      <c r="T278" s="33" t="s">
        <v>789</v>
      </c>
      <c r="U278" s="57"/>
      <c r="V278" s="57">
        <f>U278+O278</f>
        <v>79750</v>
      </c>
      <c r="W278" s="57">
        <f>V278/0.7</f>
        <v>113928.57142857143</v>
      </c>
      <c r="X278" s="58">
        <f>W278/0.875</f>
        <v>130204.08163265306</v>
      </c>
      <c r="Y278" s="59">
        <f>(X278-W278)/X278</f>
        <v>0.12499999999999996</v>
      </c>
      <c r="Z278" s="58">
        <f>(ROUNDUP((X278/100),0))*100</f>
        <v>130300</v>
      </c>
      <c r="AA278" s="58"/>
      <c r="AB278" s="58"/>
      <c r="AC278" s="180"/>
      <c r="AD278" s="180"/>
      <c r="AE278" s="176"/>
      <c r="AF278" s="176"/>
      <c r="AG278" s="176"/>
      <c r="AH278" s="176"/>
      <c r="AI278" s="85"/>
    </row>
    <row r="279" spans="1:35" s="91" customFormat="1" ht="14.45" customHeight="1" x14ac:dyDescent="0.2">
      <c r="A279" s="86">
        <v>393</v>
      </c>
      <c r="B279" s="48" t="str">
        <f>REPLACE(E279,1,3, )</f>
        <v xml:space="preserve"> 550</v>
      </c>
      <c r="C279" s="70" t="s">
        <v>800</v>
      </c>
      <c r="D279" s="49">
        <f>IF(E279=C279,0,1)</f>
        <v>0</v>
      </c>
      <c r="E279" s="50" t="s">
        <v>800</v>
      </c>
      <c r="F279" s="30" t="str">
        <f>REPLACE(E279,4,4, )</f>
        <v>SMM</v>
      </c>
      <c r="G279" s="30" t="s">
        <v>34</v>
      </c>
      <c r="H279" s="34" t="s">
        <v>767</v>
      </c>
      <c r="I279" s="30" t="s">
        <v>775</v>
      </c>
      <c r="J279" s="51">
        <f>M279</f>
        <v>72250</v>
      </c>
      <c r="K279" s="52">
        <f>J279-M279</f>
        <v>0</v>
      </c>
      <c r="L279" s="60" t="s">
        <v>97</v>
      </c>
      <c r="M279" s="61">
        <v>72250</v>
      </c>
      <c r="N279" s="54">
        <f>2000+600+200+250+800+2400+3600+450</f>
        <v>10300</v>
      </c>
      <c r="O279" s="55">
        <f>M279+N279</f>
        <v>82550</v>
      </c>
      <c r="P279" s="86">
        <v>393</v>
      </c>
      <c r="Q279" s="56">
        <v>82550</v>
      </c>
      <c r="R279" s="41">
        <f>O279-Q279</f>
        <v>0</v>
      </c>
      <c r="S279" s="67"/>
      <c r="T279" s="33" t="s">
        <v>794</v>
      </c>
      <c r="U279" s="57">
        <v>-1000</v>
      </c>
      <c r="V279" s="57">
        <f>U279+O279</f>
        <v>81550</v>
      </c>
      <c r="W279" s="57">
        <f>V279/0.7</f>
        <v>116500.00000000001</v>
      </c>
      <c r="X279" s="58">
        <f>W279/0.875</f>
        <v>133142.85714285716</v>
      </c>
      <c r="Y279" s="59">
        <f>(X279-W279)/X279</f>
        <v>0.125</v>
      </c>
      <c r="Z279" s="58">
        <f>(ROUNDUP((X279/100),0))*100</f>
        <v>133200</v>
      </c>
      <c r="AA279" s="58"/>
      <c r="AB279" s="58"/>
      <c r="AC279" s="180"/>
      <c r="AD279" s="180"/>
      <c r="AE279" s="176"/>
      <c r="AF279" s="176"/>
      <c r="AG279" s="176"/>
      <c r="AH279" s="176"/>
    </row>
    <row r="280" spans="1:35" ht="14.45" customHeight="1" x14ac:dyDescent="0.2">
      <c r="A280" s="86">
        <v>398</v>
      </c>
      <c r="B280" s="48" t="str">
        <f>REPLACE(E280,1,3, )</f>
        <v xml:space="preserve"> 571</v>
      </c>
      <c r="C280" s="70" t="s">
        <v>808</v>
      </c>
      <c r="D280" s="49">
        <f>IF(E280=C280,0,1)</f>
        <v>0</v>
      </c>
      <c r="E280" s="47" t="s">
        <v>808</v>
      </c>
      <c r="F280" s="30" t="str">
        <f>REPLACE(E280,4,4, )</f>
        <v>SMM</v>
      </c>
      <c r="G280" s="30" t="s">
        <v>91</v>
      </c>
      <c r="H280" s="34" t="s">
        <v>767</v>
      </c>
      <c r="I280" s="30" t="s">
        <v>775</v>
      </c>
      <c r="J280" s="51">
        <f>M280</f>
        <v>77000</v>
      </c>
      <c r="K280" s="52">
        <f>J280-M280</f>
        <v>0</v>
      </c>
      <c r="L280" s="60" t="s">
        <v>97</v>
      </c>
      <c r="M280" s="62">
        <v>77000</v>
      </c>
      <c r="N280" s="53">
        <f>2000+600+200+250+1000+3600+450</f>
        <v>8100</v>
      </c>
      <c r="O280" s="55">
        <f>M280+N280</f>
        <v>85100</v>
      </c>
      <c r="P280" s="86">
        <v>398</v>
      </c>
      <c r="Q280" s="56">
        <v>85100</v>
      </c>
      <c r="R280" s="41">
        <f>O280-Q280</f>
        <v>0</v>
      </c>
      <c r="S280" s="67"/>
      <c r="T280" s="33" t="s">
        <v>786</v>
      </c>
      <c r="U280" s="57"/>
      <c r="V280" s="57">
        <f>U280+O280</f>
        <v>85100</v>
      </c>
      <c r="W280" s="57">
        <f>V280/0.7</f>
        <v>121571.42857142858</v>
      </c>
      <c r="X280" s="58">
        <f>W280/0.875</f>
        <v>138938.77551020408</v>
      </c>
      <c r="Y280" s="59">
        <f>(X280-W280)/X280</f>
        <v>0.12499999999999994</v>
      </c>
      <c r="Z280" s="58">
        <f>(ROUNDUP((X280/100),0))*100</f>
        <v>139000</v>
      </c>
      <c r="AA280" s="178" t="s">
        <v>1780</v>
      </c>
      <c r="AB280" s="224">
        <v>43428</v>
      </c>
      <c r="AC280" s="177"/>
      <c r="AD280" s="177"/>
      <c r="AE280" s="179"/>
      <c r="AF280" s="179"/>
      <c r="AG280" s="179"/>
      <c r="AH280" s="179"/>
      <c r="AI280" s="85"/>
    </row>
    <row r="281" spans="1:35" ht="14.45" customHeight="1" x14ac:dyDescent="0.2">
      <c r="A281" s="86">
        <v>413</v>
      </c>
      <c r="B281" s="48" t="str">
        <f>REPLACE(E281,1,3, )</f>
        <v xml:space="preserve"> 607</v>
      </c>
      <c r="C281" s="70" t="s">
        <v>835</v>
      </c>
      <c r="D281" s="49">
        <f>IF(E281=C281,0,1)</f>
        <v>0</v>
      </c>
      <c r="E281" s="47" t="s">
        <v>835</v>
      </c>
      <c r="F281" s="30" t="str">
        <f>REPLACE(E281,4,4, )</f>
        <v>SMM</v>
      </c>
      <c r="G281" s="30" t="s">
        <v>91</v>
      </c>
      <c r="H281" s="34" t="s">
        <v>767</v>
      </c>
      <c r="I281" s="30" t="s">
        <v>775</v>
      </c>
      <c r="J281" s="51">
        <f>M281</f>
        <v>68250</v>
      </c>
      <c r="K281" s="52">
        <f>J281-M281</f>
        <v>0</v>
      </c>
      <c r="L281" s="60" t="s">
        <v>97</v>
      </c>
      <c r="M281" s="62">
        <v>68250</v>
      </c>
      <c r="N281" s="53">
        <f>2000+600+200+250+1000+3600+450</f>
        <v>8100</v>
      </c>
      <c r="O281" s="55">
        <f>M281+N281</f>
        <v>76350</v>
      </c>
      <c r="P281" s="86">
        <v>413</v>
      </c>
      <c r="Q281" s="56">
        <v>76350</v>
      </c>
      <c r="R281" s="41">
        <f>O281-Q281</f>
        <v>0</v>
      </c>
      <c r="S281" s="67"/>
      <c r="T281" s="33" t="s">
        <v>786</v>
      </c>
      <c r="U281" s="57"/>
      <c r="V281" s="57">
        <f>U281+O281</f>
        <v>76350</v>
      </c>
      <c r="W281" s="57">
        <f>V281/0.7</f>
        <v>109071.42857142858</v>
      </c>
      <c r="X281" s="58">
        <f>W281/0.875</f>
        <v>124653.06122448981</v>
      </c>
      <c r="Y281" s="59">
        <f>(X281-W281)/X281</f>
        <v>0.12500000000000003</v>
      </c>
      <c r="Z281" s="58">
        <f>(ROUNDUP((X281/100),0))*100</f>
        <v>124700</v>
      </c>
      <c r="AA281" s="178"/>
      <c r="AB281" s="178"/>
      <c r="AC281" s="177"/>
      <c r="AD281" s="177"/>
      <c r="AE281" s="179"/>
      <c r="AF281" s="179"/>
      <c r="AG281" s="179"/>
      <c r="AH281" s="179"/>
      <c r="AI281" s="85"/>
    </row>
    <row r="282" spans="1:35" s="91" customFormat="1" ht="14.45" customHeight="1" x14ac:dyDescent="0.2">
      <c r="A282" s="86">
        <v>420</v>
      </c>
      <c r="B282" s="48" t="str">
        <f>REPLACE(E282,1,3, )</f>
        <v xml:space="preserve"> 616</v>
      </c>
      <c r="C282" s="70" t="s">
        <v>842</v>
      </c>
      <c r="D282" s="49">
        <f>IF(E282=C282,0,1)</f>
        <v>0</v>
      </c>
      <c r="E282" s="47" t="s">
        <v>842</v>
      </c>
      <c r="F282" s="30" t="str">
        <f>REPLACE(E282,4,4, )</f>
        <v>SMM</v>
      </c>
      <c r="G282" s="30" t="s">
        <v>91</v>
      </c>
      <c r="H282" s="34" t="s">
        <v>767</v>
      </c>
      <c r="I282" s="30" t="s">
        <v>775</v>
      </c>
      <c r="J282" s="51">
        <v>79750</v>
      </c>
      <c r="K282" s="52">
        <v>0</v>
      </c>
      <c r="L282" s="60" t="s">
        <v>97</v>
      </c>
      <c r="M282" s="62">
        <v>79750</v>
      </c>
      <c r="N282" s="53">
        <v>8100</v>
      </c>
      <c r="O282" s="55">
        <v>87850</v>
      </c>
      <c r="P282" s="86">
        <v>420</v>
      </c>
      <c r="Q282" s="41"/>
      <c r="R282" s="41"/>
      <c r="S282" s="67"/>
      <c r="T282" s="33"/>
      <c r="U282" s="57"/>
      <c r="V282" s="57">
        <f>U282+O282</f>
        <v>87850</v>
      </c>
      <c r="W282" s="57">
        <f>V282/0.7</f>
        <v>125500.00000000001</v>
      </c>
      <c r="X282" s="58">
        <f>W282/0.875</f>
        <v>143428.57142857145</v>
      </c>
      <c r="Y282" s="59">
        <f>(X282-W282)/X282</f>
        <v>0.12500000000000003</v>
      </c>
      <c r="Z282" s="58">
        <f>(ROUNDUP((X282/100),0))*100</f>
        <v>143500</v>
      </c>
      <c r="AA282" s="178"/>
      <c r="AB282" s="178"/>
      <c r="AC282" s="177"/>
      <c r="AD282" s="177"/>
      <c r="AE282" s="179"/>
      <c r="AF282" s="179"/>
      <c r="AG282" s="179"/>
      <c r="AH282" s="179"/>
    </row>
    <row r="283" spans="1:35" ht="14.45" customHeight="1" x14ac:dyDescent="0.2">
      <c r="A283" s="86">
        <v>396</v>
      </c>
      <c r="B283" s="48" t="str">
        <f>REPLACE(E283,1,3, )</f>
        <v xml:space="preserve"> 676</v>
      </c>
      <c r="C283" s="70" t="s">
        <v>805</v>
      </c>
      <c r="D283" s="49">
        <f>IF(E283=C283,0,1)</f>
        <v>0</v>
      </c>
      <c r="E283" s="50" t="s">
        <v>805</v>
      </c>
      <c r="F283" s="30" t="str">
        <f>REPLACE(E283,4,4, )</f>
        <v>SMM</v>
      </c>
      <c r="G283" s="30" t="s">
        <v>34</v>
      </c>
      <c r="H283" s="34" t="s">
        <v>767</v>
      </c>
      <c r="I283" s="30" t="s">
        <v>775</v>
      </c>
      <c r="J283" s="51">
        <f>M283</f>
        <v>63750</v>
      </c>
      <c r="K283" s="52">
        <f>J283-M283</f>
        <v>0</v>
      </c>
      <c r="L283" s="60" t="s">
        <v>97</v>
      </c>
      <c r="M283" s="61">
        <v>63750</v>
      </c>
      <c r="N283" s="54">
        <f>2000+600+200+250+2400+3600+450</f>
        <v>9500</v>
      </c>
      <c r="O283" s="55">
        <f>M283+N283</f>
        <v>73250</v>
      </c>
      <c r="P283" s="86">
        <v>396</v>
      </c>
      <c r="Q283" s="56">
        <v>73250</v>
      </c>
      <c r="R283" s="41">
        <f>O283-Q283</f>
        <v>0</v>
      </c>
      <c r="S283" s="67"/>
      <c r="T283" s="33" t="s">
        <v>806</v>
      </c>
      <c r="U283" s="57">
        <v>-1000</v>
      </c>
      <c r="V283" s="57">
        <f>U283+O283</f>
        <v>72250</v>
      </c>
      <c r="W283" s="57">
        <f>V283/0.7</f>
        <v>103214.28571428572</v>
      </c>
      <c r="X283" s="58">
        <f>W283/0.875</f>
        <v>117959.18367346939</v>
      </c>
      <c r="Y283" s="59">
        <f>(X283-W283)/X283</f>
        <v>0.12499999999999996</v>
      </c>
      <c r="Z283" s="58">
        <f>(ROUNDUP((X283/100),0))*100</f>
        <v>118000</v>
      </c>
      <c r="AA283" s="58"/>
      <c r="AB283" s="58"/>
      <c r="AC283" s="180"/>
      <c r="AD283" s="180"/>
      <c r="AE283" s="176"/>
      <c r="AF283" s="176"/>
      <c r="AG283" s="176"/>
      <c r="AH283" s="176"/>
      <c r="AI283" s="85"/>
    </row>
    <row r="284" spans="1:35" s="91" customFormat="1" ht="14.45" customHeight="1" x14ac:dyDescent="0.2">
      <c r="A284" s="86">
        <v>408</v>
      </c>
      <c r="B284" s="48" t="str">
        <f>REPLACE(E284,1,3, )</f>
        <v xml:space="preserve"> 744</v>
      </c>
      <c r="C284" s="70" t="s">
        <v>828</v>
      </c>
      <c r="D284" s="49">
        <f>IF(E284=C284,0,1)</f>
        <v>0</v>
      </c>
      <c r="E284" s="50" t="s">
        <v>828</v>
      </c>
      <c r="F284" s="30" t="str">
        <f>REPLACE(E284,4,4, )</f>
        <v>SMM</v>
      </c>
      <c r="G284" s="30" t="s">
        <v>34</v>
      </c>
      <c r="H284" s="34" t="s">
        <v>767</v>
      </c>
      <c r="I284" s="30" t="s">
        <v>775</v>
      </c>
      <c r="J284" s="51">
        <f>M284</f>
        <v>80250</v>
      </c>
      <c r="K284" s="52">
        <f>J284-M284</f>
        <v>0</v>
      </c>
      <c r="L284" s="60" t="s">
        <v>97</v>
      </c>
      <c r="M284" s="61">
        <v>80250</v>
      </c>
      <c r="N284" s="54">
        <f>2000+600+200+250+3600+450</f>
        <v>7100</v>
      </c>
      <c r="O284" s="55">
        <f>M284+N284</f>
        <v>87350</v>
      </c>
      <c r="P284" s="86">
        <v>408</v>
      </c>
      <c r="Q284" s="56">
        <v>87350</v>
      </c>
      <c r="R284" s="41">
        <f>O284-Q284</f>
        <v>0</v>
      </c>
      <c r="S284" s="67"/>
      <c r="T284" s="33" t="s">
        <v>811</v>
      </c>
      <c r="U284" s="57">
        <v>-4000</v>
      </c>
      <c r="V284" s="57">
        <f>U284+O284</f>
        <v>83350</v>
      </c>
      <c r="W284" s="57">
        <f>V284/0.7</f>
        <v>119071.42857142858</v>
      </c>
      <c r="X284" s="58">
        <f>W284/0.875</f>
        <v>136081.63265306124</v>
      </c>
      <c r="Y284" s="59">
        <f>(X284-W284)/X284</f>
        <v>0.12500000000000006</v>
      </c>
      <c r="Z284" s="58">
        <f>(ROUNDUP((X284/100),0))*100</f>
        <v>136100</v>
      </c>
      <c r="AA284" s="58"/>
      <c r="AB284" s="58"/>
      <c r="AC284" s="180"/>
      <c r="AD284" s="180"/>
      <c r="AE284" s="176"/>
      <c r="AF284" s="176"/>
      <c r="AG284" s="176"/>
      <c r="AH284" s="176"/>
    </row>
    <row r="285" spans="1:35" ht="14.45" customHeight="1" x14ac:dyDescent="0.2">
      <c r="A285" s="86">
        <v>386</v>
      </c>
      <c r="B285" s="48" t="str">
        <f>REPLACE(E285,1,3, )</f>
        <v xml:space="preserve"> 767</v>
      </c>
      <c r="C285" s="70" t="s">
        <v>790</v>
      </c>
      <c r="D285" s="49">
        <f>IF(E285=C285,0,1)</f>
        <v>0</v>
      </c>
      <c r="E285" s="47" t="s">
        <v>790</v>
      </c>
      <c r="F285" s="30" t="str">
        <f>REPLACE(E285,4,4, )</f>
        <v>SMM</v>
      </c>
      <c r="G285" s="30" t="s">
        <v>91</v>
      </c>
      <c r="H285" s="34" t="s">
        <v>767</v>
      </c>
      <c r="I285" s="30" t="s">
        <v>775</v>
      </c>
      <c r="J285" s="51">
        <f>M285</f>
        <v>62750</v>
      </c>
      <c r="K285" s="52">
        <f>J285-M285</f>
        <v>0</v>
      </c>
      <c r="L285" s="60" t="s">
        <v>97</v>
      </c>
      <c r="M285" s="62">
        <v>62750</v>
      </c>
      <c r="N285" s="53">
        <f>2000+600+200+250+1000+3600+450</f>
        <v>8100</v>
      </c>
      <c r="O285" s="55">
        <f>M285+N285</f>
        <v>70850</v>
      </c>
      <c r="P285" s="86">
        <v>386</v>
      </c>
      <c r="Q285" s="56">
        <v>70850</v>
      </c>
      <c r="R285" s="41">
        <f>O285-Q285</f>
        <v>0</v>
      </c>
      <c r="S285" s="67"/>
      <c r="T285" s="33" t="s">
        <v>786</v>
      </c>
      <c r="U285" s="57"/>
      <c r="V285" s="57">
        <f>U285+O285</f>
        <v>70850</v>
      </c>
      <c r="W285" s="57">
        <f>V285/0.7</f>
        <v>101214.28571428572</v>
      </c>
      <c r="X285" s="58">
        <f>W285/0.875</f>
        <v>115673.46938775512</v>
      </c>
      <c r="Y285" s="59">
        <f>(X285-W285)/X285</f>
        <v>0.12500000000000003</v>
      </c>
      <c r="Z285" s="58">
        <f>(ROUNDUP((X285/100),0))*100</f>
        <v>115700</v>
      </c>
      <c r="AA285" s="178"/>
      <c r="AB285" s="178"/>
      <c r="AC285" s="177"/>
      <c r="AD285" s="177"/>
      <c r="AE285" s="179"/>
      <c r="AF285" s="179"/>
      <c r="AG285" s="179"/>
      <c r="AH285" s="179"/>
      <c r="AI285" s="85"/>
    </row>
    <row r="286" spans="1:35" ht="14.45" customHeight="1" x14ac:dyDescent="0.2">
      <c r="A286" s="86">
        <v>392</v>
      </c>
      <c r="B286" s="48" t="str">
        <f>REPLACE(E286,1,3, )</f>
        <v xml:space="preserve"> 826</v>
      </c>
      <c r="C286" s="70" t="s">
        <v>798</v>
      </c>
      <c r="D286" s="49">
        <f>IF(E286=C286,0,1)</f>
        <v>0</v>
      </c>
      <c r="E286" s="50" t="s">
        <v>798</v>
      </c>
      <c r="F286" s="30" t="str">
        <f>REPLACE(E286,4,4, )</f>
        <v>SMM</v>
      </c>
      <c r="G286" s="30" t="s">
        <v>34</v>
      </c>
      <c r="H286" s="34" t="s">
        <v>767</v>
      </c>
      <c r="I286" s="30" t="s">
        <v>775</v>
      </c>
      <c r="J286" s="51">
        <f>M286</f>
        <v>63750</v>
      </c>
      <c r="K286" s="52">
        <f>J286-M286</f>
        <v>0</v>
      </c>
      <c r="L286" s="60" t="s">
        <v>97</v>
      </c>
      <c r="M286" s="61">
        <v>63750</v>
      </c>
      <c r="N286" s="54">
        <f>2000+600+200+250+800+2400+3600+400+450</f>
        <v>10700</v>
      </c>
      <c r="O286" s="55">
        <f>M286+N286</f>
        <v>74450</v>
      </c>
      <c r="P286" s="86">
        <v>392</v>
      </c>
      <c r="Q286" s="56">
        <v>74450</v>
      </c>
      <c r="R286" s="41">
        <f>O286-Q286</f>
        <v>0</v>
      </c>
      <c r="S286" s="67"/>
      <c r="T286" s="33" t="s">
        <v>799</v>
      </c>
      <c r="U286" s="57">
        <v>-1000</v>
      </c>
      <c r="V286" s="57">
        <f>U286+O286</f>
        <v>73450</v>
      </c>
      <c r="W286" s="57">
        <f>V286/0.7</f>
        <v>104928.57142857143</v>
      </c>
      <c r="X286" s="58">
        <f>W286/0.875</f>
        <v>119918.36734693879</v>
      </c>
      <c r="Y286" s="59">
        <f>(X286-W286)/X286</f>
        <v>0.12500000000000003</v>
      </c>
      <c r="Z286" s="58">
        <f>(ROUNDUP((X286/100),0))*100</f>
        <v>120000</v>
      </c>
      <c r="AA286" s="58"/>
      <c r="AB286" s="58"/>
      <c r="AC286" s="180"/>
      <c r="AD286" s="180"/>
      <c r="AE286" s="176"/>
      <c r="AF286" s="176"/>
      <c r="AG286" s="176"/>
      <c r="AH286" s="176"/>
      <c r="AI286" s="85"/>
    </row>
    <row r="287" spans="1:35" ht="14.45" customHeight="1" x14ac:dyDescent="0.2">
      <c r="A287" s="86">
        <v>429</v>
      </c>
      <c r="B287" s="48" t="str">
        <f>REPLACE(E287,1,3, )</f>
        <v xml:space="preserve"> 828</v>
      </c>
      <c r="C287" s="32" t="s">
        <v>863</v>
      </c>
      <c r="D287" s="49">
        <f>IF(E287=C287,0,1)</f>
        <v>0</v>
      </c>
      <c r="E287" s="47" t="s">
        <v>863</v>
      </c>
      <c r="F287" s="30" t="str">
        <f>REPLACE(E287,4,4, )</f>
        <v>SMM</v>
      </c>
      <c r="G287" s="30" t="s">
        <v>91</v>
      </c>
      <c r="H287" s="71" t="s">
        <v>859</v>
      </c>
      <c r="I287" s="30" t="s">
        <v>775</v>
      </c>
      <c r="J287" s="51">
        <f>M287</f>
        <v>48000</v>
      </c>
      <c r="K287" s="52">
        <f>J287-M287</f>
        <v>0</v>
      </c>
      <c r="L287" s="60" t="s">
        <v>97</v>
      </c>
      <c r="M287" s="62">
        <v>48000</v>
      </c>
      <c r="N287" s="53">
        <f>2000+200+250+600+3000</f>
        <v>6050</v>
      </c>
      <c r="O287" s="55">
        <f>M287+N287</f>
        <v>54050</v>
      </c>
      <c r="P287" s="86">
        <v>429</v>
      </c>
      <c r="Q287" s="56">
        <v>54050</v>
      </c>
      <c r="R287" s="41">
        <f>O287-Q287</f>
        <v>0</v>
      </c>
      <c r="S287" s="67"/>
      <c r="T287" s="33" t="s">
        <v>864</v>
      </c>
      <c r="U287" s="57"/>
      <c r="V287" s="57">
        <f>U287+O287</f>
        <v>54050</v>
      </c>
      <c r="W287" s="57">
        <f>V287/0.7</f>
        <v>77214.285714285725</v>
      </c>
      <c r="X287" s="58">
        <f>W287/0.875</f>
        <v>88244.897959183683</v>
      </c>
      <c r="Y287" s="59">
        <f>(X287-W287)/X287</f>
        <v>0.12499999999999999</v>
      </c>
      <c r="Z287" s="58">
        <f>(ROUNDUP((X287/100),0))*100</f>
        <v>88300</v>
      </c>
      <c r="AA287" s="178"/>
      <c r="AB287" s="178"/>
      <c r="AC287" s="177"/>
      <c r="AD287" s="177"/>
      <c r="AE287" s="179"/>
      <c r="AF287" s="179"/>
      <c r="AG287" s="179"/>
      <c r="AH287" s="179"/>
      <c r="AI287" s="85"/>
    </row>
    <row r="288" spans="1:35" s="91" customFormat="1" ht="14.45" customHeight="1" x14ac:dyDescent="0.2">
      <c r="A288" s="86">
        <v>430</v>
      </c>
      <c r="B288" s="48" t="str">
        <f>REPLACE(E288,1,3, )</f>
        <v xml:space="preserve"> 845</v>
      </c>
      <c r="C288" s="32" t="s">
        <v>865</v>
      </c>
      <c r="D288" s="49">
        <f>IF(E288=C288,0,1)</f>
        <v>0</v>
      </c>
      <c r="E288" s="50" t="s">
        <v>865</v>
      </c>
      <c r="F288" s="30" t="str">
        <f>REPLACE(E288,4,4, )</f>
        <v>SMM</v>
      </c>
      <c r="G288" s="30" t="s">
        <v>34</v>
      </c>
      <c r="H288" s="71" t="s">
        <v>859</v>
      </c>
      <c r="I288" s="30" t="s">
        <v>775</v>
      </c>
      <c r="J288" s="51">
        <f>M288</f>
        <v>48200</v>
      </c>
      <c r="K288" s="52">
        <f>J288-M288</f>
        <v>0</v>
      </c>
      <c r="L288" s="60" t="s">
        <v>97</v>
      </c>
      <c r="M288" s="61">
        <v>48200</v>
      </c>
      <c r="N288" s="54">
        <f>2000+600+200+800+250+2400+3000</f>
        <v>9250</v>
      </c>
      <c r="O288" s="55">
        <f>M288+N288</f>
        <v>57450</v>
      </c>
      <c r="P288" s="86">
        <v>430</v>
      </c>
      <c r="Q288" s="56">
        <v>57450</v>
      </c>
      <c r="R288" s="41">
        <f>O288-Q288</f>
        <v>0</v>
      </c>
      <c r="S288" s="67"/>
      <c r="T288" s="33" t="s">
        <v>866</v>
      </c>
      <c r="U288" s="57"/>
      <c r="V288" s="57">
        <f>U288+O288</f>
        <v>57450</v>
      </c>
      <c r="W288" s="57">
        <f>V288/0.7</f>
        <v>82071.42857142858</v>
      </c>
      <c r="X288" s="58">
        <f>W288/0.875</f>
        <v>93795.918367346952</v>
      </c>
      <c r="Y288" s="59">
        <f>(X288-W288)/X288</f>
        <v>0.12500000000000003</v>
      </c>
      <c r="Z288" s="58">
        <f>(ROUNDUP((X288/100),0))*100</f>
        <v>93800</v>
      </c>
      <c r="AA288" s="58"/>
      <c r="AB288" s="58"/>
      <c r="AC288" s="180"/>
      <c r="AD288" s="180"/>
      <c r="AE288" s="176"/>
      <c r="AF288" s="176"/>
      <c r="AG288" s="176"/>
      <c r="AH288" s="176"/>
    </row>
    <row r="289" spans="1:35" ht="14.45" customHeight="1" x14ac:dyDescent="0.2">
      <c r="A289" s="86">
        <v>425</v>
      </c>
      <c r="B289" s="48" t="str">
        <f>REPLACE(E289,1,3, )</f>
        <v xml:space="preserve"> 851</v>
      </c>
      <c r="C289" s="32" t="s">
        <v>853</v>
      </c>
      <c r="D289" s="49">
        <f>IF(E289=C289,0,1)</f>
        <v>0</v>
      </c>
      <c r="E289" s="50" t="s">
        <v>853</v>
      </c>
      <c r="F289" s="30" t="str">
        <f>REPLACE(E289,4,4, )</f>
        <v>SMM</v>
      </c>
      <c r="G289" s="30" t="s">
        <v>34</v>
      </c>
      <c r="H289" s="71" t="s">
        <v>854</v>
      </c>
      <c r="I289" s="30" t="s">
        <v>775</v>
      </c>
      <c r="J289" s="51">
        <f>M289</f>
        <v>74750</v>
      </c>
      <c r="K289" s="52">
        <f>J289-M289</f>
        <v>0</v>
      </c>
      <c r="L289" s="60" t="s">
        <v>97</v>
      </c>
      <c r="M289" s="61">
        <v>74750</v>
      </c>
      <c r="N289" s="54">
        <f>2000+600+200+250+700+3600</f>
        <v>7350</v>
      </c>
      <c r="O289" s="55">
        <f>M289+N289</f>
        <v>82100</v>
      </c>
      <c r="P289" s="86">
        <v>425</v>
      </c>
      <c r="Q289" s="56">
        <v>82100</v>
      </c>
      <c r="R289" s="41">
        <f>O289-Q289</f>
        <v>0</v>
      </c>
      <c r="S289" s="67"/>
      <c r="T289" s="33" t="s">
        <v>855</v>
      </c>
      <c r="U289" s="57"/>
      <c r="V289" s="57">
        <f>U289+O289</f>
        <v>82100</v>
      </c>
      <c r="W289" s="57">
        <f>V289/0.7</f>
        <v>117285.71428571429</v>
      </c>
      <c r="X289" s="58">
        <f>W289/0.875</f>
        <v>134040.81632653062</v>
      </c>
      <c r="Y289" s="59">
        <f>(X289-W289)/X289</f>
        <v>0.12500000000000003</v>
      </c>
      <c r="Z289" s="58">
        <f>(ROUNDUP((X289/100),0))*100</f>
        <v>134100</v>
      </c>
      <c r="AA289" s="58"/>
      <c r="AB289" s="58"/>
      <c r="AC289" s="180"/>
      <c r="AD289" s="180"/>
      <c r="AE289" s="176"/>
      <c r="AF289" s="176"/>
      <c r="AG289" s="176"/>
      <c r="AH289" s="176"/>
      <c r="AI289" s="85"/>
    </row>
    <row r="290" spans="1:35" s="91" customFormat="1" ht="14.45" customHeight="1" x14ac:dyDescent="0.2">
      <c r="A290" s="86">
        <v>388</v>
      </c>
      <c r="B290" s="48" t="str">
        <f>REPLACE(E290,1,3, )</f>
        <v xml:space="preserve"> 880</v>
      </c>
      <c r="C290" s="70" t="s">
        <v>792</v>
      </c>
      <c r="D290" s="49">
        <f>IF(E290=C290,0,1)</f>
        <v>0</v>
      </c>
      <c r="E290" s="47" t="s">
        <v>792</v>
      </c>
      <c r="F290" s="30" t="str">
        <f>REPLACE(E290,4,4, )</f>
        <v>SMM</v>
      </c>
      <c r="G290" s="30" t="s">
        <v>91</v>
      </c>
      <c r="H290" s="34" t="s">
        <v>767</v>
      </c>
      <c r="I290" s="30" t="s">
        <v>775</v>
      </c>
      <c r="J290" s="51">
        <f>M290</f>
        <v>68750</v>
      </c>
      <c r="K290" s="52">
        <f>J290-M290</f>
        <v>0</v>
      </c>
      <c r="L290" s="60" t="s">
        <v>97</v>
      </c>
      <c r="M290" s="62">
        <f>68750</f>
        <v>68750</v>
      </c>
      <c r="N290" s="53">
        <f>2000+600+200+250+1000+3600+450</f>
        <v>8100</v>
      </c>
      <c r="O290" s="55">
        <f>M290+N290</f>
        <v>76850</v>
      </c>
      <c r="P290" s="86">
        <v>388</v>
      </c>
      <c r="Q290" s="56">
        <v>76850</v>
      </c>
      <c r="R290" s="41">
        <f>O290-Q290</f>
        <v>0</v>
      </c>
      <c r="S290" s="67"/>
      <c r="T290" s="33" t="s">
        <v>786</v>
      </c>
      <c r="U290" s="57"/>
      <c r="V290" s="57">
        <f>U290+O290</f>
        <v>76850</v>
      </c>
      <c r="W290" s="57">
        <f>V290/0.7</f>
        <v>109785.71428571429</v>
      </c>
      <c r="X290" s="58">
        <f>W290/0.875</f>
        <v>125469.38775510204</v>
      </c>
      <c r="Y290" s="59">
        <f>(X290-W290)/X290</f>
        <v>0.12499999999999997</v>
      </c>
      <c r="Z290" s="58">
        <f>(ROUNDUP((X290/100),0))*100</f>
        <v>125500</v>
      </c>
      <c r="AA290" s="178"/>
      <c r="AB290" s="178"/>
      <c r="AC290" s="177"/>
      <c r="AD290" s="177"/>
      <c r="AE290" s="179"/>
      <c r="AF290" s="179"/>
      <c r="AG290" s="179"/>
      <c r="AH290" s="179"/>
    </row>
    <row r="291" spans="1:35" ht="14.45" customHeight="1" x14ac:dyDescent="0.2">
      <c r="A291" s="86">
        <v>399</v>
      </c>
      <c r="B291" s="48" t="str">
        <f>REPLACE(E291,1,3, )</f>
        <v xml:space="preserve"> 908</v>
      </c>
      <c r="C291" s="70" t="s">
        <v>809</v>
      </c>
      <c r="D291" s="49">
        <f>IF(E291=C291,0,1)</f>
        <v>0</v>
      </c>
      <c r="E291" s="47" t="s">
        <v>809</v>
      </c>
      <c r="F291" s="30" t="str">
        <f>REPLACE(E291,4,4, )</f>
        <v>SMM</v>
      </c>
      <c r="G291" s="30" t="s">
        <v>91</v>
      </c>
      <c r="H291" s="34" t="s">
        <v>767</v>
      </c>
      <c r="I291" s="30" t="s">
        <v>775</v>
      </c>
      <c r="J291" s="51">
        <f>M291</f>
        <v>67750</v>
      </c>
      <c r="K291" s="52">
        <f>J291-M291</f>
        <v>0</v>
      </c>
      <c r="L291" s="60" t="s">
        <v>97</v>
      </c>
      <c r="M291" s="62">
        <f>64000+3000+750</f>
        <v>67750</v>
      </c>
      <c r="N291" s="53">
        <f>2000+600+200+250+1000+3600+450</f>
        <v>8100</v>
      </c>
      <c r="O291" s="55">
        <f>M291+N291</f>
        <v>75850</v>
      </c>
      <c r="P291" s="86">
        <v>399</v>
      </c>
      <c r="Q291" s="56">
        <v>75850</v>
      </c>
      <c r="R291" s="41">
        <f>O291-Q291</f>
        <v>0</v>
      </c>
      <c r="S291" s="67"/>
      <c r="T291" s="33" t="s">
        <v>786</v>
      </c>
      <c r="U291" s="57"/>
      <c r="V291" s="57">
        <f>U291+O291</f>
        <v>75850</v>
      </c>
      <c r="W291" s="57">
        <f>V291/0.7</f>
        <v>108357.14285714287</v>
      </c>
      <c r="X291" s="58">
        <f>W291/0.875</f>
        <v>123836.73469387756</v>
      </c>
      <c r="Y291" s="59">
        <f>(X291-W291)/X291</f>
        <v>0.12499999999999996</v>
      </c>
      <c r="Z291" s="58">
        <f>(ROUNDUP((X291/100),0))*100</f>
        <v>123900</v>
      </c>
      <c r="AA291" s="178"/>
      <c r="AB291" s="178"/>
      <c r="AC291" s="177"/>
      <c r="AD291" s="177"/>
      <c r="AE291" s="179"/>
      <c r="AF291" s="179"/>
      <c r="AG291" s="179"/>
      <c r="AH291" s="179"/>
      <c r="AI291" s="85"/>
    </row>
    <row r="292" spans="1:35" ht="14.45" customHeight="1" x14ac:dyDescent="0.2">
      <c r="A292" s="86">
        <v>377</v>
      </c>
      <c r="B292" s="48" t="str">
        <f>REPLACE(E292,1,3, )</f>
        <v xml:space="preserve"> 912</v>
      </c>
      <c r="C292" s="70" t="s">
        <v>774</v>
      </c>
      <c r="D292" s="49">
        <f>IF(E292=C292,0,1)</f>
        <v>0</v>
      </c>
      <c r="E292" s="50" t="s">
        <v>774</v>
      </c>
      <c r="F292" s="30" t="str">
        <f>REPLACE(E292,4,4, )</f>
        <v>SMM</v>
      </c>
      <c r="G292" s="30" t="s">
        <v>34</v>
      </c>
      <c r="H292" s="34" t="s">
        <v>767</v>
      </c>
      <c r="I292" s="30" t="s">
        <v>775</v>
      </c>
      <c r="J292" s="51">
        <f>M292</f>
        <v>77750</v>
      </c>
      <c r="K292" s="52">
        <f>J292-M292</f>
        <v>0</v>
      </c>
      <c r="L292" s="60" t="s">
        <v>97</v>
      </c>
      <c r="M292" s="61">
        <v>77750</v>
      </c>
      <c r="N292" s="54">
        <f>2000+600+200+250+650+3600+450</f>
        <v>7750</v>
      </c>
      <c r="O292" s="55">
        <f>M292+N292</f>
        <v>85500</v>
      </c>
      <c r="P292" s="86">
        <v>377</v>
      </c>
      <c r="Q292" s="56">
        <v>85500</v>
      </c>
      <c r="R292" s="41">
        <f>O292-Q292</f>
        <v>0</v>
      </c>
      <c r="S292" s="42" t="s">
        <v>771</v>
      </c>
      <c r="T292" s="33" t="s">
        <v>776</v>
      </c>
      <c r="U292" s="57">
        <v>-2000</v>
      </c>
      <c r="V292" s="57">
        <f>U292+O292</f>
        <v>83500</v>
      </c>
      <c r="W292" s="57">
        <f>V292/0.7</f>
        <v>119285.71428571429</v>
      </c>
      <c r="X292" s="58">
        <f>W292/0.875</f>
        <v>136326.53061224491</v>
      </c>
      <c r="Y292" s="59">
        <f>(X292-W292)/X292</f>
        <v>0.12500000000000006</v>
      </c>
      <c r="Z292" s="58">
        <f>(ROUNDUP((X292/100),0))*100</f>
        <v>136400</v>
      </c>
      <c r="AA292" s="58"/>
      <c r="AB292" s="58"/>
      <c r="AC292" s="180"/>
      <c r="AD292" s="180"/>
      <c r="AE292" s="176"/>
      <c r="AF292" s="176"/>
      <c r="AG292" s="176"/>
      <c r="AH292" s="176"/>
      <c r="AI292" s="85"/>
    </row>
    <row r="293" spans="1:35" s="91" customFormat="1" ht="14.45" customHeight="1" x14ac:dyDescent="0.2">
      <c r="A293" s="86">
        <v>411</v>
      </c>
      <c r="B293" s="48" t="str">
        <f>REPLACE(E293,1,3, )</f>
        <v xml:space="preserve"> 971</v>
      </c>
      <c r="C293" s="70" t="s">
        <v>833</v>
      </c>
      <c r="D293" s="49">
        <f>IF(E293=C293,0,1)</f>
        <v>0</v>
      </c>
      <c r="E293" s="47" t="s">
        <v>833</v>
      </c>
      <c r="F293" s="30" t="str">
        <f>REPLACE(E293,4,4, )</f>
        <v>SMM</v>
      </c>
      <c r="G293" s="30" t="s">
        <v>91</v>
      </c>
      <c r="H293" s="34" t="s">
        <v>767</v>
      </c>
      <c r="I293" s="30" t="s">
        <v>775</v>
      </c>
      <c r="J293" s="51">
        <f>M293</f>
        <v>67750</v>
      </c>
      <c r="K293" s="52">
        <f>J293-M293</f>
        <v>0</v>
      </c>
      <c r="L293" s="60" t="s">
        <v>97</v>
      </c>
      <c r="M293" s="62">
        <v>67750</v>
      </c>
      <c r="N293" s="53">
        <f>2000+600+200+250+1000+3600+450</f>
        <v>8100</v>
      </c>
      <c r="O293" s="55">
        <f>M293+N293</f>
        <v>75850</v>
      </c>
      <c r="P293" s="86">
        <v>411</v>
      </c>
      <c r="Q293" s="56">
        <v>75850</v>
      </c>
      <c r="R293" s="41">
        <f>O293-Q293</f>
        <v>0</v>
      </c>
      <c r="S293" s="67"/>
      <c r="T293" s="33" t="s">
        <v>786</v>
      </c>
      <c r="U293" s="57"/>
      <c r="V293" s="57">
        <f>U293+O293</f>
        <v>75850</v>
      </c>
      <c r="W293" s="57">
        <f>V293/0.7</f>
        <v>108357.14285714287</v>
      </c>
      <c r="X293" s="58">
        <f>W293/0.875</f>
        <v>123836.73469387756</v>
      </c>
      <c r="Y293" s="59">
        <f>(X293-W293)/X293</f>
        <v>0.12499999999999996</v>
      </c>
      <c r="Z293" s="58">
        <f>(ROUNDUP((X293/100),0))*100</f>
        <v>123900</v>
      </c>
      <c r="AA293" s="178" t="s">
        <v>1780</v>
      </c>
      <c r="AB293" s="224">
        <v>43428</v>
      </c>
      <c r="AC293" s="177"/>
      <c r="AD293" s="177"/>
      <c r="AE293" s="179"/>
      <c r="AF293" s="179"/>
      <c r="AG293" s="179"/>
      <c r="AH293" s="179"/>
    </row>
    <row r="294" spans="1:35" s="91" customFormat="1" ht="14.45" customHeight="1" x14ac:dyDescent="0.2">
      <c r="A294" s="86">
        <v>404</v>
      </c>
      <c r="B294" s="48" t="str">
        <f>REPLACE(E294,1,3, )</f>
        <v xml:space="preserve"> 980</v>
      </c>
      <c r="C294" s="70" t="s">
        <v>821</v>
      </c>
      <c r="D294" s="49">
        <f>IF(E294=C294,0,1)</f>
        <v>0</v>
      </c>
      <c r="E294" s="50" t="s">
        <v>821</v>
      </c>
      <c r="F294" s="30" t="str">
        <f>REPLACE(E294,4,4, )</f>
        <v>SMM</v>
      </c>
      <c r="G294" s="30" t="s">
        <v>34</v>
      </c>
      <c r="H294" s="34" t="s">
        <v>767</v>
      </c>
      <c r="I294" s="30" t="s">
        <v>775</v>
      </c>
      <c r="J294" s="51">
        <f>M294</f>
        <v>62750</v>
      </c>
      <c r="K294" s="52">
        <f>J294-M294</f>
        <v>0</v>
      </c>
      <c r="L294" s="60" t="s">
        <v>97</v>
      </c>
      <c r="M294" s="61">
        <v>62750</v>
      </c>
      <c r="N294" s="54">
        <f>2000+600+200+250+1000+2400+3600+450</f>
        <v>10500</v>
      </c>
      <c r="O294" s="55">
        <f>M294+N294</f>
        <v>73250</v>
      </c>
      <c r="P294" s="86">
        <v>404</v>
      </c>
      <c r="Q294" s="56">
        <v>73250</v>
      </c>
      <c r="R294" s="41">
        <f>O294-Q294</f>
        <v>0</v>
      </c>
      <c r="S294" s="67"/>
      <c r="T294" s="33" t="s">
        <v>799</v>
      </c>
      <c r="U294" s="57"/>
      <c r="V294" s="57">
        <f>U294+O294</f>
        <v>73250</v>
      </c>
      <c r="W294" s="57">
        <f>V294/0.7</f>
        <v>104642.85714285714</v>
      </c>
      <c r="X294" s="58">
        <f>W294/0.875</f>
        <v>119591.83673469388</v>
      </c>
      <c r="Y294" s="59">
        <f>(X294-W294)/X294</f>
        <v>0.12499999999999997</v>
      </c>
      <c r="Z294" s="58">
        <f>(ROUNDUP((X294/100),0))*100</f>
        <v>119600</v>
      </c>
      <c r="AA294" s="58"/>
      <c r="AB294" s="58"/>
      <c r="AC294" s="180"/>
      <c r="AD294" s="180"/>
      <c r="AE294" s="176"/>
      <c r="AF294" s="176"/>
      <c r="AG294" s="176"/>
      <c r="AH294" s="176"/>
    </row>
    <row r="295" spans="1:35" s="91" customFormat="1" ht="14.45" customHeight="1" x14ac:dyDescent="0.2">
      <c r="A295" s="86">
        <v>432</v>
      </c>
      <c r="B295" s="48" t="str">
        <f>REPLACE(E295,1,3, )</f>
        <v xml:space="preserve"> 981</v>
      </c>
      <c r="C295" s="32" t="s">
        <v>869</v>
      </c>
      <c r="D295" s="49">
        <f>IF(E295=C295,0,1)</f>
        <v>0</v>
      </c>
      <c r="E295" s="50" t="s">
        <v>869</v>
      </c>
      <c r="F295" s="30" t="str">
        <f>REPLACE(E295,4,4, )</f>
        <v>SMM</v>
      </c>
      <c r="G295" s="30" t="s">
        <v>34</v>
      </c>
      <c r="H295" s="71" t="s">
        <v>859</v>
      </c>
      <c r="I295" s="30" t="s">
        <v>775</v>
      </c>
      <c r="J295" s="51">
        <f>M295</f>
        <v>55200</v>
      </c>
      <c r="K295" s="52">
        <f>J295-M295</f>
        <v>0</v>
      </c>
      <c r="L295" s="60" t="s">
        <v>97</v>
      </c>
      <c r="M295" s="61">
        <v>55200</v>
      </c>
      <c r="N295" s="54">
        <f>2000+600+200+250+400+3000</f>
        <v>6450</v>
      </c>
      <c r="O295" s="55">
        <f>M295+N295</f>
        <v>61650</v>
      </c>
      <c r="P295" s="86">
        <v>432</v>
      </c>
      <c r="Q295" s="56">
        <v>61650</v>
      </c>
      <c r="R295" s="41">
        <f>O295-Q295</f>
        <v>0</v>
      </c>
      <c r="S295" s="67"/>
      <c r="T295" s="33" t="s">
        <v>870</v>
      </c>
      <c r="U295" s="57"/>
      <c r="V295" s="57">
        <f>U295+O295</f>
        <v>61650</v>
      </c>
      <c r="W295" s="57">
        <f>V295/0.7</f>
        <v>88071.42857142858</v>
      </c>
      <c r="X295" s="58">
        <f>W295/0.875</f>
        <v>100653.06122448981</v>
      </c>
      <c r="Y295" s="59">
        <f>(X295-W295)/X295</f>
        <v>0.12500000000000003</v>
      </c>
      <c r="Z295" s="58">
        <f>(ROUNDUP((X295/100),0))*100</f>
        <v>100700</v>
      </c>
      <c r="AA295" s="58"/>
      <c r="AB295" s="58"/>
      <c r="AC295" s="180"/>
      <c r="AD295" s="180"/>
      <c r="AE295" s="176"/>
      <c r="AF295" s="176"/>
      <c r="AG295" s="176"/>
      <c r="AH295" s="176"/>
    </row>
    <row r="296" spans="1:35" ht="14.45" customHeight="1" x14ac:dyDescent="0.2">
      <c r="A296" s="47">
        <v>64</v>
      </c>
      <c r="B296" s="48" t="str">
        <f>REPLACE(E296,1,3, )</f>
        <v xml:space="preserve"> 587</v>
      </c>
      <c r="C296" s="70" t="s">
        <v>197</v>
      </c>
      <c r="D296" s="49">
        <f>IF(E296=C296,0,1)</f>
        <v>0</v>
      </c>
      <c r="E296" s="47" t="s">
        <v>197</v>
      </c>
      <c r="F296" s="30" t="str">
        <f>REPLACE(E296,4,4, )</f>
        <v>SMR</v>
      </c>
      <c r="G296" s="30" t="s">
        <v>91</v>
      </c>
      <c r="H296" s="34" t="s">
        <v>178</v>
      </c>
      <c r="I296" s="30" t="s">
        <v>113</v>
      </c>
      <c r="J296" s="51">
        <f>M296</f>
        <v>120000</v>
      </c>
      <c r="K296" s="52">
        <f>J296-M296</f>
        <v>0</v>
      </c>
      <c r="L296" s="60" t="s">
        <v>97</v>
      </c>
      <c r="M296" s="62">
        <v>120000</v>
      </c>
      <c r="N296" s="53">
        <f>2000+200+350+600+3100</f>
        <v>6250</v>
      </c>
      <c r="O296" s="55">
        <f>M296+N296</f>
        <v>126250</v>
      </c>
      <c r="P296" s="47">
        <v>64</v>
      </c>
      <c r="Q296" s="56">
        <v>126250</v>
      </c>
      <c r="R296" s="41">
        <f>O296-Q296</f>
        <v>0</v>
      </c>
      <c r="S296" s="67"/>
      <c r="T296" s="33" t="s">
        <v>198</v>
      </c>
      <c r="U296" s="57"/>
      <c r="V296" s="57">
        <f>U296+O296</f>
        <v>126250</v>
      </c>
      <c r="W296" s="57">
        <f>V296/0.7</f>
        <v>180357.14285714287</v>
      </c>
      <c r="X296" s="58">
        <f>W296/0.875</f>
        <v>206122.44897959186</v>
      </c>
      <c r="Y296" s="59">
        <f>(X296-W296)/X296</f>
        <v>0.12500000000000006</v>
      </c>
      <c r="Z296" s="58">
        <f>(ROUNDUP((X296/100),0))*100</f>
        <v>206200</v>
      </c>
      <c r="AA296" s="178"/>
      <c r="AB296" s="178"/>
      <c r="AC296" s="177"/>
      <c r="AD296" s="177"/>
      <c r="AE296" s="179"/>
      <c r="AF296" s="179"/>
      <c r="AG296" s="179"/>
      <c r="AH296" s="179"/>
      <c r="AI296" s="85"/>
    </row>
    <row r="297" spans="1:35" ht="14.45" customHeight="1" x14ac:dyDescent="0.2">
      <c r="A297" s="47">
        <v>33</v>
      </c>
      <c r="B297" s="48" t="str">
        <f>REPLACE(E297,1,3, )</f>
        <v xml:space="preserve"> 836</v>
      </c>
      <c r="C297" s="70" t="s">
        <v>146</v>
      </c>
      <c r="D297" s="49">
        <f>IF(E297=C297,0,1)</f>
        <v>0</v>
      </c>
      <c r="E297" s="47" t="s">
        <v>146</v>
      </c>
      <c r="F297" s="30" t="str">
        <f>REPLACE(E297,4,4, )</f>
        <v>SMR</v>
      </c>
      <c r="G297" s="30" t="s">
        <v>91</v>
      </c>
      <c r="H297" s="34" t="s">
        <v>92</v>
      </c>
      <c r="I297" s="30" t="s">
        <v>113</v>
      </c>
      <c r="J297" s="51">
        <f>M297</f>
        <v>75000</v>
      </c>
      <c r="K297" s="52">
        <f>J297-M297</f>
        <v>0</v>
      </c>
      <c r="L297" s="60" t="s">
        <v>97</v>
      </c>
      <c r="M297" s="62">
        <f>75000</f>
        <v>75000</v>
      </c>
      <c r="N297" s="53">
        <f>2000+200+350+600+800</f>
        <v>3950</v>
      </c>
      <c r="O297" s="55">
        <f>M297+N297</f>
        <v>78950</v>
      </c>
      <c r="P297" s="47">
        <v>33</v>
      </c>
      <c r="Q297" s="56">
        <v>78950</v>
      </c>
      <c r="R297" s="41">
        <f>O297-Q297</f>
        <v>0</v>
      </c>
      <c r="S297" s="67"/>
      <c r="T297" s="33" t="s">
        <v>114</v>
      </c>
      <c r="U297" s="57">
        <v>1000</v>
      </c>
      <c r="V297" s="57">
        <f>U297+O297</f>
        <v>79950</v>
      </c>
      <c r="W297" s="57">
        <f>V297/0.7</f>
        <v>114214.28571428572</v>
      </c>
      <c r="X297" s="58">
        <f>W297/0.875</f>
        <v>130530.61224489797</v>
      </c>
      <c r="Y297" s="59">
        <f>(X297-W297)/X297</f>
        <v>0.12500000000000003</v>
      </c>
      <c r="Z297" s="58">
        <f>(ROUNDUP((X297/100),0))*100</f>
        <v>130600</v>
      </c>
      <c r="AA297" s="178"/>
      <c r="AB297" s="178"/>
      <c r="AC297" s="177"/>
      <c r="AD297" s="177"/>
      <c r="AE297" s="179"/>
      <c r="AF297" s="179"/>
      <c r="AG297" s="179"/>
      <c r="AH297" s="179"/>
      <c r="AI297" s="85"/>
    </row>
    <row r="298" spans="1:35" ht="14.45" customHeight="1" x14ac:dyDescent="0.2">
      <c r="A298" s="47">
        <v>10</v>
      </c>
      <c r="B298" s="48" t="str">
        <f>REPLACE(E298,1,3, )</f>
        <v xml:space="preserve"> 915</v>
      </c>
      <c r="C298" s="32" t="s">
        <v>112</v>
      </c>
      <c r="D298" s="49">
        <f>IF(E298=C298,0,1)</f>
        <v>0</v>
      </c>
      <c r="E298" s="48" t="s">
        <v>112</v>
      </c>
      <c r="F298" s="30" t="str">
        <f>REPLACE(E298,4,4, )</f>
        <v>SMR</v>
      </c>
      <c r="G298" s="30" t="s">
        <v>34</v>
      </c>
      <c r="H298" s="34" t="s">
        <v>92</v>
      </c>
      <c r="I298" s="30" t="s">
        <v>113</v>
      </c>
      <c r="J298" s="51">
        <f>M298</f>
        <v>70000</v>
      </c>
      <c r="K298" s="52">
        <f>J298-M298</f>
        <v>0</v>
      </c>
      <c r="L298" s="60" t="s">
        <v>97</v>
      </c>
      <c r="M298" s="61">
        <v>70000</v>
      </c>
      <c r="N298" s="54">
        <f>2000+200+350+600+800</f>
        <v>3950</v>
      </c>
      <c r="O298" s="55">
        <f>M298+N298</f>
        <v>73950</v>
      </c>
      <c r="P298" s="47">
        <v>10</v>
      </c>
      <c r="Q298" s="56">
        <v>73950</v>
      </c>
      <c r="R298" s="41">
        <f>O298-Q298</f>
        <v>0</v>
      </c>
      <c r="S298" s="67"/>
      <c r="T298" s="33" t="s">
        <v>114</v>
      </c>
      <c r="U298" s="57">
        <v>2000</v>
      </c>
      <c r="V298" s="57">
        <f>U298+O298</f>
        <v>75950</v>
      </c>
      <c r="W298" s="57">
        <f>V298/0.7</f>
        <v>108500</v>
      </c>
      <c r="X298" s="58">
        <f>W298/0.875</f>
        <v>124000</v>
      </c>
      <c r="Y298" s="59">
        <f>(X298-W298)/X298</f>
        <v>0.125</v>
      </c>
      <c r="Z298" s="58">
        <f>(ROUNDUP((X298/100),0))*100</f>
        <v>124000</v>
      </c>
      <c r="AA298" s="58"/>
      <c r="AB298" s="58"/>
      <c r="AC298" s="180"/>
      <c r="AD298" s="180"/>
      <c r="AE298" s="176"/>
      <c r="AF298" s="176"/>
      <c r="AG298" s="176"/>
      <c r="AH298" s="176"/>
      <c r="AI298" s="85"/>
    </row>
    <row r="299" spans="1:35" ht="14.45" customHeight="1" x14ac:dyDescent="0.2">
      <c r="A299" s="47">
        <v>198</v>
      </c>
      <c r="B299" s="48" t="str">
        <f>REPLACE(E299,1,3, )</f>
        <v xml:space="preserve"> 632</v>
      </c>
      <c r="C299" s="70" t="s">
        <v>451</v>
      </c>
      <c r="D299" s="49">
        <f>IF(E299=C299,0,1)</f>
        <v>0</v>
      </c>
      <c r="E299" s="30" t="s">
        <v>451</v>
      </c>
      <c r="F299" s="30" t="str">
        <f>REPLACE(E299,4,4, )</f>
        <v>SMT</v>
      </c>
      <c r="G299" s="30" t="s">
        <v>91</v>
      </c>
      <c r="H299" s="71" t="s">
        <v>441</v>
      </c>
      <c r="I299" s="30" t="s">
        <v>452</v>
      </c>
      <c r="J299" s="51">
        <v>82000</v>
      </c>
      <c r="K299" s="52">
        <f>J299-M299</f>
        <v>4100</v>
      </c>
      <c r="L299" s="49" t="s">
        <v>94</v>
      </c>
      <c r="M299" s="53">
        <f>J299-N299</f>
        <v>77900</v>
      </c>
      <c r="N299" s="53">
        <f>2000+200+600+300+1000</f>
        <v>4100</v>
      </c>
      <c r="O299" s="55">
        <f>M299+N299</f>
        <v>82000</v>
      </c>
      <c r="P299" s="47">
        <v>198</v>
      </c>
      <c r="Q299" s="56">
        <v>82000</v>
      </c>
      <c r="R299" s="41">
        <f>O299-Q299</f>
        <v>0</v>
      </c>
      <c r="S299" s="67"/>
      <c r="T299" s="33"/>
      <c r="U299" s="57"/>
      <c r="V299" s="57">
        <f>U299+O299</f>
        <v>82000</v>
      </c>
      <c r="W299" s="57">
        <f>V299/0.7</f>
        <v>117142.85714285714</v>
      </c>
      <c r="X299" s="58">
        <f>W299/0.875</f>
        <v>133877.55102040817</v>
      </c>
      <c r="Y299" s="59">
        <f>(X299-W299)/X299</f>
        <v>0.125</v>
      </c>
      <c r="Z299" s="58">
        <f>(ROUNDUP((X299/100),0))*100</f>
        <v>133900</v>
      </c>
      <c r="AA299" s="178"/>
      <c r="AB299" s="178"/>
      <c r="AC299" s="177"/>
      <c r="AD299" s="177"/>
      <c r="AE299" s="179"/>
      <c r="AF299" s="179"/>
      <c r="AG299" s="179"/>
      <c r="AH299" s="179"/>
      <c r="AI299" s="85"/>
    </row>
    <row r="300" spans="1:35" s="91" customFormat="1" ht="14.45" customHeight="1" x14ac:dyDescent="0.2">
      <c r="A300" s="47">
        <v>190</v>
      </c>
      <c r="B300" s="48" t="str">
        <f>REPLACE(E300,1,3, )</f>
        <v xml:space="preserve"> 122</v>
      </c>
      <c r="C300" s="70" t="s">
        <v>438</v>
      </c>
      <c r="D300" s="49">
        <f>IF(E300=C300,0,1)</f>
        <v>0</v>
      </c>
      <c r="E300" s="49" t="s">
        <v>438</v>
      </c>
      <c r="F300" s="30" t="str">
        <f>REPLACE(E300,4,4, )</f>
        <v>SMU</v>
      </c>
      <c r="G300" s="33" t="s">
        <v>91</v>
      </c>
      <c r="H300" s="71" t="s">
        <v>360</v>
      </c>
      <c r="I300" s="33" t="s">
        <v>439</v>
      </c>
      <c r="J300" s="51">
        <v>60000</v>
      </c>
      <c r="K300" s="52">
        <f>J300-M300</f>
        <v>5900</v>
      </c>
      <c r="L300" s="49" t="s">
        <v>94</v>
      </c>
      <c r="M300" s="53">
        <f>J300-N300</f>
        <v>54100</v>
      </c>
      <c r="N300" s="53">
        <f>2000+300+600+3000</f>
        <v>5900</v>
      </c>
      <c r="O300" s="55">
        <f>M300+N300</f>
        <v>60000</v>
      </c>
      <c r="P300" s="47">
        <v>190</v>
      </c>
      <c r="Q300" s="56">
        <v>60000</v>
      </c>
      <c r="R300" s="41">
        <f>O300-Q300</f>
        <v>0</v>
      </c>
      <c r="S300" s="67"/>
      <c r="T300" s="33" t="s">
        <v>434</v>
      </c>
      <c r="U300" s="57"/>
      <c r="V300" s="57">
        <f>U300+O300</f>
        <v>60000</v>
      </c>
      <c r="W300" s="57">
        <f>V300/0.7</f>
        <v>85714.285714285725</v>
      </c>
      <c r="X300" s="58">
        <f>W300/0.875</f>
        <v>97959.183673469393</v>
      </c>
      <c r="Y300" s="59">
        <f>(X300-W300)/X300</f>
        <v>0.12499999999999994</v>
      </c>
      <c r="Z300" s="58">
        <f>(ROUNDUP((X300/100),0))*100</f>
        <v>98000</v>
      </c>
      <c r="AA300" s="178"/>
      <c r="AB300" s="178"/>
      <c r="AC300" s="177"/>
      <c r="AD300" s="177"/>
      <c r="AE300" s="179"/>
      <c r="AF300" s="179"/>
      <c r="AG300" s="179"/>
      <c r="AH300" s="179"/>
    </row>
    <row r="301" spans="1:35" ht="14.45" customHeight="1" x14ac:dyDescent="0.2">
      <c r="A301" s="47">
        <v>193</v>
      </c>
      <c r="B301" s="48" t="str">
        <f>REPLACE(E301,1,3, )</f>
        <v xml:space="preserve"> 354</v>
      </c>
      <c r="C301" s="70" t="s">
        <v>444</v>
      </c>
      <c r="D301" s="49">
        <f>IF(E301=C301,0,1)</f>
        <v>0</v>
      </c>
      <c r="E301" s="49" t="s">
        <v>444</v>
      </c>
      <c r="F301" s="30" t="str">
        <f>REPLACE(E301,4,4, )</f>
        <v>SMU</v>
      </c>
      <c r="G301" s="33" t="s">
        <v>91</v>
      </c>
      <c r="H301" s="71" t="s">
        <v>441</v>
      </c>
      <c r="I301" s="33" t="s">
        <v>439</v>
      </c>
      <c r="J301" s="51">
        <v>69000</v>
      </c>
      <c r="K301" s="52">
        <f>J301-M301</f>
        <v>6900</v>
      </c>
      <c r="L301" s="49" t="s">
        <v>94</v>
      </c>
      <c r="M301" s="53">
        <f>J301-N301</f>
        <v>62100</v>
      </c>
      <c r="N301" s="53">
        <f>2000+300+600+1000+3000</f>
        <v>6900</v>
      </c>
      <c r="O301" s="55">
        <f>M301+N301</f>
        <v>69000</v>
      </c>
      <c r="P301" s="47">
        <v>193</v>
      </c>
      <c r="Q301" s="56">
        <v>69000</v>
      </c>
      <c r="R301" s="41">
        <f>O301-Q301</f>
        <v>0</v>
      </c>
      <c r="S301" s="42"/>
      <c r="T301" s="33" t="s">
        <v>445</v>
      </c>
      <c r="U301" s="57"/>
      <c r="V301" s="57">
        <f>U301+O301</f>
        <v>69000</v>
      </c>
      <c r="W301" s="57">
        <f>V301/0.7</f>
        <v>98571.42857142858</v>
      </c>
      <c r="X301" s="58">
        <f>W301/0.875</f>
        <v>112653.06122448981</v>
      </c>
      <c r="Y301" s="59">
        <f>(X301-W301)/X301</f>
        <v>0.12500000000000003</v>
      </c>
      <c r="Z301" s="58">
        <f>(ROUNDUP((X301/100),0))*100</f>
        <v>112700</v>
      </c>
      <c r="AA301" s="178"/>
      <c r="AB301" s="178"/>
      <c r="AC301" s="177"/>
      <c r="AD301" s="177"/>
      <c r="AE301" s="179"/>
      <c r="AF301" s="179"/>
      <c r="AG301" s="179"/>
      <c r="AH301" s="179"/>
      <c r="AI301" s="85"/>
    </row>
    <row r="302" spans="1:35" s="91" customFormat="1" ht="14.45" customHeight="1" x14ac:dyDescent="0.2">
      <c r="A302" s="47">
        <v>265</v>
      </c>
      <c r="B302" s="48" t="str">
        <f>REPLACE(E302,1,3, )</f>
        <v xml:space="preserve"> 418</v>
      </c>
      <c r="C302" s="70" t="s">
        <v>575</v>
      </c>
      <c r="D302" s="49">
        <f>IF(E302=C302,0,1)</f>
        <v>0</v>
      </c>
      <c r="E302" s="49" t="s">
        <v>575</v>
      </c>
      <c r="F302" s="30" t="str">
        <f>REPLACE(E302,4,4, )</f>
        <v>SMU</v>
      </c>
      <c r="G302" s="33" t="s">
        <v>91</v>
      </c>
      <c r="H302" s="71" t="s">
        <v>545</v>
      </c>
      <c r="I302" s="33" t="s">
        <v>439</v>
      </c>
      <c r="J302" s="51">
        <v>37000</v>
      </c>
      <c r="K302" s="52">
        <f>J302-M302</f>
        <v>4900</v>
      </c>
      <c r="L302" s="49" t="s">
        <v>94</v>
      </c>
      <c r="M302" s="53">
        <f>J302-N302</f>
        <v>32100</v>
      </c>
      <c r="N302" s="53">
        <f>2000+300+600+2000</f>
        <v>4900</v>
      </c>
      <c r="O302" s="55">
        <f>M302+N302</f>
        <v>37000</v>
      </c>
      <c r="P302" s="47">
        <v>265</v>
      </c>
      <c r="Q302" s="56">
        <v>37000</v>
      </c>
      <c r="R302" s="41">
        <f>O302-Q302</f>
        <v>0</v>
      </c>
      <c r="S302" s="67"/>
      <c r="T302" s="33" t="s">
        <v>547</v>
      </c>
      <c r="U302" s="57"/>
      <c r="V302" s="57">
        <f>U302+O302</f>
        <v>37000</v>
      </c>
      <c r="W302" s="57">
        <f>V302/0.7</f>
        <v>52857.142857142862</v>
      </c>
      <c r="X302" s="58">
        <f>W302/0.875</f>
        <v>60408.163265306132</v>
      </c>
      <c r="Y302" s="59">
        <f>(X302-W302)/X302</f>
        <v>0.12500000000000006</v>
      </c>
      <c r="Z302" s="58">
        <f>(ROUNDUP((X302/100),0))*100</f>
        <v>60500</v>
      </c>
      <c r="AA302" s="178"/>
      <c r="AB302" s="178"/>
      <c r="AC302" s="177"/>
      <c r="AD302" s="177"/>
      <c r="AE302" s="179"/>
      <c r="AF302" s="179"/>
      <c r="AG302" s="179"/>
      <c r="AH302" s="179"/>
    </row>
    <row r="303" spans="1:35" s="91" customFormat="1" ht="14.45" customHeight="1" x14ac:dyDescent="0.2">
      <c r="A303" s="47">
        <v>192</v>
      </c>
      <c r="B303" s="48" t="str">
        <f>REPLACE(E303,1,3, )</f>
        <v xml:space="preserve"> 585</v>
      </c>
      <c r="C303" s="70" t="s">
        <v>443</v>
      </c>
      <c r="D303" s="49">
        <f>IF(E303=C303,0,1)</f>
        <v>0</v>
      </c>
      <c r="E303" s="49" t="s">
        <v>443</v>
      </c>
      <c r="F303" s="30" t="str">
        <f>REPLACE(E303,4,4, )</f>
        <v>SMU</v>
      </c>
      <c r="G303" s="33" t="s">
        <v>91</v>
      </c>
      <c r="H303" s="71" t="s">
        <v>441</v>
      </c>
      <c r="I303" s="33" t="s">
        <v>439</v>
      </c>
      <c r="J303" s="51">
        <v>60000</v>
      </c>
      <c r="K303" s="52">
        <f>J303-M303</f>
        <v>5900</v>
      </c>
      <c r="L303" s="49" t="s">
        <v>94</v>
      </c>
      <c r="M303" s="53">
        <f>J303-N303</f>
        <v>54100</v>
      </c>
      <c r="N303" s="53">
        <f>2000+300+600+3000</f>
        <v>5900</v>
      </c>
      <c r="O303" s="55">
        <f>M303+N303</f>
        <v>60000</v>
      </c>
      <c r="P303" s="47">
        <v>192</v>
      </c>
      <c r="Q303" s="56">
        <v>60000</v>
      </c>
      <c r="R303" s="41">
        <f>O303-Q303</f>
        <v>0</v>
      </c>
      <c r="S303" s="67"/>
      <c r="T303" s="33" t="s">
        <v>434</v>
      </c>
      <c r="U303" s="57"/>
      <c r="V303" s="57">
        <f>U303+O303</f>
        <v>60000</v>
      </c>
      <c r="W303" s="57">
        <f>V303/0.7</f>
        <v>85714.285714285725</v>
      </c>
      <c r="X303" s="58">
        <f>W303/0.875</f>
        <v>97959.183673469393</v>
      </c>
      <c r="Y303" s="59">
        <f>(X303-W303)/X303</f>
        <v>0.12499999999999994</v>
      </c>
      <c r="Z303" s="58">
        <f>(ROUNDUP((X303/100),0))*100</f>
        <v>98000</v>
      </c>
      <c r="AA303" s="178"/>
      <c r="AB303" s="178"/>
      <c r="AC303" s="177"/>
      <c r="AD303" s="177"/>
      <c r="AE303" s="179"/>
      <c r="AF303" s="179"/>
      <c r="AG303" s="179"/>
      <c r="AH303" s="179"/>
    </row>
    <row r="304" spans="1:35" s="91" customFormat="1" ht="14.45" customHeight="1" x14ac:dyDescent="0.2">
      <c r="A304" s="47">
        <v>258</v>
      </c>
      <c r="B304" s="48" t="str">
        <f>REPLACE(E304,1,3, )</f>
        <v xml:space="preserve"> 943</v>
      </c>
      <c r="C304" s="70" t="s">
        <v>566</v>
      </c>
      <c r="D304" s="49">
        <f>IF(E304=C304,0,1)</f>
        <v>0</v>
      </c>
      <c r="E304" s="49" t="s">
        <v>566</v>
      </c>
      <c r="F304" s="30" t="str">
        <f>REPLACE(E304,4,4, )</f>
        <v>SMU</v>
      </c>
      <c r="G304" s="33" t="s">
        <v>91</v>
      </c>
      <c r="H304" s="71" t="s">
        <v>545</v>
      </c>
      <c r="I304" s="33" t="s">
        <v>439</v>
      </c>
      <c r="J304" s="51">
        <v>38000</v>
      </c>
      <c r="K304" s="52">
        <f>J304-M304</f>
        <v>5900</v>
      </c>
      <c r="L304" s="49" t="s">
        <v>94</v>
      </c>
      <c r="M304" s="53">
        <f>J304-N304</f>
        <v>32100</v>
      </c>
      <c r="N304" s="53">
        <f>2000+300+600+1000+2000</f>
        <v>5900</v>
      </c>
      <c r="O304" s="55">
        <f>M304+N304</f>
        <v>38000</v>
      </c>
      <c r="P304" s="47">
        <v>258</v>
      </c>
      <c r="Q304" s="56">
        <v>38000</v>
      </c>
      <c r="R304" s="41">
        <f>O304-Q304</f>
        <v>0</v>
      </c>
      <c r="S304" s="67"/>
      <c r="T304" s="33" t="s">
        <v>455</v>
      </c>
      <c r="U304" s="57"/>
      <c r="V304" s="57">
        <f>U304+O304</f>
        <v>38000</v>
      </c>
      <c r="W304" s="57">
        <f>V304/0.7</f>
        <v>54285.71428571429</v>
      </c>
      <c r="X304" s="58">
        <f>W304/0.875</f>
        <v>62040.816326530614</v>
      </c>
      <c r="Y304" s="59">
        <f>(X304-W304)/X304</f>
        <v>0.12499999999999996</v>
      </c>
      <c r="Z304" s="58">
        <f>(ROUNDUP((X304/100),0))*100</f>
        <v>62100</v>
      </c>
      <c r="AA304" s="178" t="s">
        <v>1780</v>
      </c>
      <c r="AB304" s="224">
        <v>43421</v>
      </c>
      <c r="AC304" s="177"/>
      <c r="AD304" s="177"/>
      <c r="AE304" s="179"/>
      <c r="AF304" s="179"/>
      <c r="AG304" s="179"/>
      <c r="AH304" s="179"/>
    </row>
    <row r="305" spans="1:35" s="91" customFormat="1" ht="14.45" customHeight="1" x14ac:dyDescent="0.2">
      <c r="A305" s="47">
        <v>201</v>
      </c>
      <c r="B305" s="48" t="str">
        <f>REPLACE(E305,1,3, )</f>
        <v xml:space="preserve"> 466</v>
      </c>
      <c r="C305" s="70" t="s">
        <v>456</v>
      </c>
      <c r="D305" s="49">
        <f>IF(E305=C305,0,1)</f>
        <v>0</v>
      </c>
      <c r="E305" s="32" t="s">
        <v>456</v>
      </c>
      <c r="F305" s="30" t="str">
        <f>REPLACE(E305,4,4, )</f>
        <v>SNA</v>
      </c>
      <c r="G305" s="30" t="s">
        <v>34</v>
      </c>
      <c r="H305" s="71" t="s">
        <v>441</v>
      </c>
      <c r="I305" s="30" t="s">
        <v>457</v>
      </c>
      <c r="J305" s="87">
        <v>56000</v>
      </c>
      <c r="K305" s="52">
        <f>J305-M305</f>
        <v>5950</v>
      </c>
      <c r="L305" s="64" t="s">
        <v>106</v>
      </c>
      <c r="M305" s="53">
        <f>J305-N305</f>
        <v>50050</v>
      </c>
      <c r="N305" s="53">
        <v>5950</v>
      </c>
      <c r="O305" s="55">
        <f>M305+N305</f>
        <v>56000</v>
      </c>
      <c r="P305" s="47">
        <v>201</v>
      </c>
      <c r="Q305" s="41">
        <v>56000</v>
      </c>
      <c r="R305" s="41">
        <f>O305-Q305</f>
        <v>0</v>
      </c>
      <c r="S305" s="42" t="s">
        <v>88</v>
      </c>
      <c r="T305" s="33" t="s">
        <v>458</v>
      </c>
      <c r="U305" s="57"/>
      <c r="V305" s="57">
        <f>U305+O305</f>
        <v>56000</v>
      </c>
      <c r="W305" s="57">
        <f>V305/0.7</f>
        <v>80000</v>
      </c>
      <c r="X305" s="58">
        <f>W305/0.875</f>
        <v>91428.571428571435</v>
      </c>
      <c r="Y305" s="59">
        <f>(X305-W305)/X305</f>
        <v>0.12500000000000006</v>
      </c>
      <c r="Z305" s="58">
        <f>(ROUNDUP((X305/100),0))*100</f>
        <v>91500</v>
      </c>
      <c r="AA305" s="58"/>
      <c r="AB305" s="58"/>
      <c r="AC305" s="180"/>
      <c r="AD305" s="180"/>
      <c r="AE305" s="176"/>
      <c r="AF305" s="176"/>
      <c r="AG305" s="176"/>
      <c r="AH305" s="176"/>
    </row>
    <row r="306" spans="1:35" s="91" customFormat="1" ht="14.45" customHeight="1" x14ac:dyDescent="0.2">
      <c r="A306" s="47">
        <v>279</v>
      </c>
      <c r="B306" s="48" t="str">
        <f>REPLACE(E306,1,3, )</f>
        <v xml:space="preserve"> 886</v>
      </c>
      <c r="C306" s="70" t="s">
        <v>599</v>
      </c>
      <c r="D306" s="49">
        <f>IF(E306=C306,0,1)</f>
        <v>0</v>
      </c>
      <c r="E306" s="50" t="s">
        <v>599</v>
      </c>
      <c r="F306" s="30" t="str">
        <f>REPLACE(E306,4,4, )</f>
        <v>SND</v>
      </c>
      <c r="G306" s="30" t="s">
        <v>34</v>
      </c>
      <c r="H306" s="34" t="s">
        <v>585</v>
      </c>
      <c r="I306" s="30" t="s">
        <v>600</v>
      </c>
      <c r="J306" s="72">
        <v>55000</v>
      </c>
      <c r="K306" s="72">
        <f>J306-M306</f>
        <v>0</v>
      </c>
      <c r="L306" s="88" t="s">
        <v>87</v>
      </c>
      <c r="M306" s="73">
        <f>J306</f>
        <v>55000</v>
      </c>
      <c r="N306" s="74">
        <f>2000+650+500+200+300+500</f>
        <v>4150</v>
      </c>
      <c r="O306" s="75">
        <f>M306+N306</f>
        <v>59150</v>
      </c>
      <c r="P306" s="47">
        <v>279</v>
      </c>
      <c r="Q306" s="76">
        <v>59150</v>
      </c>
      <c r="R306" s="41">
        <f>O306-Q306</f>
        <v>0</v>
      </c>
      <c r="S306" s="42" t="s">
        <v>88</v>
      </c>
      <c r="T306" s="47" t="s">
        <v>601</v>
      </c>
      <c r="U306" s="57">
        <v>3000</v>
      </c>
      <c r="V306" s="57">
        <f>U306+O306</f>
        <v>62150</v>
      </c>
      <c r="W306" s="57">
        <f>V306/0.7</f>
        <v>88785.71428571429</v>
      </c>
      <c r="X306" s="58">
        <f>W306/0.875</f>
        <v>101469.38775510204</v>
      </c>
      <c r="Y306" s="59">
        <f>(X306-W306)/X306</f>
        <v>0.12499999999999996</v>
      </c>
      <c r="Z306" s="58">
        <f>(ROUNDUP((X306/100),0))*100</f>
        <v>101500</v>
      </c>
      <c r="AA306" s="58"/>
      <c r="AB306" s="58"/>
      <c r="AC306" s="180"/>
      <c r="AD306" s="180"/>
      <c r="AE306" s="176"/>
      <c r="AF306" s="176"/>
      <c r="AG306" s="176"/>
      <c r="AH306" s="176"/>
    </row>
    <row r="307" spans="1:35" s="91" customFormat="1" ht="14.45" customHeight="1" x14ac:dyDescent="0.2">
      <c r="A307" s="47">
        <v>144</v>
      </c>
      <c r="B307" s="48" t="str">
        <f>REPLACE(E307,1,3, )</f>
        <v xml:space="preserve"> 274</v>
      </c>
      <c r="C307" s="70" t="s">
        <v>347</v>
      </c>
      <c r="D307" s="49">
        <f>IF(E307=C307,0,1)</f>
        <v>0</v>
      </c>
      <c r="E307" s="226" t="s">
        <v>347</v>
      </c>
      <c r="F307" s="30" t="str">
        <f>REPLACE(E307,4,4, )</f>
        <v>SNN</v>
      </c>
      <c r="G307" s="30" t="s">
        <v>91</v>
      </c>
      <c r="H307" s="34" t="s">
        <v>348</v>
      </c>
      <c r="I307" s="30" t="s">
        <v>149</v>
      </c>
      <c r="J307" s="51">
        <v>75000</v>
      </c>
      <c r="K307" s="52">
        <f>J307-M307</f>
        <v>3600</v>
      </c>
      <c r="L307" s="49" t="s">
        <v>94</v>
      </c>
      <c r="M307" s="53">
        <f>J307-N307</f>
        <v>71400</v>
      </c>
      <c r="N307" s="53">
        <f>2000+200+600+800</f>
        <v>3600</v>
      </c>
      <c r="O307" s="55">
        <f>M307+N307</f>
        <v>75000</v>
      </c>
      <c r="P307" s="47">
        <v>144</v>
      </c>
      <c r="Q307" s="56">
        <v>75000</v>
      </c>
      <c r="R307" s="41">
        <f>O307-Q307</f>
        <v>0</v>
      </c>
      <c r="S307" s="67" t="s">
        <v>276</v>
      </c>
      <c r="T307" s="33" t="s">
        <v>246</v>
      </c>
      <c r="U307" s="57">
        <v>2000</v>
      </c>
      <c r="V307" s="57">
        <f>U307+O307</f>
        <v>77000</v>
      </c>
      <c r="W307" s="57">
        <f>V307/0.7</f>
        <v>110000</v>
      </c>
      <c r="X307" s="58">
        <f>W307/0.875</f>
        <v>125714.28571428571</v>
      </c>
      <c r="Y307" s="59">
        <f>(X307-W307)/X307</f>
        <v>0.12499999999999997</v>
      </c>
      <c r="Z307" s="58">
        <f>(ROUNDUP((X307/100),0))*100</f>
        <v>125800</v>
      </c>
      <c r="AA307" s="178"/>
      <c r="AB307" s="178"/>
      <c r="AC307" s="177"/>
      <c r="AD307" s="177"/>
      <c r="AE307" s="179"/>
      <c r="AF307" s="179"/>
      <c r="AG307" s="179"/>
      <c r="AH307" s="179"/>
    </row>
    <row r="308" spans="1:35" ht="14.45" customHeight="1" x14ac:dyDescent="0.2">
      <c r="A308" s="47">
        <v>35</v>
      </c>
      <c r="B308" s="48" t="str">
        <f>REPLACE(E308,1,3, )</f>
        <v xml:space="preserve"> 683</v>
      </c>
      <c r="C308" s="70" t="s">
        <v>148</v>
      </c>
      <c r="D308" s="49">
        <f>IF(E308=C308,0,1)</f>
        <v>0</v>
      </c>
      <c r="E308" s="47" t="s">
        <v>148</v>
      </c>
      <c r="F308" s="30" t="str">
        <f>REPLACE(E308,4,4, )</f>
        <v>SNN</v>
      </c>
      <c r="G308" s="30" t="s">
        <v>91</v>
      </c>
      <c r="H308" s="34" t="s">
        <v>92</v>
      </c>
      <c r="I308" s="30" t="s">
        <v>149</v>
      </c>
      <c r="J308" s="51">
        <v>95000</v>
      </c>
      <c r="K308" s="52">
        <f>J308-M308</f>
        <v>3950</v>
      </c>
      <c r="L308" s="49" t="s">
        <v>94</v>
      </c>
      <c r="M308" s="53">
        <f>J308-N308</f>
        <v>91050</v>
      </c>
      <c r="N308" s="53">
        <f>2000+200+350+600+800</f>
        <v>3950</v>
      </c>
      <c r="O308" s="55">
        <f>M308+N308</f>
        <v>95000</v>
      </c>
      <c r="P308" s="47">
        <v>35</v>
      </c>
      <c r="Q308" s="56">
        <v>95000</v>
      </c>
      <c r="R308" s="41">
        <f>O308-Q308</f>
        <v>0</v>
      </c>
      <c r="S308" s="67"/>
      <c r="T308" s="33" t="s">
        <v>98</v>
      </c>
      <c r="U308" s="57">
        <v>1000</v>
      </c>
      <c r="V308" s="57">
        <f>U308+O308</f>
        <v>96000</v>
      </c>
      <c r="W308" s="57">
        <f>V308/0.7</f>
        <v>137142.85714285716</v>
      </c>
      <c r="X308" s="58">
        <f>W308/0.875</f>
        <v>156734.69387755104</v>
      </c>
      <c r="Y308" s="59">
        <f>(X308-W308)/X308</f>
        <v>0.12499999999999997</v>
      </c>
      <c r="Z308" s="58">
        <f>(ROUNDUP((X308/100),0))*100</f>
        <v>156800</v>
      </c>
      <c r="AA308" s="178"/>
      <c r="AB308" s="178"/>
      <c r="AC308" s="177"/>
      <c r="AD308" s="177"/>
      <c r="AE308" s="179"/>
      <c r="AF308" s="179"/>
      <c r="AG308" s="179"/>
      <c r="AH308" s="179"/>
      <c r="AI308" s="85"/>
    </row>
    <row r="309" spans="1:35" ht="14.45" customHeight="1" x14ac:dyDescent="0.2">
      <c r="A309" s="47">
        <v>286</v>
      </c>
      <c r="B309" s="48" t="str">
        <f>REPLACE(E309,1,3, )</f>
        <v xml:space="preserve"> 633</v>
      </c>
      <c r="C309" s="70" t="s">
        <v>611</v>
      </c>
      <c r="D309" s="49">
        <f>IF(E309=C309,0,1)</f>
        <v>0</v>
      </c>
      <c r="E309" s="49" t="s">
        <v>611</v>
      </c>
      <c r="F309" s="30" t="str">
        <f>REPLACE(E309,4,4, )</f>
        <v>SNO</v>
      </c>
      <c r="G309" s="33" t="s">
        <v>91</v>
      </c>
      <c r="H309" s="71" t="s">
        <v>612</v>
      </c>
      <c r="I309" s="33" t="s">
        <v>142</v>
      </c>
      <c r="J309" s="51">
        <v>70000</v>
      </c>
      <c r="K309" s="52">
        <f>J309-M309</f>
        <v>4200</v>
      </c>
      <c r="L309" s="49" t="s">
        <v>94</v>
      </c>
      <c r="M309" s="53">
        <f>J309-N309</f>
        <v>65800</v>
      </c>
      <c r="N309" s="53">
        <f>2000+200+350+600+300+750</f>
        <v>4200</v>
      </c>
      <c r="O309" s="55">
        <f>M309+N309</f>
        <v>70000</v>
      </c>
      <c r="P309" s="47">
        <v>286</v>
      </c>
      <c r="Q309" s="56">
        <v>70000</v>
      </c>
      <c r="R309" s="41">
        <f>O309-Q309</f>
        <v>0</v>
      </c>
      <c r="S309" s="67"/>
      <c r="T309" s="33" t="s">
        <v>613</v>
      </c>
      <c r="U309" s="57"/>
      <c r="V309" s="57">
        <f>U309+O309</f>
        <v>70000</v>
      </c>
      <c r="W309" s="57">
        <f>V309/0.7</f>
        <v>100000</v>
      </c>
      <c r="X309" s="58">
        <f>W309/0.875</f>
        <v>114285.71428571429</v>
      </c>
      <c r="Y309" s="59">
        <f>(X309-W309)/X309</f>
        <v>0.12500000000000003</v>
      </c>
      <c r="Z309" s="58">
        <f>(ROUNDUP((X309/100),0))*100</f>
        <v>114300</v>
      </c>
      <c r="AA309" s="178"/>
      <c r="AB309" s="178"/>
      <c r="AC309" s="177"/>
      <c r="AD309" s="177"/>
      <c r="AE309" s="179"/>
      <c r="AF309" s="179"/>
      <c r="AG309" s="179"/>
      <c r="AH309" s="179"/>
      <c r="AI309" s="85"/>
    </row>
    <row r="310" spans="1:35" s="91" customFormat="1" ht="14.45" customHeight="1" x14ac:dyDescent="0.2">
      <c r="A310" s="47">
        <v>294</v>
      </c>
      <c r="B310" s="48" t="str">
        <f>REPLACE(E310,1,3, )</f>
        <v xml:space="preserve"> 765</v>
      </c>
      <c r="C310" s="70" t="s">
        <v>623</v>
      </c>
      <c r="D310" s="49">
        <f>IF(E310=C310,0,1)</f>
        <v>0</v>
      </c>
      <c r="E310" s="49" t="s">
        <v>623</v>
      </c>
      <c r="F310" s="30" t="str">
        <f>REPLACE(E310,4,4, )</f>
        <v>SNO</v>
      </c>
      <c r="G310" s="33" t="s">
        <v>91</v>
      </c>
      <c r="H310" s="71" t="s">
        <v>612</v>
      </c>
      <c r="I310" s="33" t="s">
        <v>142</v>
      </c>
      <c r="J310" s="51">
        <v>72500</v>
      </c>
      <c r="K310" s="52">
        <f>J310-M310</f>
        <v>4200</v>
      </c>
      <c r="L310" s="49" t="s">
        <v>94</v>
      </c>
      <c r="M310" s="53">
        <f>J310-N310</f>
        <v>68300</v>
      </c>
      <c r="N310" s="53">
        <f>2000+200+350+600+300+750</f>
        <v>4200</v>
      </c>
      <c r="O310" s="55">
        <f>M310+N310</f>
        <v>72500</v>
      </c>
      <c r="P310" s="47">
        <v>294</v>
      </c>
      <c r="Q310" s="56">
        <v>72500</v>
      </c>
      <c r="R310" s="41">
        <f>O310-Q310</f>
        <v>0</v>
      </c>
      <c r="S310" s="67"/>
      <c r="T310" s="33" t="s">
        <v>624</v>
      </c>
      <c r="U310" s="57"/>
      <c r="V310" s="57">
        <f>U310+O310</f>
        <v>72500</v>
      </c>
      <c r="W310" s="57">
        <f>V310/0.7</f>
        <v>103571.42857142858</v>
      </c>
      <c r="X310" s="58">
        <f>W310/0.875</f>
        <v>118367.34693877552</v>
      </c>
      <c r="Y310" s="59">
        <f>(X310-W310)/X310</f>
        <v>0.12499999999999999</v>
      </c>
      <c r="Z310" s="58">
        <f>(ROUNDUP((X310/100),0))*100</f>
        <v>118400</v>
      </c>
      <c r="AA310" s="178"/>
      <c r="AB310" s="178"/>
      <c r="AC310" s="177"/>
      <c r="AD310" s="177"/>
      <c r="AE310" s="179"/>
      <c r="AF310" s="179"/>
      <c r="AG310" s="179"/>
      <c r="AH310" s="179"/>
    </row>
    <row r="311" spans="1:35" ht="14.45" customHeight="1" x14ac:dyDescent="0.2">
      <c r="A311" s="47">
        <v>31</v>
      </c>
      <c r="B311" s="48" t="str">
        <f>REPLACE(E311,1,3, )</f>
        <v xml:space="preserve"> 888</v>
      </c>
      <c r="C311" s="70" t="s">
        <v>141</v>
      </c>
      <c r="D311" s="49">
        <f>IF(E311=C311,0,1)</f>
        <v>0</v>
      </c>
      <c r="E311" s="49" t="s">
        <v>141</v>
      </c>
      <c r="F311" s="30" t="str">
        <f>REPLACE(E311,4,4, )</f>
        <v>SNO</v>
      </c>
      <c r="G311" s="33" t="s">
        <v>91</v>
      </c>
      <c r="H311" s="34" t="s">
        <v>92</v>
      </c>
      <c r="I311" s="33" t="s">
        <v>142</v>
      </c>
      <c r="J311" s="51">
        <v>70000</v>
      </c>
      <c r="K311" s="52">
        <f>J311-M311</f>
        <v>4200</v>
      </c>
      <c r="L311" s="49" t="s">
        <v>94</v>
      </c>
      <c r="M311" s="53">
        <f>J311-N311</f>
        <v>65800</v>
      </c>
      <c r="N311" s="53">
        <f>2000+200+350+600+300+750</f>
        <v>4200</v>
      </c>
      <c r="O311" s="55">
        <f>M311+N311</f>
        <v>70000</v>
      </c>
      <c r="P311" s="47">
        <v>31</v>
      </c>
      <c r="Q311" s="56">
        <v>70000</v>
      </c>
      <c r="R311" s="41">
        <f>O311-Q311</f>
        <v>0</v>
      </c>
      <c r="S311" s="67"/>
      <c r="T311" s="33" t="s">
        <v>143</v>
      </c>
      <c r="U311" s="57">
        <v>1000</v>
      </c>
      <c r="V311" s="57">
        <f>U311+O311</f>
        <v>71000</v>
      </c>
      <c r="W311" s="57">
        <f>V311/0.7</f>
        <v>101428.57142857143</v>
      </c>
      <c r="X311" s="58">
        <f>W311/0.875</f>
        <v>115918.36734693879</v>
      </c>
      <c r="Y311" s="59">
        <f>(X311-W311)/X311</f>
        <v>0.12500000000000003</v>
      </c>
      <c r="Z311" s="58">
        <f>(ROUNDUP((X311/100),0))*100</f>
        <v>116000</v>
      </c>
      <c r="AA311" s="178"/>
      <c r="AB311" s="178"/>
      <c r="AC311" s="177"/>
      <c r="AD311" s="177"/>
      <c r="AE311" s="179"/>
      <c r="AF311" s="179"/>
      <c r="AG311" s="179"/>
      <c r="AH311" s="179"/>
      <c r="AI311" s="85"/>
    </row>
    <row r="312" spans="1:35" ht="14.45" customHeight="1" x14ac:dyDescent="0.2">
      <c r="A312" s="47">
        <v>154</v>
      </c>
      <c r="B312" s="48" t="str">
        <f>REPLACE(E312,1,3, )</f>
        <v xml:space="preserve"> 296</v>
      </c>
      <c r="C312" s="70" t="s">
        <v>366</v>
      </c>
      <c r="D312" s="49">
        <f>IF(E312=C312,0,1)</f>
        <v>0</v>
      </c>
      <c r="E312" s="50" t="s">
        <v>366</v>
      </c>
      <c r="F312" s="30" t="str">
        <f>REPLACE(E312,4,4, )</f>
        <v>SNP</v>
      </c>
      <c r="G312" s="30" t="s">
        <v>34</v>
      </c>
      <c r="H312" s="71" t="s">
        <v>360</v>
      </c>
      <c r="I312" s="30" t="s">
        <v>367</v>
      </c>
      <c r="J312" s="51">
        <f>72000+8000</f>
        <v>80000</v>
      </c>
      <c r="K312" s="52">
        <f>J312-M312</f>
        <v>7050</v>
      </c>
      <c r="L312" s="49" t="s">
        <v>94</v>
      </c>
      <c r="M312" s="53">
        <f>J312-N312</f>
        <v>72950</v>
      </c>
      <c r="N312" s="54">
        <f>2000+200+600+650+3600</f>
        <v>7050</v>
      </c>
      <c r="O312" s="55">
        <f>M312+N312</f>
        <v>80000</v>
      </c>
      <c r="P312" s="47">
        <v>154</v>
      </c>
      <c r="Q312" s="41">
        <v>72000</v>
      </c>
      <c r="R312" s="41">
        <f>O312-Q312</f>
        <v>8000</v>
      </c>
      <c r="S312" s="67" t="s">
        <v>368</v>
      </c>
      <c r="T312" s="33" t="s">
        <v>369</v>
      </c>
      <c r="U312" s="57">
        <v>-1000</v>
      </c>
      <c r="V312" s="57">
        <f>U312+O312</f>
        <v>79000</v>
      </c>
      <c r="W312" s="57">
        <f>V312/0.7</f>
        <v>112857.14285714287</v>
      </c>
      <c r="X312" s="58">
        <f>W312/0.875</f>
        <v>128979.5918367347</v>
      </c>
      <c r="Y312" s="59">
        <f>(X312-W312)/X312</f>
        <v>0.12499999999999997</v>
      </c>
      <c r="Z312" s="58">
        <f>(ROUNDUP((X312/100),0))*100</f>
        <v>129000</v>
      </c>
      <c r="AA312" s="58"/>
      <c r="AB312" s="58"/>
      <c r="AC312" s="180"/>
      <c r="AD312" s="180"/>
      <c r="AE312" s="176"/>
      <c r="AF312" s="176"/>
      <c r="AG312" s="176"/>
      <c r="AH312" s="176"/>
      <c r="AI312" s="85"/>
    </row>
    <row r="313" spans="1:35" s="91" customFormat="1" ht="14.45" customHeight="1" x14ac:dyDescent="0.2">
      <c r="A313" s="47">
        <v>324</v>
      </c>
      <c r="B313" s="48" t="str">
        <f>REPLACE(E313,1,3, )</f>
        <v xml:space="preserve"> 538</v>
      </c>
      <c r="C313" s="70" t="s">
        <v>680</v>
      </c>
      <c r="D313" s="49">
        <f>IF(E313=C313,0,1)</f>
        <v>0</v>
      </c>
      <c r="E313" s="47" t="s">
        <v>680</v>
      </c>
      <c r="F313" s="30" t="str">
        <f>REPLACE(E313,4,4, )</f>
        <v>SNR</v>
      </c>
      <c r="G313" s="30" t="s">
        <v>91</v>
      </c>
      <c r="H313" s="34" t="s">
        <v>652</v>
      </c>
      <c r="I313" s="30" t="s">
        <v>681</v>
      </c>
      <c r="J313" s="51">
        <v>78000</v>
      </c>
      <c r="K313" s="52">
        <f>J313-M313</f>
        <v>6450</v>
      </c>
      <c r="L313" s="49" t="s">
        <v>94</v>
      </c>
      <c r="M313" s="53">
        <f>J313-N313</f>
        <v>71550</v>
      </c>
      <c r="N313" s="53">
        <f>2000+600+200+350+300+3000</f>
        <v>6450</v>
      </c>
      <c r="O313" s="55">
        <f>M313+N313</f>
        <v>78000</v>
      </c>
      <c r="P313" s="47">
        <v>324</v>
      </c>
      <c r="Q313" s="56">
        <v>78000</v>
      </c>
      <c r="R313" s="41">
        <f>O313-Q313</f>
        <v>0</v>
      </c>
      <c r="S313" s="67"/>
      <c r="T313" s="33" t="s">
        <v>682</v>
      </c>
      <c r="U313" s="57"/>
      <c r="V313" s="57">
        <f>U313+O313</f>
        <v>78000</v>
      </c>
      <c r="W313" s="57">
        <f>V313/0.7</f>
        <v>111428.57142857143</v>
      </c>
      <c r="X313" s="58">
        <f>W313/0.875</f>
        <v>127346.93877551021</v>
      </c>
      <c r="Y313" s="59">
        <f>(X313-W313)/X313</f>
        <v>0.12499999999999997</v>
      </c>
      <c r="Z313" s="58">
        <f>(ROUNDUP((X313/100),0))*100</f>
        <v>127400</v>
      </c>
      <c r="AA313" s="178" t="s">
        <v>1780</v>
      </c>
      <c r="AB313" s="224">
        <v>43420</v>
      </c>
      <c r="AC313" s="177" t="s">
        <v>1780</v>
      </c>
      <c r="AD313" s="224">
        <v>43437</v>
      </c>
      <c r="AE313" s="179">
        <v>71550</v>
      </c>
      <c r="AF313" s="233" t="s">
        <v>1786</v>
      </c>
      <c r="AG313" s="233">
        <v>6450</v>
      </c>
      <c r="AH313" s="233">
        <v>78000</v>
      </c>
    </row>
    <row r="314" spans="1:35" ht="14.45" customHeight="1" x14ac:dyDescent="0.2">
      <c r="A314" s="47">
        <v>72</v>
      </c>
      <c r="B314" s="48" t="str">
        <f>REPLACE(E314,1,3, )</f>
        <v xml:space="preserve"> 257</v>
      </c>
      <c r="C314" s="70" t="s">
        <v>207</v>
      </c>
      <c r="D314" s="49">
        <f>IF(E314=C314,0,1)</f>
        <v>0</v>
      </c>
      <c r="E314" s="50" t="s">
        <v>207</v>
      </c>
      <c r="F314" s="30" t="str">
        <f>REPLACE(E314,4,4, )</f>
        <v>SNS</v>
      </c>
      <c r="G314" s="30" t="s">
        <v>34</v>
      </c>
      <c r="H314" s="34" t="s">
        <v>178</v>
      </c>
      <c r="I314" s="30" t="s">
        <v>196</v>
      </c>
      <c r="J314" s="51">
        <v>119000</v>
      </c>
      <c r="K314" s="52">
        <f>J314-M314</f>
        <v>6250</v>
      </c>
      <c r="L314" s="49" t="s">
        <v>94</v>
      </c>
      <c r="M314" s="53">
        <f>J314-N314</f>
        <v>112750</v>
      </c>
      <c r="N314" s="54">
        <f>2000+200+350+600+3100</f>
        <v>6250</v>
      </c>
      <c r="O314" s="55">
        <f>M314+N314</f>
        <v>119000</v>
      </c>
      <c r="P314" s="47">
        <v>72</v>
      </c>
      <c r="Q314" s="56">
        <v>119000</v>
      </c>
      <c r="R314" s="41">
        <f>O314-Q314</f>
        <v>0</v>
      </c>
      <c r="S314" s="67"/>
      <c r="T314" s="33" t="s">
        <v>185</v>
      </c>
      <c r="U314" s="57">
        <v>-1000</v>
      </c>
      <c r="V314" s="57">
        <f>U314+O314</f>
        <v>118000</v>
      </c>
      <c r="W314" s="57">
        <f>V314/0.7</f>
        <v>168571.42857142858</v>
      </c>
      <c r="X314" s="58">
        <f>W314/0.875</f>
        <v>192653.06122448979</v>
      </c>
      <c r="Y314" s="59">
        <f>(X314-W314)/X314</f>
        <v>0.12499999999999994</v>
      </c>
      <c r="Z314" s="58">
        <f>(ROUNDUP((X314/100),0))*100</f>
        <v>192700</v>
      </c>
      <c r="AA314" s="58"/>
      <c r="AB314" s="58"/>
      <c r="AC314" s="180"/>
      <c r="AD314" s="180"/>
      <c r="AE314" s="176"/>
      <c r="AF314" s="176"/>
      <c r="AG314" s="176"/>
      <c r="AH314" s="176"/>
      <c r="AI314" s="85"/>
    </row>
    <row r="315" spans="1:35" ht="14.45" customHeight="1" x14ac:dyDescent="0.2">
      <c r="A315" s="47">
        <v>455</v>
      </c>
      <c r="B315" s="48" t="str">
        <f>REPLACE(E315,1,3, )</f>
        <v xml:space="preserve"> 137</v>
      </c>
      <c r="C315" s="32" t="s">
        <v>912</v>
      </c>
      <c r="D315" s="49">
        <f>IF(E315=C315,0,1)</f>
        <v>0</v>
      </c>
      <c r="E315" s="47" t="s">
        <v>912</v>
      </c>
      <c r="F315" s="30" t="str">
        <f>REPLACE(E315,4,4, )</f>
        <v>SNW</v>
      </c>
      <c r="G315" s="30" t="s">
        <v>91</v>
      </c>
      <c r="H315" s="71" t="s">
        <v>910</v>
      </c>
      <c r="I315" s="30" t="s">
        <v>913</v>
      </c>
      <c r="J315" s="51">
        <f>M315</f>
        <v>52500</v>
      </c>
      <c r="K315" s="68">
        <f>J315-M315</f>
        <v>0</v>
      </c>
      <c r="L315" s="60" t="s">
        <v>97</v>
      </c>
      <c r="M315" s="62">
        <v>52500</v>
      </c>
      <c r="N315" s="53">
        <f>2000+200+250+600+3600</f>
        <v>6650</v>
      </c>
      <c r="O315" s="55">
        <f>M315+N315</f>
        <v>59150</v>
      </c>
      <c r="P315" s="47">
        <v>455</v>
      </c>
      <c r="Q315" s="56">
        <v>59150</v>
      </c>
      <c r="R315" s="41">
        <f>O315-Q315</f>
        <v>0</v>
      </c>
      <c r="S315" s="67"/>
      <c r="T315" s="33" t="s">
        <v>914</v>
      </c>
      <c r="U315" s="57"/>
      <c r="V315" s="57">
        <f>U315+O315</f>
        <v>59150</v>
      </c>
      <c r="W315" s="57">
        <f>V315/0.7</f>
        <v>84500</v>
      </c>
      <c r="X315" s="58">
        <f>W315/0.875</f>
        <v>96571.428571428565</v>
      </c>
      <c r="Y315" s="59">
        <f>(X315-W315)/X315</f>
        <v>0.12499999999999994</v>
      </c>
      <c r="Z315" s="58">
        <f>(ROUNDUP((X315/100),0))*100</f>
        <v>96600</v>
      </c>
      <c r="AA315" s="178"/>
      <c r="AB315" s="178"/>
      <c r="AC315" s="177"/>
      <c r="AD315" s="177"/>
      <c r="AE315" s="179"/>
      <c r="AF315" s="179"/>
      <c r="AG315" s="179"/>
      <c r="AH315" s="179"/>
      <c r="AI315" s="85"/>
    </row>
    <row r="316" spans="1:35" ht="14.45" customHeight="1" x14ac:dyDescent="0.2">
      <c r="A316" s="47">
        <v>92</v>
      </c>
      <c r="B316" s="48" t="str">
        <f>REPLACE(E316,1,3, )</f>
        <v xml:space="preserve"> 475</v>
      </c>
      <c r="C316" s="70" t="s">
        <v>247</v>
      </c>
      <c r="D316" s="49">
        <f>IF(E316=C316,0,1)</f>
        <v>0</v>
      </c>
      <c r="E316" s="50" t="s">
        <v>247</v>
      </c>
      <c r="F316" s="30" t="str">
        <f>REPLACE(E316,4,4, )</f>
        <v>SNY</v>
      </c>
      <c r="G316" s="30" t="s">
        <v>34</v>
      </c>
      <c r="H316" s="34" t="s">
        <v>245</v>
      </c>
      <c r="I316" s="30" t="s">
        <v>248</v>
      </c>
      <c r="J316" s="72">
        <v>53000</v>
      </c>
      <c r="K316" s="72">
        <f>J316-M316</f>
        <v>0</v>
      </c>
      <c r="L316" s="64" t="s">
        <v>87</v>
      </c>
      <c r="M316" s="73">
        <f>J316</f>
        <v>53000</v>
      </c>
      <c r="N316" s="74">
        <f>2000+500+500+200</f>
        <v>3200</v>
      </c>
      <c r="O316" s="75">
        <f>M316+N316</f>
        <v>56200</v>
      </c>
      <c r="P316" s="47">
        <v>92</v>
      </c>
      <c r="Q316" s="79">
        <v>58600</v>
      </c>
      <c r="R316" s="76">
        <f>O316-Q316</f>
        <v>-2400</v>
      </c>
      <c r="S316" s="67"/>
      <c r="T316" s="47" t="s">
        <v>249</v>
      </c>
      <c r="U316" s="57">
        <v>2000</v>
      </c>
      <c r="V316" s="57">
        <f>U316+O316</f>
        <v>58200</v>
      </c>
      <c r="W316" s="57">
        <f>V316/0.7</f>
        <v>83142.857142857145</v>
      </c>
      <c r="X316" s="58">
        <f>W316/0.875</f>
        <v>95020.408163265311</v>
      </c>
      <c r="Y316" s="59">
        <f>(X316-W316)/X316</f>
        <v>0.12500000000000003</v>
      </c>
      <c r="Z316" s="58">
        <f>(ROUNDUP((X316/100),0))*100</f>
        <v>95100</v>
      </c>
      <c r="AA316" s="58"/>
      <c r="AB316" s="58"/>
      <c r="AC316" s="180"/>
      <c r="AD316" s="180"/>
      <c r="AE316" s="176"/>
      <c r="AF316" s="176"/>
      <c r="AG316" s="176"/>
      <c r="AH316" s="176"/>
      <c r="AI316" s="85"/>
    </row>
    <row r="317" spans="1:35" ht="14.45" customHeight="1" x14ac:dyDescent="0.2">
      <c r="A317" s="47">
        <v>465</v>
      </c>
      <c r="B317" s="48" t="str">
        <f>REPLACE(E317,1,3, )</f>
        <v xml:space="preserve"> 308</v>
      </c>
      <c r="C317" s="32" t="s">
        <v>933</v>
      </c>
      <c r="D317" s="49">
        <f>IF(E317=C317,0,1)</f>
        <v>0</v>
      </c>
      <c r="E317" s="49" t="s">
        <v>933</v>
      </c>
      <c r="F317" s="30" t="str">
        <f>REPLACE(E317,4,4, )</f>
        <v>SOK</v>
      </c>
      <c r="G317" s="33" t="s">
        <v>91</v>
      </c>
      <c r="H317" s="71" t="s">
        <v>910</v>
      </c>
      <c r="I317" s="33" t="s">
        <v>934</v>
      </c>
      <c r="J317" s="51">
        <v>52650</v>
      </c>
      <c r="K317" s="52">
        <f>J317-M317</f>
        <v>6650</v>
      </c>
      <c r="L317" s="49" t="s">
        <v>94</v>
      </c>
      <c r="M317" s="53">
        <f>J317-N317</f>
        <v>46000</v>
      </c>
      <c r="N317" s="53">
        <f>2000+200+250+600+3600</f>
        <v>6650</v>
      </c>
      <c r="O317" s="55">
        <f>M317+N317</f>
        <v>52650</v>
      </c>
      <c r="P317" s="47">
        <v>465</v>
      </c>
      <c r="Q317" s="56">
        <v>52650</v>
      </c>
      <c r="R317" s="41">
        <f>O317-Q317</f>
        <v>0</v>
      </c>
      <c r="S317" s="67"/>
      <c r="T317" s="33" t="s">
        <v>857</v>
      </c>
      <c r="U317" s="57"/>
      <c r="V317" s="57">
        <f>U317+O317</f>
        <v>52650</v>
      </c>
      <c r="W317" s="57">
        <f>V317/0.7</f>
        <v>75214.285714285725</v>
      </c>
      <c r="X317" s="58">
        <f>W317/0.875</f>
        <v>85959.183673469393</v>
      </c>
      <c r="Y317" s="59">
        <f>(X317-W317)/X317</f>
        <v>0.12499999999999993</v>
      </c>
      <c r="Z317" s="58">
        <f>(ROUNDUP((X317/100),0))*100</f>
        <v>86000</v>
      </c>
      <c r="AA317" s="178" t="s">
        <v>1780</v>
      </c>
      <c r="AB317" s="224">
        <v>43420</v>
      </c>
      <c r="AC317" s="177"/>
      <c r="AD317" s="177"/>
      <c r="AE317" s="179"/>
      <c r="AF317" s="179"/>
      <c r="AG317" s="179"/>
      <c r="AH317" s="179"/>
      <c r="AI317" s="85"/>
    </row>
    <row r="318" spans="1:35" ht="14.45" customHeight="1" x14ac:dyDescent="0.2">
      <c r="A318" s="47">
        <v>469</v>
      </c>
      <c r="B318" s="48" t="str">
        <f>REPLACE(E318,1,3, )</f>
        <v xml:space="preserve"> 363</v>
      </c>
      <c r="C318" s="32" t="s">
        <v>940</v>
      </c>
      <c r="D318" s="49">
        <f>IF(E318=C318,0,1)</f>
        <v>0</v>
      </c>
      <c r="E318" s="49" t="s">
        <v>940</v>
      </c>
      <c r="F318" s="30" t="str">
        <f>REPLACE(E318,4,4, )</f>
        <v>SOK</v>
      </c>
      <c r="G318" s="33" t="s">
        <v>91</v>
      </c>
      <c r="H318" s="34" t="s">
        <v>919</v>
      </c>
      <c r="I318" s="33" t="s">
        <v>934</v>
      </c>
      <c r="J318" s="51">
        <v>55550</v>
      </c>
      <c r="K318" s="52">
        <f>J318-M318</f>
        <v>6050</v>
      </c>
      <c r="L318" s="49" t="s">
        <v>94</v>
      </c>
      <c r="M318" s="53">
        <f>J318-N318</f>
        <v>49500</v>
      </c>
      <c r="N318" s="53">
        <f>2000+200+250+600+3000</f>
        <v>6050</v>
      </c>
      <c r="O318" s="55">
        <f>M318+N318</f>
        <v>55550</v>
      </c>
      <c r="P318" s="47">
        <v>469</v>
      </c>
      <c r="Q318" s="56">
        <v>55550</v>
      </c>
      <c r="R318" s="41">
        <f>O318-Q318</f>
        <v>0</v>
      </c>
      <c r="S318" s="67"/>
      <c r="T318" s="33" t="s">
        <v>297</v>
      </c>
      <c r="U318" s="57"/>
      <c r="V318" s="57">
        <f>U318+O318</f>
        <v>55550</v>
      </c>
      <c r="W318" s="57">
        <f>V318/0.7</f>
        <v>79357.142857142855</v>
      </c>
      <c r="X318" s="58">
        <f>W318/0.875</f>
        <v>90693.8775510204</v>
      </c>
      <c r="Y318" s="59">
        <f>(X318-W318)/X318</f>
        <v>0.12499999999999994</v>
      </c>
      <c r="Z318" s="58">
        <f>(ROUNDUP((X318/100),0))*100</f>
        <v>90700</v>
      </c>
      <c r="AA318" s="178" t="s">
        <v>1780</v>
      </c>
      <c r="AB318" s="224">
        <v>43420</v>
      </c>
      <c r="AC318" s="177"/>
      <c r="AD318" s="177"/>
      <c r="AE318" s="179"/>
      <c r="AF318" s="179"/>
      <c r="AG318" s="179"/>
      <c r="AH318" s="179"/>
      <c r="AI318" s="85"/>
    </row>
    <row r="319" spans="1:35" ht="14.45" customHeight="1" x14ac:dyDescent="0.2">
      <c r="A319" s="47">
        <v>470</v>
      </c>
      <c r="B319" s="48" t="str">
        <f>REPLACE(E319,1,3, )</f>
        <v xml:space="preserve"> 458</v>
      </c>
      <c r="C319" s="32" t="s">
        <v>941</v>
      </c>
      <c r="D319" s="49">
        <f>IF(E319=C319,0,1)</f>
        <v>0</v>
      </c>
      <c r="E319" s="49" t="s">
        <v>941</v>
      </c>
      <c r="F319" s="30" t="str">
        <f>REPLACE(E319,4,4, )</f>
        <v>SOK</v>
      </c>
      <c r="G319" s="33" t="s">
        <v>91</v>
      </c>
      <c r="H319" s="71" t="s">
        <v>910</v>
      </c>
      <c r="I319" s="33" t="s">
        <v>934</v>
      </c>
      <c r="J319" s="51">
        <v>46650</v>
      </c>
      <c r="K319" s="52">
        <f>J319-M319</f>
        <v>6650</v>
      </c>
      <c r="L319" s="49" t="s">
        <v>94</v>
      </c>
      <c r="M319" s="53">
        <f>J319-N319</f>
        <v>40000</v>
      </c>
      <c r="N319" s="53">
        <f>2000+200+250+600+3600</f>
        <v>6650</v>
      </c>
      <c r="O319" s="55">
        <f>M319+N319</f>
        <v>46650</v>
      </c>
      <c r="P319" s="47">
        <v>470</v>
      </c>
      <c r="Q319" s="56">
        <v>46650</v>
      </c>
      <c r="R319" s="41">
        <f>O319-Q319</f>
        <v>0</v>
      </c>
      <c r="S319" s="67"/>
      <c r="T319" s="33" t="s">
        <v>857</v>
      </c>
      <c r="U319" s="57"/>
      <c r="V319" s="57">
        <f>U319+O319</f>
        <v>46650</v>
      </c>
      <c r="W319" s="57">
        <f>V319/0.7</f>
        <v>66642.857142857145</v>
      </c>
      <c r="X319" s="58">
        <f>W319/0.875</f>
        <v>76163.265306122456</v>
      </c>
      <c r="Y319" s="59">
        <f>(X319-W319)/X319</f>
        <v>0.12500000000000006</v>
      </c>
      <c r="Z319" s="58">
        <f>(ROUNDUP((X319/100),0))*100</f>
        <v>76200</v>
      </c>
      <c r="AA319" s="178" t="s">
        <v>1780</v>
      </c>
      <c r="AB319" s="224">
        <v>43420</v>
      </c>
      <c r="AC319" s="177"/>
      <c r="AD319" s="177"/>
      <c r="AE319" s="179"/>
      <c r="AF319" s="179"/>
      <c r="AG319" s="179"/>
      <c r="AH319" s="179"/>
      <c r="AI319" s="85"/>
    </row>
    <row r="320" spans="1:35" s="91" customFormat="1" ht="14.45" customHeight="1" x14ac:dyDescent="0.2">
      <c r="A320" s="47">
        <v>473</v>
      </c>
      <c r="B320" s="48" t="str">
        <f>REPLACE(E320,1,3, )</f>
        <v xml:space="preserve"> 777</v>
      </c>
      <c r="C320" s="32" t="s">
        <v>944</v>
      </c>
      <c r="D320" s="49">
        <f>IF(E320=C320,0,1)</f>
        <v>0</v>
      </c>
      <c r="E320" s="48" t="s">
        <v>944</v>
      </c>
      <c r="F320" s="30" t="str">
        <f>REPLACE(E320,4,4, )</f>
        <v>SOK</v>
      </c>
      <c r="G320" s="33" t="s">
        <v>34</v>
      </c>
      <c r="H320" s="34" t="s">
        <v>919</v>
      </c>
      <c r="I320" s="33" t="s">
        <v>934</v>
      </c>
      <c r="J320" s="51">
        <v>54150</v>
      </c>
      <c r="K320" s="52">
        <f>J320-M320</f>
        <v>6650</v>
      </c>
      <c r="L320" s="49" t="s">
        <v>94</v>
      </c>
      <c r="M320" s="53">
        <f>J320-N320</f>
        <v>47500</v>
      </c>
      <c r="N320" s="54">
        <f>2000+200+250+600+3600</f>
        <v>6650</v>
      </c>
      <c r="O320" s="55">
        <f>M320+N320</f>
        <v>54150</v>
      </c>
      <c r="P320" s="47">
        <v>473</v>
      </c>
      <c r="Q320" s="56">
        <v>54150</v>
      </c>
      <c r="R320" s="41">
        <f>O320-Q320</f>
        <v>0</v>
      </c>
      <c r="S320" s="67"/>
      <c r="T320" s="33" t="s">
        <v>857</v>
      </c>
      <c r="U320" s="57">
        <v>1500</v>
      </c>
      <c r="V320" s="57">
        <f>U320+O320</f>
        <v>55650</v>
      </c>
      <c r="W320" s="57">
        <f>V320/0.7</f>
        <v>79500</v>
      </c>
      <c r="X320" s="58">
        <f>W320/0.875</f>
        <v>90857.142857142855</v>
      </c>
      <c r="Y320" s="59">
        <f>(X320-W320)/X320</f>
        <v>0.12499999999999999</v>
      </c>
      <c r="Z320" s="58">
        <f>(ROUNDUP((X320/100),0))*100</f>
        <v>90900</v>
      </c>
      <c r="AA320" s="58"/>
      <c r="AB320" s="58"/>
      <c r="AC320" s="180"/>
      <c r="AD320" s="180"/>
      <c r="AE320" s="176"/>
      <c r="AF320" s="176"/>
      <c r="AG320" s="176"/>
      <c r="AH320" s="176"/>
    </row>
    <row r="321" spans="1:35" s="91" customFormat="1" ht="14.45" customHeight="1" x14ac:dyDescent="0.2">
      <c r="A321" s="47">
        <v>477</v>
      </c>
      <c r="B321" s="48" t="str">
        <f>REPLACE(E321,1,3, )</f>
        <v xml:space="preserve"> 786</v>
      </c>
      <c r="C321" s="32" t="s">
        <v>951</v>
      </c>
      <c r="D321" s="49">
        <f>IF(E321=C321,0,1)</f>
        <v>0</v>
      </c>
      <c r="E321" s="48" t="s">
        <v>951</v>
      </c>
      <c r="F321" s="30" t="str">
        <f>REPLACE(E321,4,4, )</f>
        <v>SOK</v>
      </c>
      <c r="G321" s="33" t="s">
        <v>34</v>
      </c>
      <c r="H321" s="71" t="s">
        <v>910</v>
      </c>
      <c r="I321" s="33" t="s">
        <v>934</v>
      </c>
      <c r="J321" s="51">
        <v>51650</v>
      </c>
      <c r="K321" s="52">
        <f>J321-M321</f>
        <v>6650</v>
      </c>
      <c r="L321" s="49" t="s">
        <v>94</v>
      </c>
      <c r="M321" s="53">
        <f>J321-N321</f>
        <v>45000</v>
      </c>
      <c r="N321" s="54">
        <f>2000+200+250+600+3600</f>
        <v>6650</v>
      </c>
      <c r="O321" s="55">
        <f>M321+N321</f>
        <v>51650</v>
      </c>
      <c r="P321" s="47">
        <v>477</v>
      </c>
      <c r="Q321" s="56">
        <v>51650</v>
      </c>
      <c r="R321" s="41">
        <f>O321-Q321</f>
        <v>0</v>
      </c>
      <c r="S321" s="67"/>
      <c r="T321" s="33" t="s">
        <v>857</v>
      </c>
      <c r="U321" s="57">
        <v>5000</v>
      </c>
      <c r="V321" s="57">
        <f>U321+O321</f>
        <v>56650</v>
      </c>
      <c r="W321" s="57">
        <f>V321/0.7</f>
        <v>80928.571428571435</v>
      </c>
      <c r="X321" s="58">
        <f>W321/0.875</f>
        <v>92489.795918367352</v>
      </c>
      <c r="Y321" s="59">
        <f>(X321-W321)/X321</f>
        <v>0.12499999999999999</v>
      </c>
      <c r="Z321" s="58">
        <f>(ROUNDUP((X321/100),0))*100</f>
        <v>92500</v>
      </c>
      <c r="AA321" s="58"/>
      <c r="AB321" s="58"/>
      <c r="AC321" s="180"/>
      <c r="AD321" s="180"/>
      <c r="AE321" s="176"/>
      <c r="AF321" s="176"/>
      <c r="AG321" s="176"/>
      <c r="AH321" s="176"/>
    </row>
    <row r="322" spans="1:35" s="91" customFormat="1" ht="14.45" customHeight="1" x14ac:dyDescent="0.2">
      <c r="A322" s="47">
        <v>471</v>
      </c>
      <c r="B322" s="48" t="str">
        <f>REPLACE(E322,1,3, )</f>
        <v xml:space="preserve"> 804</v>
      </c>
      <c r="C322" s="32" t="s">
        <v>942</v>
      </c>
      <c r="D322" s="49">
        <f>IF(E322=C322,0,1)</f>
        <v>0</v>
      </c>
      <c r="E322" s="49" t="s">
        <v>942</v>
      </c>
      <c r="F322" s="30" t="str">
        <f>REPLACE(E322,4,4, )</f>
        <v>SOK</v>
      </c>
      <c r="G322" s="33" t="s">
        <v>91</v>
      </c>
      <c r="H322" s="34" t="s">
        <v>919</v>
      </c>
      <c r="I322" s="33" t="s">
        <v>934</v>
      </c>
      <c r="J322" s="51">
        <v>55650</v>
      </c>
      <c r="K322" s="52">
        <f>J322-M322</f>
        <v>6650</v>
      </c>
      <c r="L322" s="49" t="s">
        <v>94</v>
      </c>
      <c r="M322" s="53">
        <f>J322-N322</f>
        <v>49000</v>
      </c>
      <c r="N322" s="53">
        <f>2000+200+250+600+3600</f>
        <v>6650</v>
      </c>
      <c r="O322" s="55">
        <f>M322+N322</f>
        <v>55650</v>
      </c>
      <c r="P322" s="47">
        <v>471</v>
      </c>
      <c r="Q322" s="56">
        <v>55650</v>
      </c>
      <c r="R322" s="41">
        <f>O322-Q322</f>
        <v>0</v>
      </c>
      <c r="S322" s="67"/>
      <c r="T322" s="33" t="s">
        <v>857</v>
      </c>
      <c r="U322" s="57"/>
      <c r="V322" s="57">
        <f>U322+O322</f>
        <v>55650</v>
      </c>
      <c r="W322" s="57">
        <f>V322/0.7</f>
        <v>79500</v>
      </c>
      <c r="X322" s="58">
        <f>W322/0.875</f>
        <v>90857.142857142855</v>
      </c>
      <c r="Y322" s="59">
        <f>(X322-W322)/X322</f>
        <v>0.12499999999999999</v>
      </c>
      <c r="Z322" s="58">
        <f>(ROUNDUP((X322/100),0))*100</f>
        <v>90900</v>
      </c>
      <c r="AA322" s="178" t="s">
        <v>1780</v>
      </c>
      <c r="AB322" s="224">
        <v>43420</v>
      </c>
      <c r="AC322" s="177" t="s">
        <v>1780</v>
      </c>
      <c r="AD322" s="224">
        <v>43445</v>
      </c>
      <c r="AE322" s="179">
        <v>51000</v>
      </c>
      <c r="AF322" s="179" t="s">
        <v>1802</v>
      </c>
      <c r="AG322" s="179">
        <v>6650</v>
      </c>
      <c r="AH322" s="179">
        <v>57650</v>
      </c>
    </row>
    <row r="323" spans="1:35" ht="14.45" customHeight="1" x14ac:dyDescent="0.2">
      <c r="A323" s="47">
        <v>58</v>
      </c>
      <c r="B323" s="48" t="str">
        <f>REPLACE(E323,1,3, )</f>
        <v xml:space="preserve"> 287</v>
      </c>
      <c r="C323" s="70" t="s">
        <v>186</v>
      </c>
      <c r="D323" s="49">
        <f>IF(E323=C323,0,1)</f>
        <v>0</v>
      </c>
      <c r="E323" s="50" t="s">
        <v>186</v>
      </c>
      <c r="F323" s="30" t="str">
        <f>REPLACE(E323,4,4, )</f>
        <v>SOP</v>
      </c>
      <c r="G323" s="30" t="s">
        <v>34</v>
      </c>
      <c r="H323" s="34" t="s">
        <v>178</v>
      </c>
      <c r="I323" s="30" t="s">
        <v>187</v>
      </c>
      <c r="J323" s="51">
        <v>128000</v>
      </c>
      <c r="K323" s="52">
        <f>J323-M323</f>
        <v>6250</v>
      </c>
      <c r="L323" s="49" t="s">
        <v>94</v>
      </c>
      <c r="M323" s="53">
        <f>J323-N323</f>
        <v>121750</v>
      </c>
      <c r="N323" s="54">
        <f>2000+200+350+600+3100</f>
        <v>6250</v>
      </c>
      <c r="O323" s="55">
        <f>M323+N323</f>
        <v>128000</v>
      </c>
      <c r="P323" s="47">
        <v>58</v>
      </c>
      <c r="Q323" s="56">
        <v>128000</v>
      </c>
      <c r="R323" s="41">
        <f>O323-Q323</f>
        <v>0</v>
      </c>
      <c r="S323" s="67"/>
      <c r="T323" s="33" t="s">
        <v>188</v>
      </c>
      <c r="U323" s="57">
        <v>1000</v>
      </c>
      <c r="V323" s="57">
        <f>U323+O323</f>
        <v>129000</v>
      </c>
      <c r="W323" s="57">
        <f>V323/0.7</f>
        <v>184285.71428571429</v>
      </c>
      <c r="X323" s="58">
        <f>W323/0.875</f>
        <v>210612.2448979592</v>
      </c>
      <c r="Y323" s="59">
        <f>(X323-W323)/X323</f>
        <v>0.12500000000000006</v>
      </c>
      <c r="Z323" s="58">
        <f>(ROUNDUP((X323/100),0))*100</f>
        <v>210700</v>
      </c>
      <c r="AA323" s="58"/>
      <c r="AB323" s="58"/>
      <c r="AC323" s="180"/>
      <c r="AD323" s="180"/>
      <c r="AE323" s="176"/>
      <c r="AF323" s="176"/>
      <c r="AG323" s="176"/>
      <c r="AH323" s="176"/>
      <c r="AI323" s="85"/>
    </row>
    <row r="324" spans="1:35" s="91" customFormat="1" ht="14.45" customHeight="1" x14ac:dyDescent="0.2">
      <c r="A324" s="47">
        <v>75</v>
      </c>
      <c r="B324" s="48" t="str">
        <f>REPLACE(E324,1,3, )</f>
        <v xml:space="preserve"> 457</v>
      </c>
      <c r="C324" s="70" t="s">
        <v>211</v>
      </c>
      <c r="D324" s="49">
        <f>IF(E324=C324,0,1)</f>
        <v>0</v>
      </c>
      <c r="E324" s="50" t="s">
        <v>211</v>
      </c>
      <c r="F324" s="30" t="str">
        <f>REPLACE(E324,4,4, )</f>
        <v>SOP</v>
      </c>
      <c r="G324" s="30" t="s">
        <v>34</v>
      </c>
      <c r="H324" s="34" t="s">
        <v>178</v>
      </c>
      <c r="I324" s="30" t="s">
        <v>187</v>
      </c>
      <c r="J324" s="51">
        <v>132000</v>
      </c>
      <c r="K324" s="52">
        <f>J324-M324</f>
        <v>6250</v>
      </c>
      <c r="L324" s="49" t="s">
        <v>94</v>
      </c>
      <c r="M324" s="53">
        <f>J324-N324</f>
        <v>125750</v>
      </c>
      <c r="N324" s="54">
        <f>2000+200+350+600+3100</f>
        <v>6250</v>
      </c>
      <c r="O324" s="55">
        <f>M324+N324</f>
        <v>132000</v>
      </c>
      <c r="P324" s="47">
        <v>75</v>
      </c>
      <c r="Q324" s="56">
        <v>132000</v>
      </c>
      <c r="R324" s="41">
        <f>O324-Q324</f>
        <v>0</v>
      </c>
      <c r="S324" s="67"/>
      <c r="T324" s="33" t="s">
        <v>188</v>
      </c>
      <c r="U324" s="57">
        <v>-1000</v>
      </c>
      <c r="V324" s="57">
        <f>U324+O324</f>
        <v>131000</v>
      </c>
      <c r="W324" s="57">
        <f>V324/0.7</f>
        <v>187142.85714285716</v>
      </c>
      <c r="X324" s="58">
        <f>W324/0.875</f>
        <v>213877.55102040819</v>
      </c>
      <c r="Y324" s="59">
        <f>(X324-W324)/X324</f>
        <v>0.12500000000000006</v>
      </c>
      <c r="Z324" s="58">
        <f>(ROUNDUP((X324/100),0))*100</f>
        <v>213900</v>
      </c>
      <c r="AA324" s="58"/>
      <c r="AB324" s="58"/>
      <c r="AC324" s="180"/>
      <c r="AD324" s="180"/>
      <c r="AE324" s="176"/>
      <c r="AF324" s="176"/>
      <c r="AG324" s="176"/>
      <c r="AH324" s="176"/>
    </row>
    <row r="325" spans="1:35" ht="14.45" customHeight="1" x14ac:dyDescent="0.2">
      <c r="A325" s="47">
        <v>95</v>
      </c>
      <c r="B325" s="48" t="str">
        <f>REPLACE(E325,1,3, )</f>
        <v xml:space="preserve"> 707</v>
      </c>
      <c r="C325" s="70" t="s">
        <v>253</v>
      </c>
      <c r="D325" s="49">
        <f>IF(E325=C325,0,1)</f>
        <v>0</v>
      </c>
      <c r="E325" s="50" t="s">
        <v>253</v>
      </c>
      <c r="F325" s="30" t="str">
        <f>REPLACE(E325,4,4, )</f>
        <v>SOP</v>
      </c>
      <c r="G325" s="30" t="s">
        <v>34</v>
      </c>
      <c r="H325" s="34" t="s">
        <v>245</v>
      </c>
      <c r="I325" s="30" t="s">
        <v>187</v>
      </c>
      <c r="J325" s="51">
        <v>70000</v>
      </c>
      <c r="K325" s="52">
        <f>J325-M325</f>
        <v>3400</v>
      </c>
      <c r="L325" s="49" t="s">
        <v>94</v>
      </c>
      <c r="M325" s="53">
        <f>J325-N325</f>
        <v>66600</v>
      </c>
      <c r="N325" s="54">
        <f>2000+200+600+600</f>
        <v>3400</v>
      </c>
      <c r="O325" s="55">
        <f>M325+N325</f>
        <v>70000</v>
      </c>
      <c r="P325" s="47">
        <v>95</v>
      </c>
      <c r="Q325" s="56">
        <v>70000</v>
      </c>
      <c r="R325" s="41">
        <f>O325-Q325</f>
        <v>0</v>
      </c>
      <c r="S325" s="67"/>
      <c r="T325" s="33" t="s">
        <v>246</v>
      </c>
      <c r="U325" s="57">
        <v>-1000</v>
      </c>
      <c r="V325" s="57">
        <f>U325+O325</f>
        <v>69000</v>
      </c>
      <c r="W325" s="57">
        <f>V325/0.7</f>
        <v>98571.42857142858</v>
      </c>
      <c r="X325" s="58">
        <f>W325/0.875</f>
        <v>112653.06122448981</v>
      </c>
      <c r="Y325" s="59">
        <f>(X325-W325)/X325</f>
        <v>0.12500000000000003</v>
      </c>
      <c r="Z325" s="58">
        <f>(ROUNDUP((X325/100),0))*100</f>
        <v>112700</v>
      </c>
      <c r="AA325" s="58"/>
      <c r="AB325" s="58"/>
      <c r="AC325" s="180"/>
      <c r="AD325" s="180"/>
      <c r="AE325" s="176"/>
      <c r="AF325" s="176"/>
      <c r="AG325" s="176"/>
      <c r="AH325" s="176"/>
      <c r="AI325" s="85"/>
    </row>
    <row r="326" spans="1:35" ht="14.45" customHeight="1" x14ac:dyDescent="0.2">
      <c r="A326" s="47">
        <v>227</v>
      </c>
      <c r="B326" s="48" t="str">
        <f>REPLACE(E326,1,3, )</f>
        <v xml:space="preserve"> 979</v>
      </c>
      <c r="C326" s="70" t="s">
        <v>511</v>
      </c>
      <c r="D326" s="49">
        <f>IF(E326=C326,0,1)</f>
        <v>0</v>
      </c>
      <c r="E326" s="48" t="s">
        <v>511</v>
      </c>
      <c r="F326" s="30" t="str">
        <f>REPLACE(E326,4,4, )</f>
        <v>SOR</v>
      </c>
      <c r="G326" s="33" t="s">
        <v>34</v>
      </c>
      <c r="H326" s="34" t="s">
        <v>493</v>
      </c>
      <c r="I326" s="33" t="s">
        <v>374</v>
      </c>
      <c r="J326" s="51">
        <v>79500</v>
      </c>
      <c r="K326" s="52">
        <f>J326-M326</f>
        <v>7500</v>
      </c>
      <c r="L326" s="49" t="s">
        <v>94</v>
      </c>
      <c r="M326" s="53">
        <f>J326-N326</f>
        <v>72000</v>
      </c>
      <c r="N326" s="54">
        <f>2000+300+600+1000+3600</f>
        <v>7500</v>
      </c>
      <c r="O326" s="55">
        <f>M326+N326</f>
        <v>79500</v>
      </c>
      <c r="P326" s="47">
        <v>227</v>
      </c>
      <c r="Q326" s="56">
        <v>79500</v>
      </c>
      <c r="R326" s="41">
        <f>O326-Q326</f>
        <v>0</v>
      </c>
      <c r="S326" s="67"/>
      <c r="T326" s="33" t="s">
        <v>379</v>
      </c>
      <c r="U326" s="57">
        <v>2000</v>
      </c>
      <c r="V326" s="57">
        <f>U326+O326</f>
        <v>81500</v>
      </c>
      <c r="W326" s="57">
        <f>V326/0.7</f>
        <v>116428.57142857143</v>
      </c>
      <c r="X326" s="58">
        <f>W326/0.875</f>
        <v>133061.22448979592</v>
      </c>
      <c r="Y326" s="59">
        <f>(X326-W326)/X326</f>
        <v>0.12499999999999994</v>
      </c>
      <c r="Z326" s="58">
        <f>(ROUNDUP((X326/100),0))*100</f>
        <v>133100</v>
      </c>
      <c r="AA326" s="58"/>
      <c r="AB326" s="58"/>
      <c r="AC326" s="180"/>
      <c r="AD326" s="180"/>
      <c r="AE326" s="176"/>
      <c r="AF326" s="176"/>
      <c r="AG326" s="176"/>
      <c r="AH326" s="176"/>
      <c r="AI326" s="85"/>
    </row>
    <row r="327" spans="1:35" ht="14.45" customHeight="1" x14ac:dyDescent="0.2">
      <c r="A327" s="47">
        <v>132</v>
      </c>
      <c r="B327" s="48" t="str">
        <f>REPLACE(E327,1,3, )</f>
        <v xml:space="preserve"> 130</v>
      </c>
      <c r="C327" s="70" t="s">
        <v>329</v>
      </c>
      <c r="D327" s="49">
        <f>IF(E327=C327,0,1)</f>
        <v>0</v>
      </c>
      <c r="E327" s="50" t="s">
        <v>329</v>
      </c>
      <c r="F327" s="30" t="str">
        <f>REPLACE(E327,4,4, )</f>
        <v>SPI</v>
      </c>
      <c r="G327" s="30" t="s">
        <v>34</v>
      </c>
      <c r="H327" s="34" t="s">
        <v>319</v>
      </c>
      <c r="I327" s="30" t="s">
        <v>100</v>
      </c>
      <c r="J327" s="51"/>
      <c r="K327" s="52">
        <f>J327-M327</f>
        <v>0</v>
      </c>
      <c r="L327" s="49"/>
      <c r="M327" s="53">
        <f>J327-N327</f>
        <v>0</v>
      </c>
      <c r="N327" s="53"/>
      <c r="O327" s="55">
        <f>M327+N327</f>
        <v>0</v>
      </c>
      <c r="P327" s="47">
        <v>132</v>
      </c>
      <c r="Q327" s="41"/>
      <c r="R327" s="41"/>
      <c r="S327" s="67"/>
      <c r="T327" s="33"/>
      <c r="U327" s="57"/>
      <c r="V327" s="57">
        <f>U327+O327</f>
        <v>0</v>
      </c>
      <c r="W327" s="57">
        <f>V327/0.7</f>
        <v>0</v>
      </c>
      <c r="X327" s="58">
        <f>W327/0.875</f>
        <v>0</v>
      </c>
      <c r="Y327" s="59" t="e">
        <f>(X327-W327)/X327</f>
        <v>#DIV/0!</v>
      </c>
      <c r="Z327" s="58">
        <f>(ROUNDUP((X327/100),0))*100</f>
        <v>0</v>
      </c>
      <c r="AA327" s="58"/>
      <c r="AB327" s="58"/>
      <c r="AC327" s="180"/>
      <c r="AD327" s="180"/>
      <c r="AE327" s="176"/>
      <c r="AF327" s="176"/>
      <c r="AG327" s="176"/>
      <c r="AH327" s="176"/>
      <c r="AI327" s="85"/>
    </row>
    <row r="328" spans="1:35" ht="14.45" customHeight="1" x14ac:dyDescent="0.2">
      <c r="A328" s="47">
        <v>350</v>
      </c>
      <c r="B328" s="48" t="str">
        <f>REPLACE(E328,1,3, )</f>
        <v xml:space="preserve"> 246</v>
      </c>
      <c r="C328" s="70" t="s">
        <v>721</v>
      </c>
      <c r="D328" s="49">
        <f>IF(E328=C328,0,1)</f>
        <v>0</v>
      </c>
      <c r="E328" s="50" t="s">
        <v>721</v>
      </c>
      <c r="F328" s="30" t="str">
        <f>REPLACE(E328,4,4, )</f>
        <v>SPI</v>
      </c>
      <c r="G328" s="30" t="s">
        <v>34</v>
      </c>
      <c r="H328" s="34" t="s">
        <v>722</v>
      </c>
      <c r="I328" s="30" t="s">
        <v>100</v>
      </c>
      <c r="J328" s="51"/>
      <c r="K328" s="52">
        <f>J328-M328</f>
        <v>0</v>
      </c>
      <c r="L328" s="49"/>
      <c r="M328" s="53">
        <f>J328-N328</f>
        <v>0</v>
      </c>
      <c r="N328" s="54"/>
      <c r="O328" s="55">
        <f>M328+N328</f>
        <v>0</v>
      </c>
      <c r="P328" s="47">
        <v>350</v>
      </c>
      <c r="Q328" s="41"/>
      <c r="R328" s="41"/>
      <c r="S328" s="67"/>
      <c r="T328" s="33"/>
      <c r="U328" s="57"/>
      <c r="V328" s="57">
        <f>U328+O328</f>
        <v>0</v>
      </c>
      <c r="W328" s="57">
        <f>V328/0.7</f>
        <v>0</v>
      </c>
      <c r="X328" s="58">
        <f>W328/0.875</f>
        <v>0</v>
      </c>
      <c r="Y328" s="59" t="e">
        <f>(X328-W328)/X328</f>
        <v>#DIV/0!</v>
      </c>
      <c r="Z328" s="58">
        <f>(ROUNDUP((X328/100),0))*100</f>
        <v>0</v>
      </c>
      <c r="AA328" s="58"/>
      <c r="AB328" s="58"/>
      <c r="AC328" s="180"/>
      <c r="AD328" s="180"/>
      <c r="AE328" s="176"/>
      <c r="AF328" s="176"/>
      <c r="AG328" s="176"/>
      <c r="AH328" s="176"/>
      <c r="AI328" s="85"/>
    </row>
    <row r="329" spans="1:35" ht="14.45" customHeight="1" x14ac:dyDescent="0.2">
      <c r="A329" s="47">
        <v>339</v>
      </c>
      <c r="B329" s="48" t="str">
        <f>REPLACE(E329,1,3, )</f>
        <v xml:space="preserve"> 255</v>
      </c>
      <c r="C329" s="70" t="s">
        <v>703</v>
      </c>
      <c r="D329" s="49">
        <f>IF(E329=C329,0,1)</f>
        <v>0</v>
      </c>
      <c r="E329" s="50" t="s">
        <v>703</v>
      </c>
      <c r="F329" s="30" t="str">
        <f>REPLACE(E329,4,4, )</f>
        <v>SPI</v>
      </c>
      <c r="G329" s="30" t="s">
        <v>34</v>
      </c>
      <c r="H329" s="71" t="s">
        <v>335</v>
      </c>
      <c r="I329" s="30" t="s">
        <v>100</v>
      </c>
      <c r="J329" s="51"/>
      <c r="K329" s="52">
        <f>J329-M329</f>
        <v>0</v>
      </c>
      <c r="L329" s="49"/>
      <c r="M329" s="53">
        <f>J329-N329</f>
        <v>0</v>
      </c>
      <c r="N329" s="54"/>
      <c r="O329" s="55">
        <f>M329+N329</f>
        <v>0</v>
      </c>
      <c r="P329" s="47">
        <v>339</v>
      </c>
      <c r="Q329" s="41"/>
      <c r="R329" s="41"/>
      <c r="S329" s="67"/>
      <c r="T329" s="33"/>
      <c r="U329" s="57"/>
      <c r="V329" s="57">
        <f>U329+O329</f>
        <v>0</v>
      </c>
      <c r="W329" s="57">
        <f>V329/0.7</f>
        <v>0</v>
      </c>
      <c r="X329" s="58">
        <f>W329/0.875</f>
        <v>0</v>
      </c>
      <c r="Y329" s="59"/>
      <c r="Z329" s="58">
        <f>(ROUNDUP((X329/100),0))*100</f>
        <v>0</v>
      </c>
      <c r="AA329" s="58"/>
      <c r="AB329" s="58"/>
      <c r="AC329" s="180"/>
      <c r="AD329" s="180"/>
      <c r="AE329" s="176"/>
      <c r="AF329" s="176"/>
      <c r="AG329" s="176"/>
      <c r="AH329" s="176"/>
      <c r="AI329" s="85"/>
    </row>
    <row r="330" spans="1:35" ht="14.45" customHeight="1" x14ac:dyDescent="0.2">
      <c r="A330" s="47">
        <v>341</v>
      </c>
      <c r="B330" s="48" t="str">
        <f>REPLACE(E330,1,3, )</f>
        <v xml:space="preserve"> 370</v>
      </c>
      <c r="C330" s="70" t="s">
        <v>707</v>
      </c>
      <c r="D330" s="49">
        <f>IF(E330=C330,0,1)</f>
        <v>0</v>
      </c>
      <c r="E330" s="50" t="s">
        <v>707</v>
      </c>
      <c r="F330" s="30" t="str">
        <f>REPLACE(E330,4,4, )</f>
        <v>SPI</v>
      </c>
      <c r="G330" s="30" t="s">
        <v>34</v>
      </c>
      <c r="H330" s="71" t="s">
        <v>335</v>
      </c>
      <c r="I330" s="30" t="s">
        <v>100</v>
      </c>
      <c r="J330" s="51"/>
      <c r="K330" s="52">
        <f>J330-M330</f>
        <v>0</v>
      </c>
      <c r="L330" s="49"/>
      <c r="M330" s="53">
        <f>J330-N330</f>
        <v>0</v>
      </c>
      <c r="N330" s="54"/>
      <c r="O330" s="55">
        <f>M330+N330</f>
        <v>0</v>
      </c>
      <c r="P330" s="47">
        <v>341</v>
      </c>
      <c r="Q330" s="41"/>
      <c r="R330" s="41"/>
      <c r="S330" s="67"/>
      <c r="T330" s="33"/>
      <c r="U330" s="57"/>
      <c r="V330" s="57">
        <f>U330+O330</f>
        <v>0</v>
      </c>
      <c r="W330" s="57">
        <f>V330/0.7</f>
        <v>0</v>
      </c>
      <c r="X330" s="58">
        <f>W330/0.875</f>
        <v>0</v>
      </c>
      <c r="Y330" s="59"/>
      <c r="Z330" s="58">
        <f>(ROUNDUP((X330/100),0))*100</f>
        <v>0</v>
      </c>
      <c r="AA330" s="58"/>
      <c r="AB330" s="58"/>
      <c r="AC330" s="180"/>
      <c r="AD330" s="180"/>
      <c r="AE330" s="176"/>
      <c r="AF330" s="176"/>
      <c r="AG330" s="176"/>
      <c r="AH330" s="176"/>
      <c r="AI330" s="85"/>
    </row>
    <row r="331" spans="1:35" s="91" customFormat="1" ht="14.45" customHeight="1" x14ac:dyDescent="0.2">
      <c r="A331" s="47">
        <v>344</v>
      </c>
      <c r="B331" s="48" t="str">
        <f>REPLACE(E331,1,3, )</f>
        <v xml:space="preserve"> 436</v>
      </c>
      <c r="C331" s="70" t="s">
        <v>711</v>
      </c>
      <c r="D331" s="49">
        <f>IF(E331=C331,0,1)</f>
        <v>0</v>
      </c>
      <c r="E331" s="47" t="s">
        <v>711</v>
      </c>
      <c r="F331" s="30" t="str">
        <f>REPLACE(E331,4,4, )</f>
        <v>SPI</v>
      </c>
      <c r="G331" s="30" t="s">
        <v>91</v>
      </c>
      <c r="H331" s="71" t="s">
        <v>335</v>
      </c>
      <c r="I331" s="30" t="s">
        <v>100</v>
      </c>
      <c r="J331" s="51">
        <v>107000</v>
      </c>
      <c r="K331" s="52">
        <f>J331-M331</f>
        <v>107000</v>
      </c>
      <c r="L331" s="49"/>
      <c r="M331" s="53">
        <v>0</v>
      </c>
      <c r="N331" s="53">
        <v>0</v>
      </c>
      <c r="O331" s="55">
        <f>M331+N331</f>
        <v>0</v>
      </c>
      <c r="P331" s="47">
        <v>344</v>
      </c>
      <c r="Q331" s="41"/>
      <c r="R331" s="41"/>
      <c r="S331" s="67"/>
      <c r="T331" s="33"/>
      <c r="U331" s="57"/>
      <c r="V331" s="57">
        <f>U331+O331</f>
        <v>0</v>
      </c>
      <c r="W331" s="57">
        <f>V331/0.7</f>
        <v>0</v>
      </c>
      <c r="X331" s="58">
        <f>W331/0.875</f>
        <v>0</v>
      </c>
      <c r="Y331" s="59"/>
      <c r="Z331" s="58">
        <f>(ROUNDUP((X331/100),0))*100</f>
        <v>0</v>
      </c>
      <c r="AA331" s="178"/>
      <c r="AB331" s="178"/>
      <c r="AC331" s="177"/>
      <c r="AD331" s="177"/>
      <c r="AE331" s="179"/>
      <c r="AF331" s="179"/>
      <c r="AG331" s="179"/>
      <c r="AH331" s="179"/>
    </row>
    <row r="332" spans="1:35" ht="14.45" customHeight="1" x14ac:dyDescent="0.2">
      <c r="A332" s="47">
        <v>40</v>
      </c>
      <c r="B332" s="48" t="str">
        <f>REPLACE(E332,1,3, )</f>
        <v xml:space="preserve"> 514</v>
      </c>
      <c r="C332" s="70" t="s">
        <v>156</v>
      </c>
      <c r="D332" s="49">
        <f>IF(E332=C332,0,1)</f>
        <v>0</v>
      </c>
      <c r="E332" s="50" t="s">
        <v>156</v>
      </c>
      <c r="F332" s="30" t="str">
        <f>REPLACE(E332,4,4, )</f>
        <v>SPI</v>
      </c>
      <c r="G332" s="30" t="s">
        <v>34</v>
      </c>
      <c r="H332" s="34" t="s">
        <v>153</v>
      </c>
      <c r="I332" s="30" t="s">
        <v>100</v>
      </c>
      <c r="J332" s="51"/>
      <c r="K332" s="52">
        <f>J332-M332</f>
        <v>0</v>
      </c>
      <c r="L332" s="49"/>
      <c r="M332" s="53">
        <f>J332-N332</f>
        <v>0</v>
      </c>
      <c r="N332" s="53"/>
      <c r="O332" s="55">
        <f>M332+N332</f>
        <v>0</v>
      </c>
      <c r="P332" s="47">
        <v>40</v>
      </c>
      <c r="Q332" s="41"/>
      <c r="R332" s="41"/>
      <c r="S332" s="67"/>
      <c r="T332" s="33"/>
      <c r="U332" s="57"/>
      <c r="V332" s="57">
        <f>U332+O332</f>
        <v>0</v>
      </c>
      <c r="W332" s="57">
        <f>V332/0.7</f>
        <v>0</v>
      </c>
      <c r="X332" s="58">
        <f>W332/0.875</f>
        <v>0</v>
      </c>
      <c r="Y332" s="59" t="e">
        <f>(X332-W332)/X332</f>
        <v>#DIV/0!</v>
      </c>
      <c r="Z332" s="58">
        <f>(ROUNDUP((X332/100),0))*100</f>
        <v>0</v>
      </c>
      <c r="AA332" s="58"/>
      <c r="AB332" s="58"/>
      <c r="AC332" s="180"/>
      <c r="AD332" s="180"/>
      <c r="AE332" s="176"/>
      <c r="AF332" s="176"/>
      <c r="AG332" s="176"/>
      <c r="AH332" s="176"/>
      <c r="AI332" s="85"/>
    </row>
    <row r="333" spans="1:35" ht="14.45" customHeight="1" x14ac:dyDescent="0.2">
      <c r="A333" s="47">
        <v>343</v>
      </c>
      <c r="B333" s="48" t="str">
        <f>REPLACE(E333,1,3, )</f>
        <v xml:space="preserve"> 518</v>
      </c>
      <c r="C333" s="70" t="s">
        <v>710</v>
      </c>
      <c r="D333" s="49">
        <f>IF(E333=C333,0,1)</f>
        <v>0</v>
      </c>
      <c r="E333" s="50" t="s">
        <v>710</v>
      </c>
      <c r="F333" s="30" t="str">
        <f>REPLACE(E333,4,4, )</f>
        <v>SPI</v>
      </c>
      <c r="G333" s="30" t="s">
        <v>34</v>
      </c>
      <c r="H333" s="71" t="s">
        <v>335</v>
      </c>
      <c r="I333" s="30" t="s">
        <v>100</v>
      </c>
      <c r="J333" s="51"/>
      <c r="K333" s="52">
        <f>J333-M333</f>
        <v>0</v>
      </c>
      <c r="L333" s="49"/>
      <c r="M333" s="53">
        <f>J333-N333</f>
        <v>0</v>
      </c>
      <c r="N333" s="54"/>
      <c r="O333" s="55">
        <f>M333+N333</f>
        <v>0</v>
      </c>
      <c r="P333" s="47">
        <v>343</v>
      </c>
      <c r="Q333" s="41"/>
      <c r="R333" s="41"/>
      <c r="S333" s="67"/>
      <c r="T333" s="33"/>
      <c r="U333" s="57"/>
      <c r="V333" s="57">
        <f>U333+O333</f>
        <v>0</v>
      </c>
      <c r="W333" s="57">
        <f>V333/0.7</f>
        <v>0</v>
      </c>
      <c r="X333" s="58">
        <f>W333/0.875</f>
        <v>0</v>
      </c>
      <c r="Y333" s="59"/>
      <c r="Z333" s="58">
        <f>(ROUNDUP((X333/100),0))*100</f>
        <v>0</v>
      </c>
      <c r="AA333" s="58"/>
      <c r="AB333" s="58"/>
      <c r="AC333" s="180"/>
      <c r="AD333" s="180"/>
      <c r="AE333" s="176"/>
      <c r="AF333" s="176"/>
      <c r="AG333" s="176"/>
      <c r="AH333" s="176"/>
      <c r="AI333" s="85"/>
    </row>
    <row r="334" spans="1:35" ht="14.45" customHeight="1" x14ac:dyDescent="0.2">
      <c r="A334" s="47">
        <v>42</v>
      </c>
      <c r="B334" s="48" t="str">
        <f>REPLACE(E334,1,3, )</f>
        <v xml:space="preserve"> 721</v>
      </c>
      <c r="C334" s="70" t="s">
        <v>158</v>
      </c>
      <c r="D334" s="49">
        <f>IF(E334=C334,0,1)</f>
        <v>0</v>
      </c>
      <c r="E334" s="50" t="s">
        <v>158</v>
      </c>
      <c r="F334" s="30" t="str">
        <f>REPLACE(E334,4,4, )</f>
        <v>SPI</v>
      </c>
      <c r="G334" s="30" t="s">
        <v>34</v>
      </c>
      <c r="H334" s="34" t="s">
        <v>153</v>
      </c>
      <c r="I334" s="30" t="s">
        <v>100</v>
      </c>
      <c r="J334" s="51"/>
      <c r="K334" s="52">
        <f>J334-M334</f>
        <v>0</v>
      </c>
      <c r="L334" s="49"/>
      <c r="M334" s="53">
        <f>J334-N334</f>
        <v>0</v>
      </c>
      <c r="N334" s="53"/>
      <c r="O334" s="55">
        <f>M334+N334</f>
        <v>0</v>
      </c>
      <c r="P334" s="47">
        <v>42</v>
      </c>
      <c r="Q334" s="41"/>
      <c r="R334" s="41"/>
      <c r="S334" s="67"/>
      <c r="T334" s="33"/>
      <c r="U334" s="57"/>
      <c r="V334" s="57">
        <f>U334+O334</f>
        <v>0</v>
      </c>
      <c r="W334" s="57">
        <f>V334/0.7</f>
        <v>0</v>
      </c>
      <c r="X334" s="58">
        <f>W334/0.875</f>
        <v>0</v>
      </c>
      <c r="Y334" s="59" t="e">
        <f>(X334-W334)/X334</f>
        <v>#DIV/0!</v>
      </c>
      <c r="Z334" s="58">
        <f>(ROUNDUP((X334/100),0))*100</f>
        <v>0</v>
      </c>
      <c r="AA334" s="58"/>
      <c r="AB334" s="58"/>
      <c r="AC334" s="180"/>
      <c r="AD334" s="180"/>
      <c r="AE334" s="176"/>
      <c r="AF334" s="176"/>
      <c r="AG334" s="176"/>
      <c r="AH334" s="176"/>
      <c r="AI334" s="85"/>
    </row>
    <row r="335" spans="1:35" ht="14.45" customHeight="1" x14ac:dyDescent="0.2">
      <c r="A335" s="47">
        <v>302</v>
      </c>
      <c r="B335" s="48" t="str">
        <f>REPLACE(E335,1,3, )</f>
        <v xml:space="preserve"> 776</v>
      </c>
      <c r="C335" s="70" t="s">
        <v>634</v>
      </c>
      <c r="D335" s="49">
        <f>IF(E335=C335,0,1)</f>
        <v>0</v>
      </c>
      <c r="E335" s="50" t="s">
        <v>634</v>
      </c>
      <c r="F335" s="30" t="str">
        <f>REPLACE(E335,4,4, )</f>
        <v>SPI</v>
      </c>
      <c r="G335" s="30" t="s">
        <v>34</v>
      </c>
      <c r="H335" s="34" t="s">
        <v>610</v>
      </c>
      <c r="I335" s="30" t="s">
        <v>100</v>
      </c>
      <c r="J335" s="51"/>
      <c r="K335" s="52">
        <f>J335-M335</f>
        <v>0</v>
      </c>
      <c r="L335" s="49"/>
      <c r="M335" s="53">
        <f>J335-N335</f>
        <v>0</v>
      </c>
      <c r="N335" s="54"/>
      <c r="O335" s="55">
        <f>M335+N335</f>
        <v>0</v>
      </c>
      <c r="P335" s="47">
        <v>302</v>
      </c>
      <c r="Q335" s="41"/>
      <c r="R335" s="41"/>
      <c r="S335" s="67"/>
      <c r="T335" s="33"/>
      <c r="U335" s="57"/>
      <c r="V335" s="57">
        <f>U335+O335</f>
        <v>0</v>
      </c>
      <c r="W335" s="57">
        <f>V335/0.7</f>
        <v>0</v>
      </c>
      <c r="X335" s="58">
        <f>W335/0.875</f>
        <v>0</v>
      </c>
      <c r="Y335" s="59" t="e">
        <f>(X335-W335)/X335</f>
        <v>#DIV/0!</v>
      </c>
      <c r="Z335" s="58">
        <f>(ROUNDUP((X335/100),0))*100</f>
        <v>0</v>
      </c>
      <c r="AA335" s="58"/>
      <c r="AB335" s="58"/>
      <c r="AC335" s="180"/>
      <c r="AD335" s="180"/>
      <c r="AE335" s="176"/>
      <c r="AF335" s="176"/>
      <c r="AG335" s="176"/>
      <c r="AH335" s="176"/>
      <c r="AI335" s="85"/>
    </row>
    <row r="336" spans="1:35" s="91" customFormat="1" ht="14.45" customHeight="1" x14ac:dyDescent="0.2">
      <c r="A336" s="47">
        <v>41</v>
      </c>
      <c r="B336" s="48" t="str">
        <f>REPLACE(E336,1,3, )</f>
        <v xml:space="preserve"> 839</v>
      </c>
      <c r="C336" s="70" t="s">
        <v>157</v>
      </c>
      <c r="D336" s="49">
        <f>IF(E336=C336,0,1)</f>
        <v>0</v>
      </c>
      <c r="E336" s="50" t="s">
        <v>157</v>
      </c>
      <c r="F336" s="30" t="str">
        <f>REPLACE(E336,4,4, )</f>
        <v>SPI</v>
      </c>
      <c r="G336" s="30" t="s">
        <v>34</v>
      </c>
      <c r="H336" s="34" t="s">
        <v>153</v>
      </c>
      <c r="I336" s="30" t="s">
        <v>100</v>
      </c>
      <c r="J336" s="51"/>
      <c r="K336" s="52">
        <f>J336-M336</f>
        <v>0</v>
      </c>
      <c r="L336" s="49"/>
      <c r="M336" s="53">
        <f>J336-N336</f>
        <v>0</v>
      </c>
      <c r="N336" s="53"/>
      <c r="O336" s="55">
        <f>M336+N336</f>
        <v>0</v>
      </c>
      <c r="P336" s="47">
        <v>41</v>
      </c>
      <c r="Q336" s="41"/>
      <c r="R336" s="41"/>
      <c r="S336" s="67"/>
      <c r="T336" s="33"/>
      <c r="U336" s="57"/>
      <c r="V336" s="57">
        <f>U336+O336</f>
        <v>0</v>
      </c>
      <c r="W336" s="57">
        <f>V336/0.7</f>
        <v>0</v>
      </c>
      <c r="X336" s="58">
        <f>W336/0.875</f>
        <v>0</v>
      </c>
      <c r="Y336" s="59" t="e">
        <f>(X336-W336)/X336</f>
        <v>#DIV/0!</v>
      </c>
      <c r="Z336" s="58">
        <f>(ROUNDUP((X336/100),0))*100</f>
        <v>0</v>
      </c>
      <c r="AA336" s="58"/>
      <c r="AB336" s="58"/>
      <c r="AC336" s="180"/>
      <c r="AD336" s="180"/>
      <c r="AE336" s="176"/>
      <c r="AF336" s="176"/>
      <c r="AG336" s="176"/>
      <c r="AH336" s="176"/>
    </row>
    <row r="337" spans="1:35" ht="14.45" customHeight="1" x14ac:dyDescent="0.2">
      <c r="A337" s="47">
        <v>145</v>
      </c>
      <c r="B337" s="48" t="str">
        <f>REPLACE(E337,1,3, )</f>
        <v xml:space="preserve"> 127</v>
      </c>
      <c r="C337" s="70" t="s">
        <v>349</v>
      </c>
      <c r="D337" s="49">
        <f>IF(E337=C337,0,1)</f>
        <v>0</v>
      </c>
      <c r="E337" s="50" t="s">
        <v>349</v>
      </c>
      <c r="F337" s="30" t="str">
        <f>REPLACE(E337,4,4, )</f>
        <v>SPN</v>
      </c>
      <c r="G337" s="30" t="s">
        <v>34</v>
      </c>
      <c r="H337" s="34" t="s">
        <v>342</v>
      </c>
      <c r="I337" s="30" t="s">
        <v>100</v>
      </c>
      <c r="J337" s="51"/>
      <c r="K337" s="52">
        <f>J337-M337</f>
        <v>0</v>
      </c>
      <c r="L337" s="49"/>
      <c r="M337" s="53">
        <f>J337-N337</f>
        <v>0</v>
      </c>
      <c r="N337" s="53"/>
      <c r="O337" s="55">
        <f>M337+N337</f>
        <v>0</v>
      </c>
      <c r="P337" s="47">
        <v>145</v>
      </c>
      <c r="Q337" s="41"/>
      <c r="R337" s="41"/>
      <c r="S337" s="67"/>
      <c r="T337" s="33"/>
      <c r="U337" s="57"/>
      <c r="V337" s="57">
        <f>U337+O337</f>
        <v>0</v>
      </c>
      <c r="W337" s="57">
        <f>V337/0.7</f>
        <v>0</v>
      </c>
      <c r="X337" s="58">
        <f>W337/0.875</f>
        <v>0</v>
      </c>
      <c r="Y337" s="59" t="e">
        <f>(X337-W337)/X337</f>
        <v>#DIV/0!</v>
      </c>
      <c r="Z337" s="58">
        <f>(ROUNDUP((X337/100),0))*100</f>
        <v>0</v>
      </c>
      <c r="AA337" s="58"/>
      <c r="AB337" s="58"/>
      <c r="AC337" s="180"/>
      <c r="AD337" s="180"/>
      <c r="AE337" s="176"/>
      <c r="AF337" s="176"/>
      <c r="AG337" s="176"/>
      <c r="AH337" s="176"/>
      <c r="AI337" s="85"/>
    </row>
    <row r="338" spans="1:35" s="91" customFormat="1" ht="14.45" customHeight="1" x14ac:dyDescent="0.2">
      <c r="A338" s="47">
        <v>141</v>
      </c>
      <c r="B338" s="48" t="str">
        <f>REPLACE(E338,1,3, )</f>
        <v xml:space="preserve"> 190</v>
      </c>
      <c r="C338" s="70" t="s">
        <v>343</v>
      </c>
      <c r="D338" s="49">
        <f>IF(E338=C338,0,1)</f>
        <v>0</v>
      </c>
      <c r="E338" s="47" t="s">
        <v>343</v>
      </c>
      <c r="F338" s="30" t="str">
        <f>REPLACE(E338,4,4, )</f>
        <v>SPN</v>
      </c>
      <c r="G338" s="30" t="s">
        <v>91</v>
      </c>
      <c r="H338" s="34" t="s">
        <v>342</v>
      </c>
      <c r="I338" s="30" t="s">
        <v>100</v>
      </c>
      <c r="J338" s="51">
        <v>85000</v>
      </c>
      <c r="K338" s="52">
        <v>4300</v>
      </c>
      <c r="L338" s="49" t="s">
        <v>94</v>
      </c>
      <c r="M338" s="53">
        <v>80700</v>
      </c>
      <c r="N338" s="53">
        <v>4300</v>
      </c>
      <c r="O338" s="55">
        <v>85000</v>
      </c>
      <c r="P338" s="47">
        <v>141</v>
      </c>
      <c r="Q338" s="41"/>
      <c r="R338" s="41"/>
      <c r="S338" s="67"/>
      <c r="T338" s="33"/>
      <c r="U338" s="57"/>
      <c r="V338" s="57">
        <f>U338+O338</f>
        <v>85000</v>
      </c>
      <c r="W338" s="57">
        <f>V338/0.7</f>
        <v>121428.57142857143</v>
      </c>
      <c r="X338" s="58">
        <f>W338/0.875</f>
        <v>138775.51020408163</v>
      </c>
      <c r="Y338" s="59">
        <f>(X338-W338)/X338</f>
        <v>0.12499999999999992</v>
      </c>
      <c r="Z338" s="58">
        <f>(ROUNDUP((X338/100),0))*100</f>
        <v>138800</v>
      </c>
      <c r="AA338" s="178" t="s">
        <v>1780</v>
      </c>
      <c r="AB338" s="224">
        <v>43442</v>
      </c>
      <c r="AC338" s="177"/>
      <c r="AD338" s="177"/>
      <c r="AE338" s="179"/>
      <c r="AF338" s="179"/>
      <c r="AG338" s="179"/>
      <c r="AH338" s="179"/>
    </row>
    <row r="339" spans="1:35" ht="14.45" customHeight="1" x14ac:dyDescent="0.2">
      <c r="A339" s="47">
        <v>149</v>
      </c>
      <c r="B339" s="48" t="str">
        <f>REPLACE(E339,1,3, )</f>
        <v xml:space="preserve"> 191</v>
      </c>
      <c r="C339" s="70" t="s">
        <v>355</v>
      </c>
      <c r="D339" s="49">
        <f>IF(E339=C339,0,1)</f>
        <v>0</v>
      </c>
      <c r="E339" s="48" t="s">
        <v>355</v>
      </c>
      <c r="F339" s="30" t="str">
        <f>REPLACE(E339,4,4, )</f>
        <v>SPN</v>
      </c>
      <c r="G339" s="49" t="s">
        <v>34</v>
      </c>
      <c r="H339" s="34" t="s">
        <v>342</v>
      </c>
      <c r="I339" s="30" t="s">
        <v>100</v>
      </c>
      <c r="J339" s="80"/>
      <c r="K339" s="52">
        <f>J339-M339</f>
        <v>0</v>
      </c>
      <c r="L339" s="49"/>
      <c r="M339" s="53">
        <f>J339-N339</f>
        <v>0</v>
      </c>
      <c r="N339" s="53"/>
      <c r="O339" s="55">
        <f>M339+N339</f>
        <v>0</v>
      </c>
      <c r="P339" s="47">
        <v>149</v>
      </c>
      <c r="Q339" s="41"/>
      <c r="R339" s="41"/>
      <c r="S339" s="67"/>
      <c r="T339" s="33"/>
      <c r="U339" s="57"/>
      <c r="V339" s="57">
        <f>U339+O339</f>
        <v>0</v>
      </c>
      <c r="W339" s="57">
        <f>V339/0.7</f>
        <v>0</v>
      </c>
      <c r="X339" s="58">
        <f>W339/0.875</f>
        <v>0</v>
      </c>
      <c r="Y339" s="59" t="e">
        <f>(X339-W339)/X339</f>
        <v>#DIV/0!</v>
      </c>
      <c r="Z339" s="58">
        <f>(ROUNDUP((X339/100),0))*100</f>
        <v>0</v>
      </c>
      <c r="AA339" s="58"/>
      <c r="AB339" s="58"/>
      <c r="AC339" s="180"/>
      <c r="AD339" s="180"/>
      <c r="AE339" s="176"/>
      <c r="AF339" s="176"/>
      <c r="AG339" s="176"/>
      <c r="AH339" s="176"/>
      <c r="AI339" s="85"/>
    </row>
    <row r="340" spans="1:35" ht="14.45" customHeight="1" x14ac:dyDescent="0.2">
      <c r="A340" s="47">
        <v>140</v>
      </c>
      <c r="B340" s="48" t="str">
        <f>REPLACE(E340,1,3, )</f>
        <v xml:space="preserve"> 228</v>
      </c>
      <c r="C340" s="70" t="s">
        <v>341</v>
      </c>
      <c r="D340" s="49">
        <f>IF(E340=C340,0,1)</f>
        <v>0</v>
      </c>
      <c r="E340" s="50" t="s">
        <v>341</v>
      </c>
      <c r="F340" s="30" t="str">
        <f>REPLACE(E340,4,4, )</f>
        <v>SPN</v>
      </c>
      <c r="G340" s="30" t="s">
        <v>34</v>
      </c>
      <c r="H340" s="34" t="s">
        <v>342</v>
      </c>
      <c r="I340" s="30" t="s">
        <v>100</v>
      </c>
      <c r="J340" s="51"/>
      <c r="K340" s="52">
        <f>J340-M340</f>
        <v>0</v>
      </c>
      <c r="L340" s="49"/>
      <c r="M340" s="53">
        <f>J340-N340</f>
        <v>0</v>
      </c>
      <c r="N340" s="54"/>
      <c r="O340" s="55">
        <f>M340+N340</f>
        <v>0</v>
      </c>
      <c r="P340" s="47">
        <v>140</v>
      </c>
      <c r="Q340" s="41"/>
      <c r="R340" s="41"/>
      <c r="S340" s="67"/>
      <c r="T340" s="33"/>
      <c r="U340" s="57"/>
      <c r="V340" s="57">
        <f>U340+O340</f>
        <v>0</v>
      </c>
      <c r="W340" s="57">
        <f>V340/0.7</f>
        <v>0</v>
      </c>
      <c r="X340" s="58">
        <f>W340/0.875</f>
        <v>0</v>
      </c>
      <c r="Y340" s="59" t="e">
        <f>(X340-W340)/X340</f>
        <v>#DIV/0!</v>
      </c>
      <c r="Z340" s="58">
        <f>(ROUNDUP((X340/100),0))*100</f>
        <v>0</v>
      </c>
      <c r="AA340" s="58"/>
      <c r="AB340" s="58"/>
      <c r="AC340" s="180"/>
      <c r="AD340" s="180"/>
      <c r="AE340" s="176"/>
      <c r="AF340" s="176"/>
      <c r="AG340" s="176"/>
      <c r="AH340" s="176"/>
      <c r="AI340" s="85"/>
    </row>
    <row r="341" spans="1:35" s="91" customFormat="1" ht="14.45" customHeight="1" x14ac:dyDescent="0.2">
      <c r="A341" s="47">
        <v>151</v>
      </c>
      <c r="B341" s="48" t="str">
        <f>REPLACE(E341,1,3, )</f>
        <v xml:space="preserve"> 489</v>
      </c>
      <c r="C341" s="70" t="s">
        <v>358</v>
      </c>
      <c r="D341" s="49">
        <f>IF(E341=C341,0,1)</f>
        <v>0</v>
      </c>
      <c r="E341" s="48" t="s">
        <v>358</v>
      </c>
      <c r="F341" s="30" t="str">
        <f>REPLACE(E341,4,4, )</f>
        <v>SPN</v>
      </c>
      <c r="G341" s="49" t="s">
        <v>34</v>
      </c>
      <c r="H341" s="34" t="s">
        <v>342</v>
      </c>
      <c r="I341" s="33" t="s">
        <v>100</v>
      </c>
      <c r="J341" s="80"/>
      <c r="K341" s="52">
        <f>J341-M341</f>
        <v>0</v>
      </c>
      <c r="L341" s="49"/>
      <c r="M341" s="53">
        <f>J341-N341</f>
        <v>0</v>
      </c>
      <c r="N341" s="53"/>
      <c r="O341" s="55">
        <f>M341+N341</f>
        <v>0</v>
      </c>
      <c r="P341" s="47">
        <v>151</v>
      </c>
      <c r="Q341" s="41"/>
      <c r="R341" s="41"/>
      <c r="S341" s="67"/>
      <c r="T341" s="33"/>
      <c r="U341" s="57"/>
      <c r="V341" s="57">
        <f>U341+O341</f>
        <v>0</v>
      </c>
      <c r="W341" s="57">
        <f>V341/0.7</f>
        <v>0</v>
      </c>
      <c r="X341" s="58">
        <f>W341/0.875</f>
        <v>0</v>
      </c>
      <c r="Y341" s="59" t="e">
        <f>(X341-W341)/X341</f>
        <v>#DIV/0!</v>
      </c>
      <c r="Z341" s="58">
        <f>(ROUNDUP((X341/100),0))*100</f>
        <v>0</v>
      </c>
      <c r="AA341" s="58"/>
      <c r="AB341" s="58"/>
      <c r="AC341" s="180"/>
      <c r="AD341" s="180"/>
      <c r="AE341" s="176"/>
      <c r="AF341" s="176"/>
      <c r="AG341" s="176"/>
      <c r="AH341" s="176"/>
    </row>
    <row r="342" spans="1:35" s="91" customFormat="1" ht="14.45" customHeight="1" x14ac:dyDescent="0.2">
      <c r="A342" s="47">
        <v>147</v>
      </c>
      <c r="B342" s="48" t="str">
        <f>REPLACE(E342,1,3, )</f>
        <v xml:space="preserve"> 894</v>
      </c>
      <c r="C342" s="70" t="s">
        <v>353</v>
      </c>
      <c r="D342" s="49">
        <f>IF(E342=C342,0,1)</f>
        <v>0</v>
      </c>
      <c r="E342" s="49" t="s">
        <v>353</v>
      </c>
      <c r="F342" s="30" t="str">
        <f>REPLACE(E342,4,4, )</f>
        <v>SPN</v>
      </c>
      <c r="G342" s="49" t="s">
        <v>91</v>
      </c>
      <c r="H342" s="34" t="s">
        <v>342</v>
      </c>
      <c r="I342" s="33" t="s">
        <v>100</v>
      </c>
      <c r="J342" s="51">
        <v>90000</v>
      </c>
      <c r="K342" s="52">
        <f>J342-M342</f>
        <v>4300</v>
      </c>
      <c r="L342" s="49" t="s">
        <v>94</v>
      </c>
      <c r="M342" s="53">
        <f>J342-N342</f>
        <v>85700</v>
      </c>
      <c r="N342" s="53">
        <f>2000+200+600+700+800</f>
        <v>4300</v>
      </c>
      <c r="O342" s="55">
        <f>M342+N342</f>
        <v>90000</v>
      </c>
      <c r="P342" s="47">
        <v>147</v>
      </c>
      <c r="Q342" s="56">
        <v>90000</v>
      </c>
      <c r="R342" s="41">
        <f>O342-Q342</f>
        <v>0</v>
      </c>
      <c r="S342" s="67"/>
      <c r="T342" s="33"/>
      <c r="U342" s="57">
        <v>-1000</v>
      </c>
      <c r="V342" s="57">
        <f>U342+O342</f>
        <v>89000</v>
      </c>
      <c r="W342" s="57">
        <f>V342/0.7</f>
        <v>127142.85714285714</v>
      </c>
      <c r="X342" s="58">
        <f>W342/0.875</f>
        <v>145306.12244897959</v>
      </c>
      <c r="Y342" s="59">
        <f>(X342-W342)/X342</f>
        <v>0.12499999999999994</v>
      </c>
      <c r="Z342" s="58">
        <f>(ROUNDUP((X342/100),0))*100</f>
        <v>145400</v>
      </c>
      <c r="AA342" s="178" t="s">
        <v>1780</v>
      </c>
      <c r="AB342" s="224">
        <v>43442</v>
      </c>
      <c r="AC342" s="177"/>
      <c r="AD342" s="177"/>
      <c r="AE342" s="179"/>
      <c r="AF342" s="179"/>
      <c r="AG342" s="179"/>
      <c r="AH342" s="179"/>
    </row>
    <row r="343" spans="1:35" s="91" customFormat="1" ht="14.45" customHeight="1" x14ac:dyDescent="0.2">
      <c r="A343" s="47">
        <v>142</v>
      </c>
      <c r="B343" s="48" t="str">
        <f>REPLACE(E343,1,3, )</f>
        <v xml:space="preserve"> 931</v>
      </c>
      <c r="C343" s="70" t="s">
        <v>344</v>
      </c>
      <c r="D343" s="49">
        <f>IF(E343=C343,0,1)</f>
        <v>0</v>
      </c>
      <c r="E343" s="47" t="s">
        <v>344</v>
      </c>
      <c r="F343" s="30" t="str">
        <f>REPLACE(E343,4,4, )</f>
        <v>SPN</v>
      </c>
      <c r="G343" s="30" t="s">
        <v>91</v>
      </c>
      <c r="H343" s="34" t="s">
        <v>342</v>
      </c>
      <c r="I343" s="30" t="s">
        <v>100</v>
      </c>
      <c r="J343" s="51">
        <v>85000</v>
      </c>
      <c r="K343" s="52">
        <f>J343-M343</f>
        <v>4300</v>
      </c>
      <c r="L343" s="49" t="s">
        <v>94</v>
      </c>
      <c r="M343" s="53">
        <f>J343-N343</f>
        <v>80700</v>
      </c>
      <c r="N343" s="53">
        <f>2000+200+600+700+800</f>
        <v>4300</v>
      </c>
      <c r="O343" s="55">
        <f>M343+N343</f>
        <v>85000</v>
      </c>
      <c r="P343" s="47">
        <v>142</v>
      </c>
      <c r="Q343" s="56">
        <v>85000</v>
      </c>
      <c r="R343" s="41">
        <f>O343-Q343</f>
        <v>0</v>
      </c>
      <c r="S343" s="67"/>
      <c r="T343" s="33"/>
      <c r="U343" s="57">
        <v>-1000</v>
      </c>
      <c r="V343" s="57">
        <f>U343+O343</f>
        <v>84000</v>
      </c>
      <c r="W343" s="57">
        <f>V343/0.7</f>
        <v>120000.00000000001</v>
      </c>
      <c r="X343" s="58">
        <f>W343/0.875</f>
        <v>137142.85714285716</v>
      </c>
      <c r="Y343" s="59">
        <f>(X343-W343)/X343</f>
        <v>0.125</v>
      </c>
      <c r="Z343" s="58">
        <f>(ROUNDUP((X343/100),0))*100</f>
        <v>137200</v>
      </c>
      <c r="AA343" s="178" t="s">
        <v>1780</v>
      </c>
      <c r="AB343" s="224">
        <v>43442</v>
      </c>
      <c r="AC343" s="177"/>
      <c r="AD343" s="177"/>
      <c r="AE343" s="179"/>
      <c r="AF343" s="179"/>
      <c r="AG343" s="179"/>
      <c r="AH343" s="179"/>
    </row>
    <row r="344" spans="1:35" s="91" customFormat="1" ht="14.45" customHeight="1" x14ac:dyDescent="0.2">
      <c r="A344" s="47">
        <v>358</v>
      </c>
      <c r="B344" s="48" t="str">
        <f>REPLACE(E344,1,3, )</f>
        <v xml:space="preserve"> 219</v>
      </c>
      <c r="C344" s="70" t="s">
        <v>739</v>
      </c>
      <c r="D344" s="49">
        <f>IF(E344=C344,0,1)</f>
        <v>0</v>
      </c>
      <c r="E344" s="50" t="s">
        <v>739</v>
      </c>
      <c r="F344" s="30" t="str">
        <f>REPLACE(E344,4,4, )</f>
        <v>SPP</v>
      </c>
      <c r="G344" s="30" t="s">
        <v>34</v>
      </c>
      <c r="H344" s="34" t="s">
        <v>735</v>
      </c>
      <c r="I344" s="30" t="s">
        <v>736</v>
      </c>
      <c r="J344" s="51">
        <f>M344</f>
        <v>30000</v>
      </c>
      <c r="K344" s="52">
        <f>J344-M344</f>
        <v>0</v>
      </c>
      <c r="L344" s="60" t="s">
        <v>97</v>
      </c>
      <c r="M344" s="61">
        <v>30000</v>
      </c>
      <c r="N344" s="54">
        <f>2000+600+400+2000</f>
        <v>5000</v>
      </c>
      <c r="O344" s="55">
        <f>M344+N344</f>
        <v>35000</v>
      </c>
      <c r="P344" s="47">
        <v>358</v>
      </c>
      <c r="Q344" s="56">
        <v>35000</v>
      </c>
      <c r="R344" s="41">
        <f>O344-Q344</f>
        <v>0</v>
      </c>
      <c r="S344" s="67"/>
      <c r="T344" s="33" t="s">
        <v>737</v>
      </c>
      <c r="U344" s="57">
        <v>2000</v>
      </c>
      <c r="V344" s="57">
        <f>U344+O344</f>
        <v>37000</v>
      </c>
      <c r="W344" s="57">
        <f>V344/0.7</f>
        <v>52857.142857142862</v>
      </c>
      <c r="X344" s="58">
        <f>W344/0.875</f>
        <v>60408.163265306132</v>
      </c>
      <c r="Y344" s="59">
        <f>(X344-W344)/X344</f>
        <v>0.12500000000000006</v>
      </c>
      <c r="Z344" s="58">
        <f>(ROUNDUP((X344/100),0))*100</f>
        <v>60500</v>
      </c>
      <c r="AA344" s="58"/>
      <c r="AB344" s="58"/>
      <c r="AC344" s="180"/>
      <c r="AD344" s="180"/>
      <c r="AE344" s="176"/>
      <c r="AF344" s="176"/>
      <c r="AG344" s="176"/>
      <c r="AH344" s="176"/>
    </row>
    <row r="345" spans="1:35" ht="14.45" customHeight="1" x14ac:dyDescent="0.2">
      <c r="A345" s="47">
        <v>356</v>
      </c>
      <c r="B345" s="48" t="str">
        <f>REPLACE(E345,1,3, )</f>
        <v xml:space="preserve"> 372</v>
      </c>
      <c r="C345" s="70" t="s">
        <v>734</v>
      </c>
      <c r="D345" s="49">
        <f>IF(E345=C345,0,1)</f>
        <v>0</v>
      </c>
      <c r="E345" s="50" t="s">
        <v>734</v>
      </c>
      <c r="F345" s="30" t="str">
        <f>REPLACE(E345,4,4, )</f>
        <v>SPP</v>
      </c>
      <c r="G345" s="30" t="s">
        <v>34</v>
      </c>
      <c r="H345" s="34" t="s">
        <v>735</v>
      </c>
      <c r="I345" s="30" t="s">
        <v>736</v>
      </c>
      <c r="J345" s="51">
        <f>M345</f>
        <v>57000</v>
      </c>
      <c r="K345" s="52">
        <f>J345-M345</f>
        <v>0</v>
      </c>
      <c r="L345" s="60" t="s">
        <v>97</v>
      </c>
      <c r="M345" s="61">
        <v>57000</v>
      </c>
      <c r="N345" s="54">
        <f>2000+600+200+200+2000</f>
        <v>5000</v>
      </c>
      <c r="O345" s="55">
        <f>M345+N345</f>
        <v>62000</v>
      </c>
      <c r="P345" s="47">
        <v>356</v>
      </c>
      <c r="Q345" s="56">
        <v>62000</v>
      </c>
      <c r="R345" s="41">
        <f>O345-Q345</f>
        <v>0</v>
      </c>
      <c r="S345" s="67"/>
      <c r="T345" s="33" t="s">
        <v>737</v>
      </c>
      <c r="U345" s="57">
        <v>1000</v>
      </c>
      <c r="V345" s="57">
        <f>U345+O345</f>
        <v>63000</v>
      </c>
      <c r="W345" s="57">
        <f>V345/0.7</f>
        <v>90000</v>
      </c>
      <c r="X345" s="58">
        <f>W345/0.875</f>
        <v>102857.14285714286</v>
      </c>
      <c r="Y345" s="59">
        <f>(X345-W345)/X345</f>
        <v>0.12499999999999999</v>
      </c>
      <c r="Z345" s="58">
        <f>(ROUNDUP((X345/100),0))*100</f>
        <v>102900</v>
      </c>
      <c r="AA345" s="58"/>
      <c r="AB345" s="58"/>
      <c r="AC345" s="180"/>
      <c r="AD345" s="180"/>
      <c r="AE345" s="176"/>
      <c r="AF345" s="176"/>
      <c r="AG345" s="176"/>
      <c r="AH345" s="176"/>
      <c r="AI345" s="85"/>
    </row>
    <row r="346" spans="1:35" s="91" customFormat="1" ht="14.45" customHeight="1" x14ac:dyDescent="0.2">
      <c r="A346" s="47">
        <v>357</v>
      </c>
      <c r="B346" s="48" t="str">
        <f>REPLACE(E346,1,3, )</f>
        <v xml:space="preserve"> 596</v>
      </c>
      <c r="C346" s="70" t="s">
        <v>738</v>
      </c>
      <c r="D346" s="49">
        <f>IF(E346=C346,0,1)</f>
        <v>0</v>
      </c>
      <c r="E346" s="50" t="s">
        <v>738</v>
      </c>
      <c r="F346" s="30" t="str">
        <f>REPLACE(E346,4,4, )</f>
        <v>SPP</v>
      </c>
      <c r="G346" s="30" t="s">
        <v>34</v>
      </c>
      <c r="H346" s="34" t="s">
        <v>735</v>
      </c>
      <c r="I346" s="30" t="s">
        <v>736</v>
      </c>
      <c r="J346" s="51">
        <f>M346</f>
        <v>90000</v>
      </c>
      <c r="K346" s="52">
        <f>J346-M346</f>
        <v>0</v>
      </c>
      <c r="L346" s="60" t="s">
        <v>97</v>
      </c>
      <c r="M346" s="61">
        <v>90000</v>
      </c>
      <c r="N346" s="54">
        <f>2000+600+400+2000</f>
        <v>5000</v>
      </c>
      <c r="O346" s="55">
        <f>M346+N346</f>
        <v>95000</v>
      </c>
      <c r="P346" s="47">
        <v>357</v>
      </c>
      <c r="Q346" s="56">
        <v>95000</v>
      </c>
      <c r="R346" s="41">
        <f>O346-Q346</f>
        <v>0</v>
      </c>
      <c r="S346" s="67"/>
      <c r="T346" s="33" t="s">
        <v>737</v>
      </c>
      <c r="U346" s="57">
        <v>3000</v>
      </c>
      <c r="V346" s="57">
        <f>U346+O346</f>
        <v>98000</v>
      </c>
      <c r="W346" s="57">
        <f>V346/0.7</f>
        <v>140000</v>
      </c>
      <c r="X346" s="58">
        <f>W346/0.875</f>
        <v>160000</v>
      </c>
      <c r="Y346" s="59">
        <f>(X346-W346)/X346</f>
        <v>0.125</v>
      </c>
      <c r="Z346" s="58">
        <f>(ROUNDUP((X346/100),0))*100</f>
        <v>160000</v>
      </c>
      <c r="AA346" s="58"/>
      <c r="AB346" s="58"/>
      <c r="AC346" s="180"/>
      <c r="AD346" s="180"/>
      <c r="AE346" s="176"/>
      <c r="AF346" s="176"/>
      <c r="AG346" s="176"/>
      <c r="AH346" s="176"/>
    </row>
    <row r="347" spans="1:35" ht="14.45" customHeight="1" x14ac:dyDescent="0.2">
      <c r="A347" s="47">
        <v>361</v>
      </c>
      <c r="B347" s="48" t="str">
        <f>REPLACE(E347,1,3, )</f>
        <v xml:space="preserve"> 639</v>
      </c>
      <c r="C347" s="70" t="s">
        <v>744</v>
      </c>
      <c r="D347" s="49">
        <f>IF(E347=C347,0,1)</f>
        <v>0</v>
      </c>
      <c r="E347" s="50" t="s">
        <v>744</v>
      </c>
      <c r="F347" s="30" t="str">
        <f>REPLACE(E347,4,4, )</f>
        <v>SPP</v>
      </c>
      <c r="G347" s="30" t="s">
        <v>34</v>
      </c>
      <c r="H347" s="34" t="s">
        <v>741</v>
      </c>
      <c r="I347" s="30" t="s">
        <v>736</v>
      </c>
      <c r="J347" s="51">
        <f>M347</f>
        <v>36000</v>
      </c>
      <c r="K347" s="52">
        <f>J347-M347</f>
        <v>0</v>
      </c>
      <c r="L347" s="60" t="s">
        <v>97</v>
      </c>
      <c r="M347" s="61">
        <v>36000</v>
      </c>
      <c r="N347" s="54">
        <f>2000+600+2000</f>
        <v>4600</v>
      </c>
      <c r="O347" s="55">
        <f>M347+N347</f>
        <v>40600</v>
      </c>
      <c r="P347" s="47">
        <v>361</v>
      </c>
      <c r="Q347" s="56">
        <v>40600</v>
      </c>
      <c r="R347" s="41">
        <f>O347-Q347</f>
        <v>0</v>
      </c>
      <c r="S347" s="67"/>
      <c r="T347" s="33" t="s">
        <v>742</v>
      </c>
      <c r="U347" s="57"/>
      <c r="V347" s="57">
        <f>U347+O347</f>
        <v>40600</v>
      </c>
      <c r="W347" s="57">
        <f>V347/0.7</f>
        <v>58000.000000000007</v>
      </c>
      <c r="X347" s="58">
        <f>W347/0.875</f>
        <v>66285.71428571429</v>
      </c>
      <c r="Y347" s="59">
        <f>(X347-W347)/X347</f>
        <v>0.12499999999999994</v>
      </c>
      <c r="Z347" s="58">
        <f>(ROUNDUP((X347/100),0))*100</f>
        <v>66300</v>
      </c>
      <c r="AA347" s="58"/>
      <c r="AB347" s="58"/>
      <c r="AC347" s="180"/>
      <c r="AD347" s="180"/>
      <c r="AE347" s="176"/>
      <c r="AF347" s="176"/>
      <c r="AG347" s="176"/>
      <c r="AH347" s="176"/>
      <c r="AI347" s="85"/>
    </row>
    <row r="348" spans="1:35" ht="14.45" customHeight="1" x14ac:dyDescent="0.2">
      <c r="A348" s="47">
        <v>359</v>
      </c>
      <c r="B348" s="48" t="str">
        <f>REPLACE(E348,1,3, )</f>
        <v xml:space="preserve"> 867</v>
      </c>
      <c r="C348" s="70" t="s">
        <v>740</v>
      </c>
      <c r="D348" s="49">
        <f>IF(E348=C348,0,1)</f>
        <v>0</v>
      </c>
      <c r="E348" s="47" t="s">
        <v>740</v>
      </c>
      <c r="F348" s="30" t="str">
        <f>REPLACE(E348,4,4, )</f>
        <v>SPP</v>
      </c>
      <c r="G348" s="30" t="s">
        <v>91</v>
      </c>
      <c r="H348" s="34" t="s">
        <v>741</v>
      </c>
      <c r="I348" s="30" t="s">
        <v>736</v>
      </c>
      <c r="J348" s="51">
        <f>M348</f>
        <v>74000</v>
      </c>
      <c r="K348" s="52">
        <f>J348-M348</f>
        <v>0</v>
      </c>
      <c r="L348" s="60" t="s">
        <v>97</v>
      </c>
      <c r="M348" s="62">
        <v>74000</v>
      </c>
      <c r="N348" s="53">
        <f>2000+600+2000</f>
        <v>4600</v>
      </c>
      <c r="O348" s="55">
        <f>M348+N348</f>
        <v>78600</v>
      </c>
      <c r="P348" s="47">
        <v>359</v>
      </c>
      <c r="Q348" s="56">
        <v>78600</v>
      </c>
      <c r="R348" s="41">
        <f>O348-Q348</f>
        <v>0</v>
      </c>
      <c r="S348" s="67"/>
      <c r="T348" s="33" t="s">
        <v>742</v>
      </c>
      <c r="U348" s="57"/>
      <c r="V348" s="57">
        <f>U348+O348</f>
        <v>78600</v>
      </c>
      <c r="W348" s="57">
        <f>V348/0.7</f>
        <v>112285.71428571429</v>
      </c>
      <c r="X348" s="58">
        <f>W348/0.875</f>
        <v>128326.5306122449</v>
      </c>
      <c r="Y348" s="59">
        <f>(X348-W348)/X348</f>
        <v>0.12499999999999996</v>
      </c>
      <c r="Z348" s="58">
        <f>(ROUNDUP((X348/100),0))*100</f>
        <v>128400</v>
      </c>
      <c r="AA348" s="178"/>
      <c r="AB348" s="178"/>
      <c r="AC348" s="177"/>
      <c r="AD348" s="177"/>
      <c r="AE348" s="179"/>
      <c r="AF348" s="179"/>
      <c r="AG348" s="179"/>
      <c r="AH348" s="179"/>
      <c r="AI348" s="85"/>
    </row>
    <row r="349" spans="1:35" ht="14.45" customHeight="1" x14ac:dyDescent="0.2">
      <c r="A349" s="47">
        <v>360</v>
      </c>
      <c r="B349" s="48" t="str">
        <f>REPLACE(E349,1,3, )</f>
        <v xml:space="preserve"> 925</v>
      </c>
      <c r="C349" s="70" t="s">
        <v>743</v>
      </c>
      <c r="D349" s="49">
        <f>IF(E349=C349,0,1)</f>
        <v>0</v>
      </c>
      <c r="E349" s="47" t="s">
        <v>743</v>
      </c>
      <c r="F349" s="30" t="str">
        <f>REPLACE(E349,4,4, )</f>
        <v>SPP</v>
      </c>
      <c r="G349" s="30" t="s">
        <v>91</v>
      </c>
      <c r="H349" s="34" t="s">
        <v>741</v>
      </c>
      <c r="I349" s="30" t="s">
        <v>736</v>
      </c>
      <c r="J349" s="51">
        <f>M349</f>
        <v>37500</v>
      </c>
      <c r="K349" s="52">
        <f>J349-M349</f>
        <v>0</v>
      </c>
      <c r="L349" s="60" t="s">
        <v>97</v>
      </c>
      <c r="M349" s="62">
        <v>37500</v>
      </c>
      <c r="N349" s="53">
        <f>2000+600+2000</f>
        <v>4600</v>
      </c>
      <c r="O349" s="55">
        <f>M349+N349</f>
        <v>42100</v>
      </c>
      <c r="P349" s="47">
        <v>360</v>
      </c>
      <c r="Q349" s="56">
        <v>42100</v>
      </c>
      <c r="R349" s="41">
        <f>O349-Q349</f>
        <v>0</v>
      </c>
      <c r="S349" s="67"/>
      <c r="T349" s="33" t="s">
        <v>742</v>
      </c>
      <c r="U349" s="57"/>
      <c r="V349" s="57">
        <f>U349+O349</f>
        <v>42100</v>
      </c>
      <c r="W349" s="57">
        <f>V349/0.7</f>
        <v>60142.857142857145</v>
      </c>
      <c r="X349" s="58">
        <f>W349/0.875</f>
        <v>68734.693877551021</v>
      </c>
      <c r="Y349" s="59">
        <f>(X349-W349)/X349</f>
        <v>0.12499999999999997</v>
      </c>
      <c r="Z349" s="58">
        <f>(ROUNDUP((X349/100),0))*100</f>
        <v>68800</v>
      </c>
      <c r="AA349" s="178"/>
      <c r="AB349" s="178"/>
      <c r="AC349" s="177"/>
      <c r="AD349" s="177"/>
      <c r="AE349" s="179"/>
      <c r="AF349" s="179"/>
      <c r="AG349" s="179"/>
      <c r="AH349" s="179"/>
      <c r="AI349" s="85"/>
    </row>
    <row r="350" spans="1:35" ht="14.45" customHeight="1" x14ac:dyDescent="0.2">
      <c r="A350" s="47">
        <v>436</v>
      </c>
      <c r="B350" s="48" t="str">
        <f>REPLACE(E350,1,3, )</f>
        <v xml:space="preserve"> 841</v>
      </c>
      <c r="C350" s="32" t="s">
        <v>877</v>
      </c>
      <c r="D350" s="49">
        <f>IF(E350=C350,0,1)</f>
        <v>0</v>
      </c>
      <c r="E350" s="47" t="s">
        <v>877</v>
      </c>
      <c r="F350" s="30" t="str">
        <f>REPLACE(E350,4,4, )</f>
        <v>SPR</v>
      </c>
      <c r="G350" s="30" t="s">
        <v>91</v>
      </c>
      <c r="H350" s="34" t="s">
        <v>878</v>
      </c>
      <c r="I350" s="30" t="s">
        <v>879</v>
      </c>
      <c r="J350" s="51">
        <v>29500</v>
      </c>
      <c r="K350" s="52">
        <f>J350-M350</f>
        <v>4450</v>
      </c>
      <c r="L350" s="49" t="s">
        <v>94</v>
      </c>
      <c r="M350" s="53">
        <f>J350-N350</f>
        <v>25050</v>
      </c>
      <c r="N350" s="53">
        <f>2000+200+600+1650</f>
        <v>4450</v>
      </c>
      <c r="O350" s="55">
        <f>M350+N350</f>
        <v>29500</v>
      </c>
      <c r="P350" s="47">
        <v>436</v>
      </c>
      <c r="Q350" s="56">
        <v>29500</v>
      </c>
      <c r="R350" s="41">
        <f>O350-Q350</f>
        <v>0</v>
      </c>
      <c r="S350" s="67"/>
      <c r="T350" s="33" t="s">
        <v>880</v>
      </c>
      <c r="U350" s="57"/>
      <c r="V350" s="57">
        <f>U350+O350</f>
        <v>29500</v>
      </c>
      <c r="W350" s="57">
        <f>V350/0.7</f>
        <v>42142.857142857145</v>
      </c>
      <c r="X350" s="58">
        <f>W350/0.875</f>
        <v>48163.265306122448</v>
      </c>
      <c r="Y350" s="59">
        <f>(X350-W350)/X350</f>
        <v>0.12499999999999994</v>
      </c>
      <c r="Z350" s="58">
        <f>(ROUNDUP((X350/100),0))*100</f>
        <v>48200</v>
      </c>
      <c r="AA350" s="178"/>
      <c r="AB350" s="178"/>
      <c r="AC350" s="177"/>
      <c r="AD350" s="177"/>
      <c r="AE350" s="179"/>
      <c r="AF350" s="179"/>
      <c r="AG350" s="179"/>
      <c r="AH350" s="179"/>
      <c r="AI350" s="85"/>
    </row>
    <row r="351" spans="1:35" ht="14.45" customHeight="1" x14ac:dyDescent="0.2">
      <c r="A351" s="47">
        <v>257</v>
      </c>
      <c r="B351" s="48" t="str">
        <f>REPLACE(E351,1,3, )</f>
        <v xml:space="preserve"> 123</v>
      </c>
      <c r="C351" s="70" t="s">
        <v>565</v>
      </c>
      <c r="D351" s="49">
        <f>IF(E351=C351,0,1)</f>
        <v>0</v>
      </c>
      <c r="E351" s="48" t="s">
        <v>565</v>
      </c>
      <c r="F351" s="30" t="str">
        <f>REPLACE(E351,4,4, )</f>
        <v>SPT</v>
      </c>
      <c r="G351" s="33" t="s">
        <v>34</v>
      </c>
      <c r="H351" s="71" t="s">
        <v>545</v>
      </c>
      <c r="I351" s="33" t="s">
        <v>549</v>
      </c>
      <c r="J351" s="51">
        <v>27550</v>
      </c>
      <c r="K351" s="52">
        <f>J351-M351</f>
        <v>4900</v>
      </c>
      <c r="L351" s="49" t="s">
        <v>94</v>
      </c>
      <c r="M351" s="53">
        <f>J351-N351</f>
        <v>22650</v>
      </c>
      <c r="N351" s="53">
        <f>2000+300+600+2000</f>
        <v>4900</v>
      </c>
      <c r="O351" s="55">
        <f>M351+N351</f>
        <v>27550</v>
      </c>
      <c r="P351" s="47">
        <v>257</v>
      </c>
      <c r="Q351" s="56">
        <v>27550</v>
      </c>
      <c r="R351" s="41">
        <f>O351-Q351</f>
        <v>0</v>
      </c>
      <c r="S351" s="67"/>
      <c r="T351" s="33" t="s">
        <v>547</v>
      </c>
      <c r="U351" s="57">
        <v>2000</v>
      </c>
      <c r="V351" s="57">
        <f>U351+O351</f>
        <v>29550</v>
      </c>
      <c r="W351" s="57">
        <f>V351/0.7</f>
        <v>42214.285714285717</v>
      </c>
      <c r="X351" s="58">
        <f>W351/0.875</f>
        <v>48244.897959183676</v>
      </c>
      <c r="Y351" s="59">
        <f>(X351-W351)/X351</f>
        <v>0.12499999999999999</v>
      </c>
      <c r="Z351" s="58">
        <f>(ROUNDUP((X351/100),0))*100</f>
        <v>48300</v>
      </c>
      <c r="AA351" s="58"/>
      <c r="AB351" s="58"/>
      <c r="AC351" s="180"/>
      <c r="AD351" s="180"/>
      <c r="AE351" s="176"/>
      <c r="AF351" s="176"/>
      <c r="AG351" s="176"/>
      <c r="AH351" s="176"/>
      <c r="AI351" s="85"/>
    </row>
    <row r="352" spans="1:35" s="91" customFormat="1" ht="14.45" customHeight="1" x14ac:dyDescent="0.2">
      <c r="A352" s="47">
        <v>262</v>
      </c>
      <c r="B352" s="48" t="str">
        <f>REPLACE(E352,1,3, )</f>
        <v xml:space="preserve"> 242</v>
      </c>
      <c r="C352" s="70" t="s">
        <v>572</v>
      </c>
      <c r="D352" s="49">
        <f>IF(E352=C352,0,1)</f>
        <v>0</v>
      </c>
      <c r="E352" s="48" t="s">
        <v>572</v>
      </c>
      <c r="F352" s="30" t="str">
        <f>REPLACE(E352,4,4, )</f>
        <v>SPT</v>
      </c>
      <c r="G352" s="33" t="s">
        <v>34</v>
      </c>
      <c r="H352" s="71" t="s">
        <v>545</v>
      </c>
      <c r="I352" s="33" t="s">
        <v>549</v>
      </c>
      <c r="J352" s="51">
        <v>27000</v>
      </c>
      <c r="K352" s="52">
        <f>J352-M352</f>
        <v>4900</v>
      </c>
      <c r="L352" s="49" t="s">
        <v>94</v>
      </c>
      <c r="M352" s="53">
        <f>J352-N352</f>
        <v>22100</v>
      </c>
      <c r="N352" s="53">
        <f>2000+300+600+2000</f>
        <v>4900</v>
      </c>
      <c r="O352" s="55">
        <f>M352+N352</f>
        <v>27000</v>
      </c>
      <c r="P352" s="47">
        <v>262</v>
      </c>
      <c r="Q352" s="56">
        <v>27000</v>
      </c>
      <c r="R352" s="41">
        <f>O352-Q352</f>
        <v>0</v>
      </c>
      <c r="S352" s="67"/>
      <c r="T352" s="33" t="s">
        <v>547</v>
      </c>
      <c r="U352" s="57">
        <v>2500</v>
      </c>
      <c r="V352" s="57">
        <f>U352+O352</f>
        <v>29500</v>
      </c>
      <c r="W352" s="57">
        <f>V352/0.7</f>
        <v>42142.857142857145</v>
      </c>
      <c r="X352" s="58">
        <f>W352/0.875</f>
        <v>48163.265306122448</v>
      </c>
      <c r="Y352" s="59">
        <f>(X352-W352)/X352</f>
        <v>0.12499999999999994</v>
      </c>
      <c r="Z352" s="58">
        <f>(ROUNDUP((X352/100),0))*100</f>
        <v>48200</v>
      </c>
      <c r="AA352" s="58"/>
      <c r="AB352" s="58"/>
      <c r="AC352" s="180"/>
      <c r="AD352" s="180"/>
      <c r="AE352" s="176"/>
      <c r="AF352" s="176"/>
      <c r="AG352" s="176"/>
      <c r="AH352" s="176"/>
    </row>
    <row r="353" spans="1:35" s="91" customFormat="1" ht="14.45" customHeight="1" x14ac:dyDescent="0.2">
      <c r="A353" s="47">
        <v>261</v>
      </c>
      <c r="B353" s="48" t="str">
        <f>REPLACE(E353,1,3, )</f>
        <v xml:space="preserve"> 360</v>
      </c>
      <c r="C353" s="70" t="s">
        <v>570</v>
      </c>
      <c r="D353" s="49">
        <f>IF(E353=C353,0,1)</f>
        <v>0</v>
      </c>
      <c r="E353" s="47" t="s">
        <v>570</v>
      </c>
      <c r="F353" s="30" t="str">
        <f>REPLACE(E353,4,4, )</f>
        <v>SPT</v>
      </c>
      <c r="G353" s="30" t="s">
        <v>91</v>
      </c>
      <c r="H353" s="71" t="s">
        <v>545</v>
      </c>
      <c r="I353" s="30" t="s">
        <v>549</v>
      </c>
      <c r="J353" s="51">
        <v>30000</v>
      </c>
      <c r="K353" s="52">
        <f>J353-M353</f>
        <v>4800</v>
      </c>
      <c r="L353" s="49" t="s">
        <v>94</v>
      </c>
      <c r="M353" s="53">
        <f>J353-N353</f>
        <v>25200</v>
      </c>
      <c r="N353" s="53">
        <f>2000+200+600+2000</f>
        <v>4800</v>
      </c>
      <c r="O353" s="55">
        <f>M353+N353</f>
        <v>30000</v>
      </c>
      <c r="P353" s="47">
        <v>261</v>
      </c>
      <c r="Q353" s="56">
        <v>30000</v>
      </c>
      <c r="R353" s="41">
        <f>O353-Q353</f>
        <v>0</v>
      </c>
      <c r="S353" s="67"/>
      <c r="T353" s="33" t="s">
        <v>571</v>
      </c>
      <c r="U353" s="57">
        <v>3000</v>
      </c>
      <c r="V353" s="57">
        <f>U353+O353</f>
        <v>33000</v>
      </c>
      <c r="W353" s="57">
        <f>V353/0.7</f>
        <v>47142.857142857145</v>
      </c>
      <c r="X353" s="58">
        <f>W353/0.875</f>
        <v>53877.551020408166</v>
      </c>
      <c r="Y353" s="59">
        <f>(X353-W353)/X353</f>
        <v>0.125</v>
      </c>
      <c r="Z353" s="58">
        <f>(ROUNDUP((X353/100),0))*100</f>
        <v>53900</v>
      </c>
      <c r="AA353" s="178" t="s">
        <v>1780</v>
      </c>
      <c r="AB353" s="224">
        <v>43445</v>
      </c>
      <c r="AC353" s="177"/>
      <c r="AD353" s="177"/>
      <c r="AE353" s="179"/>
      <c r="AF353" s="179"/>
      <c r="AG353" s="179"/>
      <c r="AH353" s="179"/>
    </row>
    <row r="354" spans="1:35" ht="14.45" customHeight="1" x14ac:dyDescent="0.2">
      <c r="A354" s="47">
        <v>247</v>
      </c>
      <c r="B354" s="48" t="str">
        <f>REPLACE(E354,1,3, )</f>
        <v xml:space="preserve"> 397</v>
      </c>
      <c r="C354" s="70" t="s">
        <v>548</v>
      </c>
      <c r="D354" s="49">
        <f>IF(E354=C354,0,1)</f>
        <v>0</v>
      </c>
      <c r="E354" s="48" t="s">
        <v>548</v>
      </c>
      <c r="F354" s="30" t="str">
        <f>REPLACE(E354,4,4, )</f>
        <v>SPT</v>
      </c>
      <c r="G354" s="33" t="s">
        <v>34</v>
      </c>
      <c r="H354" s="71" t="s">
        <v>545</v>
      </c>
      <c r="I354" s="33" t="s">
        <v>549</v>
      </c>
      <c r="J354" s="51">
        <v>32500</v>
      </c>
      <c r="K354" s="52">
        <f>J354-M354</f>
        <v>5800</v>
      </c>
      <c r="L354" s="49" t="s">
        <v>94</v>
      </c>
      <c r="M354" s="53">
        <f>J354-N354</f>
        <v>26700</v>
      </c>
      <c r="N354" s="53">
        <f>2000+200+600+1000+2000</f>
        <v>5800</v>
      </c>
      <c r="O354" s="55">
        <f>M354+N354</f>
        <v>32500</v>
      </c>
      <c r="P354" s="47">
        <v>247</v>
      </c>
      <c r="Q354" s="56">
        <v>32500</v>
      </c>
      <c r="R354" s="41">
        <f>O354-Q354</f>
        <v>0</v>
      </c>
      <c r="S354" s="67"/>
      <c r="T354" s="33" t="s">
        <v>550</v>
      </c>
      <c r="U354" s="57">
        <v>4000</v>
      </c>
      <c r="V354" s="57">
        <f>U354+O354</f>
        <v>36500</v>
      </c>
      <c r="W354" s="57">
        <f>V354/0.7</f>
        <v>52142.857142857145</v>
      </c>
      <c r="X354" s="58">
        <f>W354/0.875</f>
        <v>59591.836734693883</v>
      </c>
      <c r="Y354" s="59">
        <f>(X354-W354)/X354</f>
        <v>0.12500000000000006</v>
      </c>
      <c r="Z354" s="58">
        <f>(ROUNDUP((X354/100),0))*100</f>
        <v>59600</v>
      </c>
      <c r="AA354" s="58"/>
      <c r="AB354" s="58"/>
      <c r="AC354" s="180"/>
      <c r="AD354" s="180"/>
      <c r="AE354" s="176"/>
      <c r="AF354" s="176"/>
      <c r="AG354" s="176"/>
      <c r="AH354" s="176"/>
      <c r="AI354" s="85"/>
    </row>
    <row r="355" spans="1:35" s="91" customFormat="1" ht="14.45" customHeight="1" x14ac:dyDescent="0.2">
      <c r="A355" s="47">
        <v>254</v>
      </c>
      <c r="B355" s="48" t="str">
        <f>REPLACE(E355,1,3, )</f>
        <v xml:space="preserve"> 580</v>
      </c>
      <c r="C355" s="70" t="s">
        <v>562</v>
      </c>
      <c r="D355" s="49">
        <f>IF(E355=C355,0,1)</f>
        <v>0</v>
      </c>
      <c r="E355" s="49" t="s">
        <v>562</v>
      </c>
      <c r="F355" s="30" t="str">
        <f>REPLACE(E355,4,4, )</f>
        <v>SPT</v>
      </c>
      <c r="G355" s="33" t="s">
        <v>91</v>
      </c>
      <c r="H355" s="71" t="s">
        <v>545</v>
      </c>
      <c r="I355" s="33" t="s">
        <v>549</v>
      </c>
      <c r="J355" s="51">
        <v>30000</v>
      </c>
      <c r="K355" s="52">
        <f>J355-M355</f>
        <v>5900</v>
      </c>
      <c r="L355" s="49" t="s">
        <v>94</v>
      </c>
      <c r="M355" s="53">
        <f>J355-N355</f>
        <v>24100</v>
      </c>
      <c r="N355" s="53">
        <f>2000+300+600+1000+2000</f>
        <v>5900</v>
      </c>
      <c r="O355" s="55">
        <f>M355+N355</f>
        <v>30000</v>
      </c>
      <c r="P355" s="47">
        <v>254</v>
      </c>
      <c r="Q355" s="56">
        <v>30000</v>
      </c>
      <c r="R355" s="41">
        <f>O355-Q355</f>
        <v>0</v>
      </c>
      <c r="S355" s="67"/>
      <c r="T355" s="33" t="s">
        <v>455</v>
      </c>
      <c r="U355" s="57">
        <v>3000</v>
      </c>
      <c r="V355" s="57">
        <f>U355+O355</f>
        <v>33000</v>
      </c>
      <c r="W355" s="57">
        <f>V355/0.7</f>
        <v>47142.857142857145</v>
      </c>
      <c r="X355" s="58">
        <f>W355/0.875</f>
        <v>53877.551020408166</v>
      </c>
      <c r="Y355" s="59">
        <f>(X355-W355)/X355</f>
        <v>0.125</v>
      </c>
      <c r="Z355" s="58">
        <f>(ROUNDUP((X355/100),0))*100</f>
        <v>53900</v>
      </c>
      <c r="AA355" s="178"/>
      <c r="AB355" s="178"/>
      <c r="AC355" s="177"/>
      <c r="AD355" s="177"/>
      <c r="AE355" s="179"/>
      <c r="AF355" s="179"/>
      <c r="AG355" s="179"/>
      <c r="AH355" s="179"/>
    </row>
    <row r="356" spans="1:35" ht="14.45" customHeight="1" x14ac:dyDescent="0.2">
      <c r="A356" s="47">
        <v>267</v>
      </c>
      <c r="B356" s="48" t="str">
        <f>REPLACE(E356,1,3, )</f>
        <v xml:space="preserve"> 699</v>
      </c>
      <c r="C356" s="70" t="s">
        <v>577</v>
      </c>
      <c r="D356" s="49">
        <f>IF(E356=C356,0,1)</f>
        <v>0</v>
      </c>
      <c r="E356" s="49" t="s">
        <v>577</v>
      </c>
      <c r="F356" s="30" t="str">
        <f>REPLACE(E356,4,4, )</f>
        <v>SPT</v>
      </c>
      <c r="G356" s="33" t="s">
        <v>91</v>
      </c>
      <c r="H356" s="71" t="s">
        <v>545</v>
      </c>
      <c r="I356" s="33" t="s">
        <v>549</v>
      </c>
      <c r="J356" s="51">
        <v>30000</v>
      </c>
      <c r="K356" s="52">
        <f>J356-M356</f>
        <v>4900</v>
      </c>
      <c r="L356" s="49" t="s">
        <v>94</v>
      </c>
      <c r="M356" s="53">
        <f>J356-N356</f>
        <v>25100</v>
      </c>
      <c r="N356" s="53">
        <f>2000+300+600+2000</f>
        <v>4900</v>
      </c>
      <c r="O356" s="55">
        <f>M356+N356</f>
        <v>30000</v>
      </c>
      <c r="P356" s="47">
        <v>267</v>
      </c>
      <c r="Q356" s="56">
        <v>30000</v>
      </c>
      <c r="R356" s="41">
        <f>O356-Q356</f>
        <v>0</v>
      </c>
      <c r="S356" s="42"/>
      <c r="T356" s="33" t="s">
        <v>547</v>
      </c>
      <c r="U356" s="57">
        <v>3000</v>
      </c>
      <c r="V356" s="57">
        <f>U356+O356</f>
        <v>33000</v>
      </c>
      <c r="W356" s="57">
        <f>V356/0.7</f>
        <v>47142.857142857145</v>
      </c>
      <c r="X356" s="58">
        <f>W356/0.875</f>
        <v>53877.551020408166</v>
      </c>
      <c r="Y356" s="59">
        <f>(X356-W356)/X356</f>
        <v>0.125</v>
      </c>
      <c r="Z356" s="58">
        <f>(ROUNDUP((X356/100),0))*100</f>
        <v>53900</v>
      </c>
      <c r="AA356" s="178"/>
      <c r="AB356" s="178"/>
      <c r="AC356" s="177"/>
      <c r="AD356" s="177"/>
      <c r="AE356" s="179"/>
      <c r="AF356" s="179"/>
      <c r="AG356" s="179"/>
      <c r="AH356" s="179"/>
      <c r="AI356" s="85"/>
    </row>
    <row r="357" spans="1:35" s="91" customFormat="1" ht="14.45" customHeight="1" x14ac:dyDescent="0.2">
      <c r="A357" s="47">
        <v>264</v>
      </c>
      <c r="B357" s="48" t="str">
        <f>REPLACE(E357,1,3, )</f>
        <v xml:space="preserve"> 764</v>
      </c>
      <c r="C357" s="70" t="s">
        <v>574</v>
      </c>
      <c r="D357" s="49">
        <f>IF(E357=C357,0,1)</f>
        <v>0</v>
      </c>
      <c r="E357" s="49" t="s">
        <v>574</v>
      </c>
      <c r="F357" s="30" t="str">
        <f>REPLACE(E357,4,4, )</f>
        <v>SPT</v>
      </c>
      <c r="G357" s="33" t="s">
        <v>91</v>
      </c>
      <c r="H357" s="71" t="s">
        <v>545</v>
      </c>
      <c r="I357" s="33" t="s">
        <v>549</v>
      </c>
      <c r="J357" s="51">
        <v>30000</v>
      </c>
      <c r="K357" s="52">
        <f>J357-M357</f>
        <v>4900</v>
      </c>
      <c r="L357" s="49" t="s">
        <v>94</v>
      </c>
      <c r="M357" s="53">
        <f>J357-N357</f>
        <v>25100</v>
      </c>
      <c r="N357" s="53">
        <f>2000+300+600+2000</f>
        <v>4900</v>
      </c>
      <c r="O357" s="55">
        <f>M357+N357</f>
        <v>30000</v>
      </c>
      <c r="P357" s="47">
        <v>264</v>
      </c>
      <c r="Q357" s="56">
        <v>30000</v>
      </c>
      <c r="R357" s="41">
        <f>O357-Q357</f>
        <v>0</v>
      </c>
      <c r="S357" s="67"/>
      <c r="T357" s="33" t="s">
        <v>547</v>
      </c>
      <c r="U357" s="57">
        <v>3000</v>
      </c>
      <c r="V357" s="57">
        <f>U357+O357</f>
        <v>33000</v>
      </c>
      <c r="W357" s="57">
        <f>V357/0.7</f>
        <v>47142.857142857145</v>
      </c>
      <c r="X357" s="58">
        <f>W357/0.875</f>
        <v>53877.551020408166</v>
      </c>
      <c r="Y357" s="59">
        <f>(X357-W357)/X357</f>
        <v>0.125</v>
      </c>
      <c r="Z357" s="58">
        <f>(ROUNDUP((X357/100),0))*100</f>
        <v>53900</v>
      </c>
      <c r="AA357" s="178" t="s">
        <v>1780</v>
      </c>
      <c r="AB357" s="224">
        <v>43445</v>
      </c>
      <c r="AC357" s="177"/>
      <c r="AD357" s="177"/>
      <c r="AE357" s="179"/>
      <c r="AF357" s="179"/>
      <c r="AG357" s="179"/>
      <c r="AH357" s="179"/>
    </row>
    <row r="358" spans="1:35" s="91" customFormat="1" ht="14.45" customHeight="1" x14ac:dyDescent="0.2">
      <c r="A358" s="47">
        <v>268</v>
      </c>
      <c r="B358" s="48" t="str">
        <f>REPLACE(E358,1,3, )</f>
        <v xml:space="preserve"> 770</v>
      </c>
      <c r="C358" s="70" t="s">
        <v>578</v>
      </c>
      <c r="D358" s="49">
        <f>IF(E358=C358,0,1)</f>
        <v>0</v>
      </c>
      <c r="E358" s="49" t="s">
        <v>578</v>
      </c>
      <c r="F358" s="30" t="str">
        <f>REPLACE(E358,4,4, )</f>
        <v>SPT</v>
      </c>
      <c r="G358" s="33" t="s">
        <v>91</v>
      </c>
      <c r="H358" s="71" t="s">
        <v>545</v>
      </c>
      <c r="I358" s="33" t="s">
        <v>549</v>
      </c>
      <c r="J358" s="51">
        <v>30000</v>
      </c>
      <c r="K358" s="52">
        <f>J358-M358</f>
        <v>4900</v>
      </c>
      <c r="L358" s="49" t="s">
        <v>94</v>
      </c>
      <c r="M358" s="53">
        <f>J358-N358</f>
        <v>25100</v>
      </c>
      <c r="N358" s="53">
        <f>2000+300+600+2000</f>
        <v>4900</v>
      </c>
      <c r="O358" s="55">
        <f>M358+N358</f>
        <v>30000</v>
      </c>
      <c r="P358" s="47">
        <v>268</v>
      </c>
      <c r="Q358" s="56">
        <v>30000</v>
      </c>
      <c r="R358" s="41">
        <f>O358-Q358</f>
        <v>0</v>
      </c>
      <c r="S358" s="67"/>
      <c r="T358" s="33" t="s">
        <v>547</v>
      </c>
      <c r="U358" s="57">
        <v>3000</v>
      </c>
      <c r="V358" s="57">
        <f>U358+O358</f>
        <v>33000</v>
      </c>
      <c r="W358" s="57">
        <f>V358/0.7</f>
        <v>47142.857142857145</v>
      </c>
      <c r="X358" s="58">
        <f>W358/0.875</f>
        <v>53877.551020408166</v>
      </c>
      <c r="Y358" s="59">
        <f>(X358-W358)/X358</f>
        <v>0.125</v>
      </c>
      <c r="Z358" s="58">
        <f>(ROUNDUP((X358/100),0))*100</f>
        <v>53900</v>
      </c>
      <c r="AA358" s="178" t="s">
        <v>1780</v>
      </c>
      <c r="AB358" s="224">
        <v>43445</v>
      </c>
      <c r="AC358" s="177"/>
      <c r="AD358" s="177"/>
      <c r="AE358" s="179"/>
      <c r="AF358" s="179"/>
      <c r="AG358" s="179"/>
      <c r="AH358" s="179"/>
    </row>
    <row r="359" spans="1:35" s="91" customFormat="1" ht="14.45" customHeight="1" x14ac:dyDescent="0.2">
      <c r="A359" s="47">
        <v>256</v>
      </c>
      <c r="B359" s="48" t="str">
        <f>REPLACE(E359,1,3, )</f>
        <v xml:space="preserve"> 805</v>
      </c>
      <c r="C359" s="70" t="s">
        <v>564</v>
      </c>
      <c r="D359" s="49">
        <f>IF(E359=C359,0,1)</f>
        <v>0</v>
      </c>
      <c r="E359" s="48" t="s">
        <v>564</v>
      </c>
      <c r="F359" s="30" t="str">
        <f>REPLACE(E359,4,4, )</f>
        <v>SPT</v>
      </c>
      <c r="G359" s="33" t="s">
        <v>34</v>
      </c>
      <c r="H359" s="71" t="s">
        <v>545</v>
      </c>
      <c r="I359" s="33" t="s">
        <v>549</v>
      </c>
      <c r="J359" s="51">
        <v>32000</v>
      </c>
      <c r="K359" s="52">
        <f>J359-M359</f>
        <v>5900</v>
      </c>
      <c r="L359" s="49" t="s">
        <v>94</v>
      </c>
      <c r="M359" s="53">
        <f>J359-N359</f>
        <v>26100</v>
      </c>
      <c r="N359" s="53">
        <f>2000+300+600+1000+2000</f>
        <v>5900</v>
      </c>
      <c r="O359" s="55">
        <f>M359+N359</f>
        <v>32000</v>
      </c>
      <c r="P359" s="47">
        <v>256</v>
      </c>
      <c r="Q359" s="56">
        <v>32000</v>
      </c>
      <c r="R359" s="41">
        <f>O359-Q359</f>
        <v>0</v>
      </c>
      <c r="S359" s="67"/>
      <c r="T359" s="33" t="s">
        <v>455</v>
      </c>
      <c r="U359" s="57">
        <v>4000</v>
      </c>
      <c r="V359" s="57">
        <f>U359+O359</f>
        <v>36000</v>
      </c>
      <c r="W359" s="57">
        <f>V359/0.7</f>
        <v>51428.571428571435</v>
      </c>
      <c r="X359" s="58">
        <f>W359/0.875</f>
        <v>58775.510204081642</v>
      </c>
      <c r="Y359" s="59">
        <f>(X359-W359)/X359</f>
        <v>0.12500000000000003</v>
      </c>
      <c r="Z359" s="58">
        <f>(ROUNDUP((X359/100),0))*100</f>
        <v>58800</v>
      </c>
      <c r="AA359" s="58"/>
      <c r="AB359" s="58"/>
      <c r="AC359" s="180"/>
      <c r="AD359" s="180"/>
      <c r="AE359" s="176"/>
      <c r="AF359" s="176"/>
      <c r="AG359" s="176"/>
      <c r="AH359" s="176"/>
    </row>
    <row r="360" spans="1:35" s="91" customFormat="1" ht="14.45" customHeight="1" x14ac:dyDescent="0.2">
      <c r="A360" s="47">
        <v>263</v>
      </c>
      <c r="B360" s="48" t="str">
        <f>REPLACE(E360,1,3, )</f>
        <v xml:space="preserve"> 993</v>
      </c>
      <c r="C360" s="70" t="s">
        <v>573</v>
      </c>
      <c r="D360" s="49">
        <f>IF(E360=C360,0,1)</f>
        <v>0</v>
      </c>
      <c r="E360" s="48" t="s">
        <v>573</v>
      </c>
      <c r="F360" s="30" t="str">
        <f>REPLACE(E360,4,4, )</f>
        <v>SPT</v>
      </c>
      <c r="G360" s="33" t="s">
        <v>34</v>
      </c>
      <c r="H360" s="71" t="s">
        <v>545</v>
      </c>
      <c r="I360" s="33" t="s">
        <v>549</v>
      </c>
      <c r="J360" s="51">
        <v>27000</v>
      </c>
      <c r="K360" s="52">
        <f>J360-M360</f>
        <v>4900</v>
      </c>
      <c r="L360" s="49" t="s">
        <v>94</v>
      </c>
      <c r="M360" s="53">
        <f>J360-N360</f>
        <v>22100</v>
      </c>
      <c r="N360" s="53">
        <f>2000+300+600+2000</f>
        <v>4900</v>
      </c>
      <c r="O360" s="55">
        <f>M360+N360</f>
        <v>27000</v>
      </c>
      <c r="P360" s="47">
        <v>263</v>
      </c>
      <c r="Q360" s="56">
        <v>27000</v>
      </c>
      <c r="R360" s="41">
        <f>O360-Q360</f>
        <v>0</v>
      </c>
      <c r="S360" s="67"/>
      <c r="T360" s="33" t="s">
        <v>547</v>
      </c>
      <c r="U360" s="57">
        <v>2500</v>
      </c>
      <c r="V360" s="57">
        <f>U360+O360</f>
        <v>29500</v>
      </c>
      <c r="W360" s="57">
        <f>V360/0.7</f>
        <v>42142.857142857145</v>
      </c>
      <c r="X360" s="58">
        <f>W360/0.875</f>
        <v>48163.265306122448</v>
      </c>
      <c r="Y360" s="59">
        <f>(X360-W360)/X360</f>
        <v>0.12499999999999994</v>
      </c>
      <c r="Z360" s="58">
        <f>(ROUNDUP((X360/100),0))*100</f>
        <v>48200</v>
      </c>
      <c r="AA360" s="58"/>
      <c r="AB360" s="58"/>
      <c r="AC360" s="180"/>
      <c r="AD360" s="180"/>
      <c r="AE360" s="176"/>
      <c r="AF360" s="176"/>
      <c r="AG360" s="176"/>
      <c r="AH360" s="176"/>
    </row>
    <row r="361" spans="1:35" s="91" customFormat="1" ht="14.45" customHeight="1" x14ac:dyDescent="0.2">
      <c r="A361" s="47">
        <v>452</v>
      </c>
      <c r="B361" s="48" t="str">
        <f>REPLACE(E361,1,3, )</f>
        <v xml:space="preserve"> 200</v>
      </c>
      <c r="C361" s="32" t="s">
        <v>906</v>
      </c>
      <c r="D361" s="49">
        <f>IF(E361=C361,0,1)</f>
        <v>0</v>
      </c>
      <c r="E361" s="50" t="s">
        <v>906</v>
      </c>
      <c r="F361" s="30" t="str">
        <f>REPLACE(E361,4,4, )</f>
        <v>SPU</v>
      </c>
      <c r="G361" s="30" t="s">
        <v>34</v>
      </c>
      <c r="H361" s="34" t="s">
        <v>878</v>
      </c>
      <c r="I361" s="30" t="s">
        <v>907</v>
      </c>
      <c r="J361" s="74">
        <v>28000</v>
      </c>
      <c r="K361" s="74">
        <f>J361-M361</f>
        <v>4600</v>
      </c>
      <c r="L361" s="64" t="s">
        <v>106</v>
      </c>
      <c r="M361" s="74">
        <f>J361-N361</f>
        <v>23400</v>
      </c>
      <c r="N361" s="74">
        <f>2000+1600+800+200</f>
        <v>4600</v>
      </c>
      <c r="O361" s="75">
        <f>M361+N361</f>
        <v>28000</v>
      </c>
      <c r="P361" s="47">
        <v>452</v>
      </c>
      <c r="Q361" s="76">
        <v>28000</v>
      </c>
      <c r="R361" s="41">
        <f>O361-Q361</f>
        <v>0</v>
      </c>
      <c r="S361" s="42" t="s">
        <v>88</v>
      </c>
      <c r="T361" s="47" t="s">
        <v>897</v>
      </c>
      <c r="U361" s="57">
        <v>7000</v>
      </c>
      <c r="V361" s="57">
        <f>U361+O361</f>
        <v>35000</v>
      </c>
      <c r="W361" s="57">
        <f>V361/0.7</f>
        <v>50000</v>
      </c>
      <c r="X361" s="58">
        <f>W361/0.875</f>
        <v>57142.857142857145</v>
      </c>
      <c r="Y361" s="59">
        <f>(X361-W361)/X361</f>
        <v>0.12500000000000003</v>
      </c>
      <c r="Z361" s="58">
        <f>(ROUNDUP((X361/100),0))*100</f>
        <v>57200</v>
      </c>
      <c r="AA361" s="58"/>
      <c r="AB361" s="58"/>
      <c r="AC361" s="180"/>
      <c r="AD361" s="180"/>
      <c r="AE361" s="176"/>
      <c r="AF361" s="176"/>
      <c r="AG361" s="176"/>
      <c r="AH361" s="176"/>
    </row>
    <row r="362" spans="1:35" ht="14.45" customHeight="1" x14ac:dyDescent="0.2">
      <c r="A362" s="47">
        <v>502</v>
      </c>
      <c r="B362" s="48" t="str">
        <f>REPLACE(E362,1,3, )</f>
        <v xml:space="preserve"> 119</v>
      </c>
      <c r="C362" s="32" t="s">
        <v>996</v>
      </c>
      <c r="D362" s="49">
        <f>IF(E362=C362,0,1)</f>
        <v>0</v>
      </c>
      <c r="E362" s="48" t="s">
        <v>996</v>
      </c>
      <c r="F362" s="30" t="str">
        <f>REPLACE(E362,4,4, )</f>
        <v>SPV</v>
      </c>
      <c r="G362" s="33" t="s">
        <v>34</v>
      </c>
      <c r="H362" s="71" t="s">
        <v>997</v>
      </c>
      <c r="I362" s="33" t="s">
        <v>998</v>
      </c>
      <c r="J362" s="51">
        <f>M362</f>
        <v>37500</v>
      </c>
      <c r="K362" s="52">
        <f>J362-M362</f>
        <v>0</v>
      </c>
      <c r="L362" s="60" t="s">
        <v>97</v>
      </c>
      <c r="M362" s="61">
        <v>37500</v>
      </c>
      <c r="N362" s="54">
        <f>2000+200+600</f>
        <v>2800</v>
      </c>
      <c r="O362" s="55">
        <f>M362+N362</f>
        <v>40300</v>
      </c>
      <c r="P362" s="47">
        <v>502</v>
      </c>
      <c r="Q362" s="56">
        <v>40300</v>
      </c>
      <c r="R362" s="41">
        <f>O362-Q362</f>
        <v>0</v>
      </c>
      <c r="S362" s="67"/>
      <c r="T362" s="33" t="s">
        <v>239</v>
      </c>
      <c r="U362" s="57">
        <v>1000</v>
      </c>
      <c r="V362" s="57">
        <f>U362+O362</f>
        <v>41300</v>
      </c>
      <c r="W362" s="57">
        <f>V362/0.7</f>
        <v>59000.000000000007</v>
      </c>
      <c r="X362" s="58">
        <f>W362/0.875</f>
        <v>67428.571428571435</v>
      </c>
      <c r="Y362" s="59">
        <f>(X362-W362)/X362</f>
        <v>0.12499999999999997</v>
      </c>
      <c r="Z362" s="58">
        <f>(ROUNDUP((X362/100),0))*100</f>
        <v>67500</v>
      </c>
      <c r="AA362" s="58"/>
      <c r="AB362" s="58"/>
      <c r="AC362" s="180"/>
      <c r="AD362" s="180"/>
      <c r="AE362" s="176"/>
      <c r="AF362" s="176"/>
      <c r="AG362" s="176"/>
      <c r="AH362" s="176"/>
      <c r="AI362" s="85"/>
    </row>
    <row r="363" spans="1:35" ht="14.45" customHeight="1" x14ac:dyDescent="0.2">
      <c r="A363" s="47">
        <v>504</v>
      </c>
      <c r="B363" s="48" t="str">
        <f>REPLACE(E363,1,3, )</f>
        <v xml:space="preserve"> 215</v>
      </c>
      <c r="C363" s="32" t="s">
        <v>1000</v>
      </c>
      <c r="D363" s="49">
        <f>IF(E363=C363,0,1)</f>
        <v>0</v>
      </c>
      <c r="E363" s="48" t="s">
        <v>1000</v>
      </c>
      <c r="F363" s="30" t="str">
        <f>REPLACE(E363,4,4, )</f>
        <v>SPV</v>
      </c>
      <c r="G363" s="33" t="s">
        <v>34</v>
      </c>
      <c r="H363" s="71" t="s">
        <v>997</v>
      </c>
      <c r="I363" s="33" t="s">
        <v>998</v>
      </c>
      <c r="J363" s="51">
        <f>M363</f>
        <v>39000</v>
      </c>
      <c r="K363" s="52">
        <f>J363-M363</f>
        <v>0</v>
      </c>
      <c r="L363" s="60" t="s">
        <v>97</v>
      </c>
      <c r="M363" s="61">
        <v>39000</v>
      </c>
      <c r="N363" s="54">
        <f>2000+200+600</f>
        <v>2800</v>
      </c>
      <c r="O363" s="55">
        <f>M363+N363</f>
        <v>41800</v>
      </c>
      <c r="P363" s="47">
        <v>504</v>
      </c>
      <c r="Q363" s="56">
        <v>41800</v>
      </c>
      <c r="R363" s="41">
        <f>O363-Q363</f>
        <v>0</v>
      </c>
      <c r="S363" s="67"/>
      <c r="T363" s="33" t="s">
        <v>239</v>
      </c>
      <c r="U363" s="57"/>
      <c r="V363" s="57">
        <f>U363+O363</f>
        <v>41800</v>
      </c>
      <c r="W363" s="57">
        <f>V363/0.7</f>
        <v>59714.285714285717</v>
      </c>
      <c r="X363" s="58">
        <f>W363/0.875</f>
        <v>68244.897959183683</v>
      </c>
      <c r="Y363" s="59">
        <f>(X363-W363)/X363</f>
        <v>0.12500000000000008</v>
      </c>
      <c r="Z363" s="58">
        <f>(ROUNDUP((X363/100),0))*100</f>
        <v>68300</v>
      </c>
      <c r="AA363" s="58"/>
      <c r="AB363" s="58"/>
      <c r="AC363" s="180"/>
      <c r="AD363" s="180"/>
      <c r="AE363" s="176"/>
      <c r="AF363" s="176"/>
      <c r="AG363" s="176"/>
      <c r="AH363" s="176"/>
      <c r="AI363" s="85"/>
    </row>
    <row r="364" spans="1:35" s="91" customFormat="1" ht="14.45" customHeight="1" x14ac:dyDescent="0.2">
      <c r="A364" s="47">
        <v>505</v>
      </c>
      <c r="B364" s="48" t="str">
        <f>REPLACE(E364,1,3, )</f>
        <v xml:space="preserve"> 243</v>
      </c>
      <c r="C364" s="32" t="s">
        <v>1001</v>
      </c>
      <c r="D364" s="49">
        <f>IF(E364=C364,0,1)</f>
        <v>0</v>
      </c>
      <c r="E364" s="48" t="s">
        <v>1001</v>
      </c>
      <c r="F364" s="30" t="str">
        <f>REPLACE(E364,4,4, )</f>
        <v>SPV</v>
      </c>
      <c r="G364" s="33" t="s">
        <v>34</v>
      </c>
      <c r="H364" s="71" t="s">
        <v>997</v>
      </c>
      <c r="I364" s="33" t="s">
        <v>998</v>
      </c>
      <c r="J364" s="51">
        <f>M364</f>
        <v>37500</v>
      </c>
      <c r="K364" s="52">
        <f>J364-M364</f>
        <v>0</v>
      </c>
      <c r="L364" s="60" t="s">
        <v>97</v>
      </c>
      <c r="M364" s="61">
        <v>37500</v>
      </c>
      <c r="N364" s="54">
        <f>2000+200+600</f>
        <v>2800</v>
      </c>
      <c r="O364" s="55">
        <f>M364+N364</f>
        <v>40300</v>
      </c>
      <c r="P364" s="47">
        <v>505</v>
      </c>
      <c r="Q364" s="56">
        <v>40300</v>
      </c>
      <c r="R364" s="41">
        <f>O364-Q364</f>
        <v>0</v>
      </c>
      <c r="S364" s="67"/>
      <c r="T364" s="33" t="s">
        <v>239</v>
      </c>
      <c r="U364" s="57">
        <v>1000</v>
      </c>
      <c r="V364" s="57">
        <f>U364+O364</f>
        <v>41300</v>
      </c>
      <c r="W364" s="57">
        <f>V364/0.7</f>
        <v>59000.000000000007</v>
      </c>
      <c r="X364" s="58">
        <f>W364/0.875</f>
        <v>67428.571428571435</v>
      </c>
      <c r="Y364" s="59">
        <f>(X364-W364)/X364</f>
        <v>0.12499999999999997</v>
      </c>
      <c r="Z364" s="58">
        <f>(ROUNDUP((X364/100),0))*100</f>
        <v>67500</v>
      </c>
      <c r="AA364" s="58"/>
      <c r="AB364" s="58"/>
      <c r="AC364" s="180"/>
      <c r="AD364" s="180"/>
      <c r="AE364" s="176"/>
      <c r="AF364" s="176"/>
      <c r="AG364" s="176"/>
      <c r="AH364" s="176"/>
    </row>
    <row r="365" spans="1:35" ht="14.45" customHeight="1" x14ac:dyDescent="0.2">
      <c r="A365" s="47">
        <v>506</v>
      </c>
      <c r="B365" s="48" t="str">
        <f>REPLACE(E365,1,3, )</f>
        <v xml:space="preserve"> 262</v>
      </c>
      <c r="C365" s="32" t="s">
        <v>1002</v>
      </c>
      <c r="D365" s="49">
        <f>IF(E365=C365,0,1)</f>
        <v>0</v>
      </c>
      <c r="E365" s="32" t="s">
        <v>1002</v>
      </c>
      <c r="F365" s="30" t="str">
        <f>REPLACE(E365,4,4, )</f>
        <v>SPV</v>
      </c>
      <c r="G365" s="33" t="s">
        <v>34</v>
      </c>
      <c r="H365" s="71" t="s">
        <v>997</v>
      </c>
      <c r="I365" s="33" t="s">
        <v>998</v>
      </c>
      <c r="J365" s="51">
        <f>M365</f>
        <v>42500</v>
      </c>
      <c r="K365" s="52">
        <f>J365-M365</f>
        <v>0</v>
      </c>
      <c r="L365" s="60" t="s">
        <v>97</v>
      </c>
      <c r="M365" s="61">
        <v>42500</v>
      </c>
      <c r="N365" s="54">
        <f>2000+200+600</f>
        <v>2800</v>
      </c>
      <c r="O365" s="55">
        <f>M365+N365</f>
        <v>45300</v>
      </c>
      <c r="P365" s="47">
        <v>506</v>
      </c>
      <c r="Q365" s="56">
        <v>45300</v>
      </c>
      <c r="R365" s="41">
        <f>O365-Q365</f>
        <v>0</v>
      </c>
      <c r="S365" s="67"/>
      <c r="T365" s="33" t="s">
        <v>239</v>
      </c>
      <c r="U365" s="57">
        <v>-1000</v>
      </c>
      <c r="V365" s="57">
        <f>U365+O365</f>
        <v>44300</v>
      </c>
      <c r="W365" s="57">
        <f>V365/0.7</f>
        <v>63285.71428571429</v>
      </c>
      <c r="X365" s="58">
        <f>W365/0.875</f>
        <v>72326.530612244896</v>
      </c>
      <c r="Y365" s="59">
        <f>(X365-W365)/X365</f>
        <v>0.12499999999999993</v>
      </c>
      <c r="Z365" s="58">
        <f>(ROUNDUP((X365/100),0))*100</f>
        <v>72400</v>
      </c>
      <c r="AA365" s="58"/>
      <c r="AB365" s="58"/>
      <c r="AC365" s="180"/>
      <c r="AD365" s="180"/>
      <c r="AE365" s="176"/>
      <c r="AF365" s="176"/>
      <c r="AG365" s="176"/>
      <c r="AH365" s="176"/>
      <c r="AI365" s="85"/>
    </row>
    <row r="366" spans="1:35" ht="14.45" customHeight="1" x14ac:dyDescent="0.2">
      <c r="A366" s="47">
        <v>503</v>
      </c>
      <c r="B366" s="48" t="str">
        <f>REPLACE(E366,1,3, )</f>
        <v xml:space="preserve"> 311</v>
      </c>
      <c r="C366" s="32" t="s">
        <v>999</v>
      </c>
      <c r="D366" s="49">
        <f>IF(E366=C366,0,1)</f>
        <v>0</v>
      </c>
      <c r="E366" s="48" t="s">
        <v>999</v>
      </c>
      <c r="F366" s="30" t="str">
        <f>REPLACE(E366,4,4, )</f>
        <v>SPV</v>
      </c>
      <c r="G366" s="33" t="s">
        <v>34</v>
      </c>
      <c r="H366" s="71" t="s">
        <v>997</v>
      </c>
      <c r="I366" s="33" t="s">
        <v>998</v>
      </c>
      <c r="J366" s="51">
        <f>M366</f>
        <v>42500</v>
      </c>
      <c r="K366" s="52">
        <f>J366-M366</f>
        <v>0</v>
      </c>
      <c r="L366" s="60" t="s">
        <v>97</v>
      </c>
      <c r="M366" s="61">
        <v>42500</v>
      </c>
      <c r="N366" s="54">
        <f>2000+200+600</f>
        <v>2800</v>
      </c>
      <c r="O366" s="55">
        <f>M366+N366</f>
        <v>45300</v>
      </c>
      <c r="P366" s="47">
        <v>503</v>
      </c>
      <c r="Q366" s="56">
        <v>45300</v>
      </c>
      <c r="R366" s="41">
        <f>O366-Q366</f>
        <v>0</v>
      </c>
      <c r="S366" s="67"/>
      <c r="T366" s="33" t="s">
        <v>239</v>
      </c>
      <c r="U366" s="57">
        <v>-1000</v>
      </c>
      <c r="V366" s="57">
        <f>U366+O366</f>
        <v>44300</v>
      </c>
      <c r="W366" s="57">
        <f>V366/0.7</f>
        <v>63285.71428571429</v>
      </c>
      <c r="X366" s="58">
        <f>W366/0.875</f>
        <v>72326.530612244896</v>
      </c>
      <c r="Y366" s="59">
        <f>(X366-W366)/X366</f>
        <v>0.12499999999999993</v>
      </c>
      <c r="Z366" s="58">
        <f>(ROUNDUP((X366/100),0))*100</f>
        <v>72400</v>
      </c>
      <c r="AA366" s="58"/>
      <c r="AB366" s="58"/>
      <c r="AC366" s="180"/>
      <c r="AD366" s="180"/>
      <c r="AE366" s="176"/>
      <c r="AF366" s="176"/>
      <c r="AG366" s="176"/>
      <c r="AH366" s="176"/>
      <c r="AI366" s="85"/>
    </row>
    <row r="367" spans="1:35" ht="14.45" customHeight="1" x14ac:dyDescent="0.2">
      <c r="A367" s="47">
        <v>507</v>
      </c>
      <c r="B367" s="48" t="str">
        <f>REPLACE(E367,1,3, )</f>
        <v xml:space="preserve"> 491</v>
      </c>
      <c r="C367" s="32" t="s">
        <v>1003</v>
      </c>
      <c r="D367" s="49">
        <f>IF(E367=C367,0,1)</f>
        <v>0</v>
      </c>
      <c r="E367" s="48" t="s">
        <v>1003</v>
      </c>
      <c r="F367" s="30" t="str">
        <f>REPLACE(E367,4,4, )</f>
        <v>SPV</v>
      </c>
      <c r="G367" s="33" t="s">
        <v>34</v>
      </c>
      <c r="H367" s="71" t="s">
        <v>997</v>
      </c>
      <c r="I367" s="33" t="s">
        <v>998</v>
      </c>
      <c r="J367" s="51">
        <f>M367</f>
        <v>39000</v>
      </c>
      <c r="K367" s="52">
        <f>J367-M367</f>
        <v>0</v>
      </c>
      <c r="L367" s="60" t="s">
        <v>97</v>
      </c>
      <c r="M367" s="61">
        <v>39000</v>
      </c>
      <c r="N367" s="54">
        <f>2000+200+600</f>
        <v>2800</v>
      </c>
      <c r="O367" s="55">
        <f>M367+N367</f>
        <v>41800</v>
      </c>
      <c r="P367" s="47">
        <v>507</v>
      </c>
      <c r="Q367" s="56">
        <v>41800</v>
      </c>
      <c r="R367" s="41">
        <f>O367-Q367</f>
        <v>0</v>
      </c>
      <c r="S367" s="67"/>
      <c r="T367" s="33" t="s">
        <v>239</v>
      </c>
      <c r="U367" s="57"/>
      <c r="V367" s="57">
        <f>U367+O367</f>
        <v>41800</v>
      </c>
      <c r="W367" s="57">
        <f>V367/0.7</f>
        <v>59714.285714285717</v>
      </c>
      <c r="X367" s="58">
        <f>W367/0.875</f>
        <v>68244.897959183683</v>
      </c>
      <c r="Y367" s="59">
        <f>(X367-W367)/X367</f>
        <v>0.12500000000000008</v>
      </c>
      <c r="Z367" s="58">
        <f>(ROUNDUP((X367/100),0))*100</f>
        <v>68300</v>
      </c>
      <c r="AA367" s="58"/>
      <c r="AB367" s="58"/>
      <c r="AC367" s="180"/>
      <c r="AD367" s="180"/>
      <c r="AE367" s="176"/>
      <c r="AF367" s="176"/>
      <c r="AG367" s="176"/>
      <c r="AH367" s="176"/>
      <c r="AI367" s="85"/>
    </row>
    <row r="368" spans="1:35" s="91" customFormat="1" ht="14.45" customHeight="1" x14ac:dyDescent="0.2">
      <c r="A368" s="47">
        <v>292</v>
      </c>
      <c r="B368" s="48" t="str">
        <f>REPLACE(E368,1,3, )</f>
        <v xml:space="preserve"> 503</v>
      </c>
      <c r="C368" s="70" t="s">
        <v>619</v>
      </c>
      <c r="D368" s="49">
        <f>IF(E368=C368,0,1)</f>
        <v>0</v>
      </c>
      <c r="E368" s="50" t="s">
        <v>619</v>
      </c>
      <c r="F368" s="30" t="str">
        <f>REPLACE(E368,4,4, )</f>
        <v>SPX</v>
      </c>
      <c r="G368" s="30" t="s">
        <v>34</v>
      </c>
      <c r="H368" s="71" t="s">
        <v>612</v>
      </c>
      <c r="I368" s="30" t="s">
        <v>100</v>
      </c>
      <c r="J368" s="51"/>
      <c r="K368" s="52">
        <f>J368-M368</f>
        <v>0</v>
      </c>
      <c r="L368" s="49"/>
      <c r="M368" s="53">
        <f>J368-N368</f>
        <v>0</v>
      </c>
      <c r="N368" s="54"/>
      <c r="O368" s="55">
        <f>M368+N368</f>
        <v>0</v>
      </c>
      <c r="P368" s="47">
        <v>292</v>
      </c>
      <c r="Q368" s="41"/>
      <c r="R368" s="41"/>
      <c r="S368" s="67"/>
      <c r="T368" s="33"/>
      <c r="U368" s="57"/>
      <c r="V368" s="57">
        <f>U368+O368</f>
        <v>0</v>
      </c>
      <c r="W368" s="57">
        <f>V368/0.7</f>
        <v>0</v>
      </c>
      <c r="X368" s="58">
        <f>W368/0.875</f>
        <v>0</v>
      </c>
      <c r="Y368" s="59" t="e">
        <f>(X368-W368)/X368</f>
        <v>#DIV/0!</v>
      </c>
      <c r="Z368" s="58">
        <f>(ROUNDUP((X368/100),0))*100</f>
        <v>0</v>
      </c>
      <c r="AA368" s="58"/>
      <c r="AB368" s="58"/>
      <c r="AC368" s="180"/>
      <c r="AD368" s="180"/>
      <c r="AE368" s="176"/>
      <c r="AF368" s="176"/>
      <c r="AG368" s="176"/>
      <c r="AH368" s="176"/>
    </row>
    <row r="369" spans="1:35" s="91" customFormat="1" ht="14.45" customHeight="1" x14ac:dyDescent="0.2">
      <c r="A369" s="47">
        <v>364</v>
      </c>
      <c r="B369" s="48" t="str">
        <f>REPLACE(E369,1,3, )</f>
        <v xml:space="preserve"> 232</v>
      </c>
      <c r="C369" s="70" t="s">
        <v>751</v>
      </c>
      <c r="D369" s="49">
        <f>IF(E369=C369,0,1)</f>
        <v>0</v>
      </c>
      <c r="E369" s="47" t="s">
        <v>751</v>
      </c>
      <c r="F369" s="30" t="str">
        <f>REPLACE(E369,4,4, )</f>
        <v>SRA</v>
      </c>
      <c r="G369" s="30" t="s">
        <v>91</v>
      </c>
      <c r="H369" s="34" t="s">
        <v>746</v>
      </c>
      <c r="I369" s="30" t="s">
        <v>752</v>
      </c>
      <c r="J369" s="51"/>
      <c r="K369" s="52">
        <f>J369-M369</f>
        <v>0</v>
      </c>
      <c r="L369" s="49"/>
      <c r="M369" s="53">
        <f>J369-N369</f>
        <v>0</v>
      </c>
      <c r="N369" s="53"/>
      <c r="O369" s="55">
        <f>M369+N369</f>
        <v>0</v>
      </c>
      <c r="P369" s="47">
        <v>364</v>
      </c>
      <c r="Q369" s="41"/>
      <c r="R369" s="41"/>
      <c r="S369" s="67"/>
      <c r="T369" s="33"/>
      <c r="U369" s="57"/>
      <c r="V369" s="57">
        <f>U369+O369</f>
        <v>0</v>
      </c>
      <c r="W369" s="57">
        <f>V369/0.7</f>
        <v>0</v>
      </c>
      <c r="X369" s="58">
        <f>W369/0.875</f>
        <v>0</v>
      </c>
      <c r="Y369" s="59" t="e">
        <f>(X369-W369)/X369</f>
        <v>#DIV/0!</v>
      </c>
      <c r="Z369" s="58">
        <f>(ROUNDUP((X369/100),0))*100</f>
        <v>0</v>
      </c>
      <c r="AA369" s="178"/>
      <c r="AB369" s="178"/>
      <c r="AC369" s="177"/>
      <c r="AD369" s="177"/>
      <c r="AE369" s="179"/>
      <c r="AF369" s="179"/>
      <c r="AG369" s="179"/>
      <c r="AH369" s="179"/>
    </row>
    <row r="370" spans="1:35" s="91" customFormat="1" ht="14.45" customHeight="1" x14ac:dyDescent="0.2">
      <c r="A370" s="47">
        <v>219</v>
      </c>
      <c r="B370" s="48" t="str">
        <f>REPLACE(E370,1,3, )</f>
        <v xml:space="preserve"> 177</v>
      </c>
      <c r="C370" s="70" t="s">
        <v>495</v>
      </c>
      <c r="D370" s="49">
        <f>IF(E370=C370,0,1)</f>
        <v>0</v>
      </c>
      <c r="E370" s="50" t="s">
        <v>495</v>
      </c>
      <c r="F370" s="30" t="str">
        <f>REPLACE(E370,4,4, )</f>
        <v>SRB</v>
      </c>
      <c r="G370" s="30" t="s">
        <v>34</v>
      </c>
      <c r="H370" s="34" t="s">
        <v>493</v>
      </c>
      <c r="I370" s="30" t="s">
        <v>496</v>
      </c>
      <c r="J370" s="72">
        <v>61000</v>
      </c>
      <c r="K370" s="72">
        <f>J370-M370</f>
        <v>0</v>
      </c>
      <c r="L370" s="88" t="s">
        <v>87</v>
      </c>
      <c r="M370" s="73">
        <f>J370</f>
        <v>61000</v>
      </c>
      <c r="N370" s="74">
        <f>2000+3450+800+300+650</f>
        <v>7200</v>
      </c>
      <c r="O370" s="75">
        <f>M370+N370</f>
        <v>68200</v>
      </c>
      <c r="P370" s="47">
        <v>219</v>
      </c>
      <c r="Q370" s="76">
        <v>68200</v>
      </c>
      <c r="R370" s="41">
        <f>O370-Q370</f>
        <v>0</v>
      </c>
      <c r="S370" s="67" t="s">
        <v>497</v>
      </c>
      <c r="T370" s="47" t="s">
        <v>498</v>
      </c>
      <c r="U370" s="57">
        <v>6000</v>
      </c>
      <c r="V370" s="57">
        <f>U370+O370</f>
        <v>74200</v>
      </c>
      <c r="W370" s="57">
        <f>V370/0.7</f>
        <v>106000</v>
      </c>
      <c r="X370" s="58">
        <f>W370/0.875</f>
        <v>121142.85714285714</v>
      </c>
      <c r="Y370" s="59">
        <f>(X370-W370)/X370</f>
        <v>0.12500000000000003</v>
      </c>
      <c r="Z370" s="58">
        <f>(ROUNDUP((X370/100),0))*100</f>
        <v>121200</v>
      </c>
      <c r="AA370" s="58"/>
      <c r="AB370" s="58"/>
      <c r="AC370" s="180"/>
      <c r="AD370" s="180"/>
      <c r="AE370" s="176"/>
      <c r="AF370" s="176"/>
      <c r="AG370" s="176"/>
      <c r="AH370" s="176"/>
    </row>
    <row r="371" spans="1:35" ht="14.45" customHeight="1" x14ac:dyDescent="0.2">
      <c r="A371" s="47">
        <v>431</v>
      </c>
      <c r="B371" s="48" t="str">
        <f>REPLACE(E371,1,3, )</f>
        <v xml:space="preserve"> 301</v>
      </c>
      <c r="C371" s="32" t="s">
        <v>867</v>
      </c>
      <c r="D371" s="49">
        <f>IF(E371=C371,0,1)</f>
        <v>0</v>
      </c>
      <c r="E371" s="47" t="s">
        <v>867</v>
      </c>
      <c r="F371" s="30" t="str">
        <f>REPLACE(E371,4,4, )</f>
        <v>SRE</v>
      </c>
      <c r="G371" s="30" t="s">
        <v>91</v>
      </c>
      <c r="H371" s="71" t="s">
        <v>859</v>
      </c>
      <c r="I371" s="30" t="s">
        <v>830</v>
      </c>
      <c r="J371" s="51">
        <v>68000</v>
      </c>
      <c r="K371" s="52">
        <f>J371-M371</f>
        <v>6450</v>
      </c>
      <c r="L371" s="49" t="s">
        <v>94</v>
      </c>
      <c r="M371" s="53">
        <f>J371-N371</f>
        <v>61550</v>
      </c>
      <c r="N371" s="53">
        <f>2000+200+600+650+3000</f>
        <v>6450</v>
      </c>
      <c r="O371" s="55">
        <f>M371+N371</f>
        <v>68000</v>
      </c>
      <c r="P371" s="47">
        <v>431</v>
      </c>
      <c r="Q371" s="56">
        <v>68000</v>
      </c>
      <c r="R371" s="41">
        <f>O371-Q371</f>
        <v>0</v>
      </c>
      <c r="S371" s="67"/>
      <c r="T371" s="33" t="s">
        <v>868</v>
      </c>
      <c r="U371" s="57"/>
      <c r="V371" s="57">
        <f>U371+O371</f>
        <v>68000</v>
      </c>
      <c r="W371" s="57">
        <f>V371/0.7</f>
        <v>97142.857142857145</v>
      </c>
      <c r="X371" s="58">
        <f>W371/0.875</f>
        <v>111020.40816326531</v>
      </c>
      <c r="Y371" s="59">
        <f>(X371-W371)/X371</f>
        <v>0.12500000000000003</v>
      </c>
      <c r="Z371" s="58">
        <f>(ROUNDUP((X371/100),0))*100</f>
        <v>111100</v>
      </c>
      <c r="AA371" s="178"/>
      <c r="AB371" s="178"/>
      <c r="AC371" s="177"/>
      <c r="AD371" s="177"/>
      <c r="AE371" s="179"/>
      <c r="AF371" s="179"/>
      <c r="AG371" s="179"/>
      <c r="AH371" s="179"/>
      <c r="AI371" s="85"/>
    </row>
    <row r="372" spans="1:35" ht="14.45" customHeight="1" x14ac:dyDescent="0.2">
      <c r="A372" s="47">
        <v>409</v>
      </c>
      <c r="B372" s="48" t="str">
        <f>REPLACE(E372,1,3, )</f>
        <v xml:space="preserve"> 677</v>
      </c>
      <c r="C372" s="70" t="s">
        <v>829</v>
      </c>
      <c r="D372" s="49">
        <f>IF(E372=C372,0,1)</f>
        <v>0</v>
      </c>
      <c r="E372" s="47" t="s">
        <v>829</v>
      </c>
      <c r="F372" s="30" t="str">
        <f>REPLACE(E372,4,4, )</f>
        <v>SRE</v>
      </c>
      <c r="G372" s="30" t="s">
        <v>91</v>
      </c>
      <c r="H372" s="34" t="s">
        <v>767</v>
      </c>
      <c r="I372" s="30" t="s">
        <v>830</v>
      </c>
      <c r="J372" s="51">
        <v>80000</v>
      </c>
      <c r="K372" s="52">
        <f>J372-M372</f>
        <v>7650</v>
      </c>
      <c r="L372" s="49" t="s">
        <v>94</v>
      </c>
      <c r="M372" s="53">
        <f>J372-N372</f>
        <v>72350</v>
      </c>
      <c r="N372" s="53">
        <f>2000+200+600+1000+250+3600</f>
        <v>7650</v>
      </c>
      <c r="O372" s="55">
        <f>M372+N372</f>
        <v>80000</v>
      </c>
      <c r="P372" s="47">
        <v>409</v>
      </c>
      <c r="Q372" s="56">
        <v>80000</v>
      </c>
      <c r="R372" s="41">
        <f>O372-Q372</f>
        <v>0</v>
      </c>
      <c r="S372" s="67"/>
      <c r="T372" s="33" t="s">
        <v>831</v>
      </c>
      <c r="U372" s="57"/>
      <c r="V372" s="57">
        <f>U372+O372</f>
        <v>80000</v>
      </c>
      <c r="W372" s="57">
        <f>V372/0.7</f>
        <v>114285.71428571429</v>
      </c>
      <c r="X372" s="58">
        <f>W372/0.875</f>
        <v>130612.24489795919</v>
      </c>
      <c r="Y372" s="59">
        <f>(X372-W372)/X372</f>
        <v>0.12499999999999999</v>
      </c>
      <c r="Z372" s="58">
        <f>(ROUNDUP((X372/100),0))*100</f>
        <v>130700</v>
      </c>
      <c r="AA372" s="178"/>
      <c r="AB372" s="178"/>
      <c r="AC372" s="177"/>
      <c r="AD372" s="177"/>
      <c r="AE372" s="179"/>
      <c r="AF372" s="179"/>
      <c r="AG372" s="179"/>
      <c r="AH372" s="179"/>
      <c r="AI372" s="85"/>
    </row>
    <row r="373" spans="1:35" ht="14.45" customHeight="1" x14ac:dyDescent="0.2">
      <c r="A373" s="47">
        <v>24</v>
      </c>
      <c r="B373" s="48" t="str">
        <f>REPLACE(E373,1,3, )</f>
        <v xml:space="preserve"> 336</v>
      </c>
      <c r="C373" s="32" t="s">
        <v>132</v>
      </c>
      <c r="D373" s="49">
        <f>IF(E373=C373,0,1)</f>
        <v>0</v>
      </c>
      <c r="E373" s="49" t="s">
        <v>132</v>
      </c>
      <c r="F373" s="30" t="str">
        <f>REPLACE(E373,4,4, )</f>
        <v>SRF</v>
      </c>
      <c r="G373" s="33" t="s">
        <v>91</v>
      </c>
      <c r="H373" s="34" t="s">
        <v>92</v>
      </c>
      <c r="I373" s="33" t="s">
        <v>133</v>
      </c>
      <c r="J373" s="51">
        <v>72500</v>
      </c>
      <c r="K373" s="52">
        <f>J373-M373</f>
        <v>3900</v>
      </c>
      <c r="L373" s="49" t="s">
        <v>94</v>
      </c>
      <c r="M373" s="53">
        <f>J373-N373</f>
        <v>68600</v>
      </c>
      <c r="N373" s="53">
        <f>2000+200+350+600+750</f>
        <v>3900</v>
      </c>
      <c r="O373" s="55">
        <f>M373+N373</f>
        <v>72500</v>
      </c>
      <c r="P373" s="47">
        <v>24</v>
      </c>
      <c r="Q373" s="56">
        <v>72500</v>
      </c>
      <c r="R373" s="41">
        <f>O373-Q373</f>
        <v>0</v>
      </c>
      <c r="S373" s="67"/>
      <c r="T373" s="33" t="s">
        <v>134</v>
      </c>
      <c r="U373" s="57">
        <v>1000</v>
      </c>
      <c r="V373" s="57">
        <f>U373+O373</f>
        <v>73500</v>
      </c>
      <c r="W373" s="57">
        <f>V373/0.7</f>
        <v>105000</v>
      </c>
      <c r="X373" s="58">
        <f>W373/0.875</f>
        <v>120000</v>
      </c>
      <c r="Y373" s="59">
        <f>(X373-W373)/X373</f>
        <v>0.125</v>
      </c>
      <c r="Z373" s="58">
        <f>(ROUNDUP((X373/100),0))*100</f>
        <v>120000</v>
      </c>
      <c r="AA373" s="178"/>
      <c r="AB373" s="178"/>
      <c r="AC373" s="177"/>
      <c r="AD373" s="177"/>
      <c r="AE373" s="179"/>
      <c r="AF373" s="179"/>
      <c r="AG373" s="179"/>
      <c r="AH373" s="179"/>
      <c r="AI373" s="85"/>
    </row>
    <row r="374" spans="1:35" ht="14.45" customHeight="1" x14ac:dyDescent="0.2">
      <c r="A374" s="47">
        <v>26</v>
      </c>
      <c r="B374" s="48" t="str">
        <f>REPLACE(E374,1,3, )</f>
        <v xml:space="preserve"> 987</v>
      </c>
      <c r="C374" s="32" t="s">
        <v>136</v>
      </c>
      <c r="D374" s="49">
        <f>IF(E374=C374,0,1)</f>
        <v>0</v>
      </c>
      <c r="E374" s="49" t="s">
        <v>136</v>
      </c>
      <c r="F374" s="30" t="str">
        <f>REPLACE(E374,4,4, )</f>
        <v>SRF</v>
      </c>
      <c r="G374" s="33" t="s">
        <v>91</v>
      </c>
      <c r="H374" s="34" t="s">
        <v>92</v>
      </c>
      <c r="I374" s="33" t="s">
        <v>133</v>
      </c>
      <c r="J374" s="51">
        <v>72000</v>
      </c>
      <c r="K374" s="52">
        <f>J374-M374</f>
        <v>3900</v>
      </c>
      <c r="L374" s="49" t="s">
        <v>94</v>
      </c>
      <c r="M374" s="53">
        <f>J374-N374</f>
        <v>68100</v>
      </c>
      <c r="N374" s="53">
        <f>2000+200+350+600+750</f>
        <v>3900</v>
      </c>
      <c r="O374" s="55">
        <f>M374+N374</f>
        <v>72000</v>
      </c>
      <c r="P374" s="47">
        <v>26</v>
      </c>
      <c r="Q374" s="56">
        <v>72000</v>
      </c>
      <c r="R374" s="41">
        <f>O374-Q374</f>
        <v>0</v>
      </c>
      <c r="S374" s="67"/>
      <c r="T374" s="33" t="s">
        <v>134</v>
      </c>
      <c r="U374" s="57">
        <v>1000</v>
      </c>
      <c r="V374" s="57">
        <f>U374+O374</f>
        <v>73000</v>
      </c>
      <c r="W374" s="57">
        <f>V374/0.7</f>
        <v>104285.71428571429</v>
      </c>
      <c r="X374" s="58">
        <f>W374/0.875</f>
        <v>119183.67346938777</v>
      </c>
      <c r="Y374" s="59">
        <f>(X374-W374)/X374</f>
        <v>0.12500000000000006</v>
      </c>
      <c r="Z374" s="58">
        <f>(ROUNDUP((X374/100),0))*100</f>
        <v>119200</v>
      </c>
      <c r="AA374" s="178"/>
      <c r="AB374" s="178"/>
      <c r="AC374" s="177"/>
      <c r="AD374" s="177"/>
      <c r="AE374" s="179"/>
      <c r="AF374" s="179"/>
      <c r="AG374" s="179"/>
      <c r="AH374" s="179"/>
      <c r="AI374" s="85"/>
    </row>
    <row r="375" spans="1:35" s="91" customFormat="1" ht="14.45" customHeight="1" x14ac:dyDescent="0.2">
      <c r="A375" s="47">
        <v>209</v>
      </c>
      <c r="B375" s="48" t="str">
        <f>REPLACE(E375,1,3, )</f>
        <v xml:space="preserve"> 429</v>
      </c>
      <c r="C375" s="70" t="s">
        <v>476</v>
      </c>
      <c r="D375" s="49">
        <f>IF(E375=C375,0,1)</f>
        <v>0</v>
      </c>
      <c r="E375" s="32" t="s">
        <v>476</v>
      </c>
      <c r="F375" s="30" t="str">
        <f>REPLACE(E375,4,4, )</f>
        <v>SRH</v>
      </c>
      <c r="G375" s="30" t="s">
        <v>34</v>
      </c>
      <c r="H375" s="71" t="s">
        <v>441</v>
      </c>
      <c r="I375" s="30" t="s">
        <v>477</v>
      </c>
      <c r="J375" s="72">
        <v>75000</v>
      </c>
      <c r="K375" s="72">
        <f>J375-M375</f>
        <v>6950</v>
      </c>
      <c r="L375" s="64" t="s">
        <v>106</v>
      </c>
      <c r="M375" s="74">
        <f>J375-N375</f>
        <v>68050</v>
      </c>
      <c r="N375" s="74">
        <f>2000+2850+800+300+1000</f>
        <v>6950</v>
      </c>
      <c r="O375" s="75">
        <f>M375+N375</f>
        <v>75000</v>
      </c>
      <c r="P375" s="47">
        <v>209</v>
      </c>
      <c r="Q375" s="76">
        <v>75000</v>
      </c>
      <c r="R375" s="41">
        <f>O375-Q375</f>
        <v>0</v>
      </c>
      <c r="S375" s="42" t="s">
        <v>88</v>
      </c>
      <c r="T375" s="47" t="s">
        <v>478</v>
      </c>
      <c r="U375" s="57"/>
      <c r="V375" s="57">
        <f>U375+O375</f>
        <v>75000</v>
      </c>
      <c r="W375" s="57">
        <f>V375/0.7</f>
        <v>107142.85714285714</v>
      </c>
      <c r="X375" s="58">
        <f>W375/0.875</f>
        <v>122448.97959183673</v>
      </c>
      <c r="Y375" s="59">
        <f>(X375-W375)/X375</f>
        <v>0.12499999999999996</v>
      </c>
      <c r="Z375" s="58">
        <f>(ROUNDUP((X375/100),0))*100</f>
        <v>122500</v>
      </c>
      <c r="AA375" s="58"/>
      <c r="AB375" s="58"/>
      <c r="AC375" s="180"/>
      <c r="AD375" s="180"/>
      <c r="AE375" s="176"/>
      <c r="AF375" s="176"/>
      <c r="AG375" s="176"/>
      <c r="AH375" s="176"/>
    </row>
    <row r="376" spans="1:35" ht="14.45" customHeight="1" x14ac:dyDescent="0.2">
      <c r="A376" s="47">
        <v>164</v>
      </c>
      <c r="B376" s="48" t="str">
        <f>REPLACE(E376,1,3, )</f>
        <v xml:space="preserve"> 126</v>
      </c>
      <c r="C376" s="70" t="s">
        <v>387</v>
      </c>
      <c r="D376" s="49">
        <f>IF(E376=C376,0,1)</f>
        <v>0</v>
      </c>
      <c r="E376" s="49" t="s">
        <v>387</v>
      </c>
      <c r="F376" s="30" t="str">
        <f>REPLACE(E376,4,4, )</f>
        <v>SRI</v>
      </c>
      <c r="G376" s="33" t="s">
        <v>91</v>
      </c>
      <c r="H376" s="71" t="s">
        <v>360</v>
      </c>
      <c r="I376" s="33" t="s">
        <v>374</v>
      </c>
      <c r="J376" s="51">
        <v>77000</v>
      </c>
      <c r="K376" s="52">
        <f>J376-M376</f>
        <v>7500</v>
      </c>
      <c r="L376" s="49" t="s">
        <v>94</v>
      </c>
      <c r="M376" s="53">
        <f>J376-N376</f>
        <v>69500</v>
      </c>
      <c r="N376" s="53">
        <f>2000+300+600+1000+3600</f>
        <v>7500</v>
      </c>
      <c r="O376" s="55">
        <f>M376+N376</f>
        <v>77000</v>
      </c>
      <c r="P376" s="47">
        <v>164</v>
      </c>
      <c r="Q376" s="56">
        <v>77000</v>
      </c>
      <c r="R376" s="41">
        <f>O376-Q376</f>
        <v>0</v>
      </c>
      <c r="S376" s="67"/>
      <c r="T376" s="33" t="s">
        <v>379</v>
      </c>
      <c r="U376" s="57"/>
      <c r="V376" s="57">
        <f>U376+O376</f>
        <v>77000</v>
      </c>
      <c r="W376" s="57">
        <f>V376/0.7</f>
        <v>110000</v>
      </c>
      <c r="X376" s="58">
        <f>W376/0.875</f>
        <v>125714.28571428571</v>
      </c>
      <c r="Y376" s="59">
        <f>(X376-W376)/X376</f>
        <v>0.12499999999999997</v>
      </c>
      <c r="Z376" s="58">
        <f>(ROUNDUP((X376/100),0))*100</f>
        <v>125800</v>
      </c>
      <c r="AA376" s="178" t="s">
        <v>1780</v>
      </c>
      <c r="AB376" s="224">
        <v>43420</v>
      </c>
      <c r="AC376" s="177" t="s">
        <v>1780</v>
      </c>
      <c r="AD376" s="224">
        <v>43428</v>
      </c>
      <c r="AE376" s="179">
        <v>69400</v>
      </c>
      <c r="AF376" s="233" t="s">
        <v>1781</v>
      </c>
      <c r="AG376" s="233">
        <v>7600</v>
      </c>
      <c r="AH376" s="233">
        <v>77000</v>
      </c>
      <c r="AI376" s="85"/>
    </row>
    <row r="377" spans="1:35" ht="14.45" customHeight="1" x14ac:dyDescent="0.2">
      <c r="A377" s="47">
        <v>234</v>
      </c>
      <c r="B377" s="48" t="str">
        <f>REPLACE(E377,1,3, )</f>
        <v xml:space="preserve"> 163</v>
      </c>
      <c r="C377" s="70" t="s">
        <v>523</v>
      </c>
      <c r="D377" s="49">
        <f>IF(E377=C377,0,1)</f>
        <v>0</v>
      </c>
      <c r="E377" s="49" t="s">
        <v>523</v>
      </c>
      <c r="F377" s="30" t="str">
        <f>REPLACE(E377,4,4, )</f>
        <v>SRI</v>
      </c>
      <c r="G377" s="33" t="s">
        <v>91</v>
      </c>
      <c r="H377" s="34" t="s">
        <v>493</v>
      </c>
      <c r="I377" s="33" t="s">
        <v>374</v>
      </c>
      <c r="J377" s="51">
        <v>74000</v>
      </c>
      <c r="K377" s="52">
        <f>J377-M377</f>
        <v>7400</v>
      </c>
      <c r="L377" s="49" t="s">
        <v>94</v>
      </c>
      <c r="M377" s="53">
        <f>J377-N377</f>
        <v>66600</v>
      </c>
      <c r="N377" s="53">
        <f>2000+200+600+1000+3600</f>
        <v>7400</v>
      </c>
      <c r="O377" s="55">
        <f>M377+N377</f>
        <v>74000</v>
      </c>
      <c r="P377" s="47">
        <v>234</v>
      </c>
      <c r="Q377" s="41">
        <v>74000</v>
      </c>
      <c r="R377" s="41">
        <f>O377-Q377</f>
        <v>0</v>
      </c>
      <c r="S377" s="67"/>
      <c r="T377" s="33" t="s">
        <v>379</v>
      </c>
      <c r="U377" s="57"/>
      <c r="V377" s="57">
        <f>U377+O377</f>
        <v>74000</v>
      </c>
      <c r="W377" s="57">
        <f>V377/0.7</f>
        <v>105714.28571428572</v>
      </c>
      <c r="X377" s="58">
        <f>W377/0.875</f>
        <v>120816.32653061226</v>
      </c>
      <c r="Y377" s="59">
        <f>(X377-W377)/X377</f>
        <v>0.12500000000000006</v>
      </c>
      <c r="Z377" s="58">
        <f>(ROUNDUP((X377/100),0))*100</f>
        <v>120900</v>
      </c>
      <c r="AA377" s="178" t="s">
        <v>1780</v>
      </c>
      <c r="AB377" s="224">
        <v>43427</v>
      </c>
      <c r="AC377" s="177" t="s">
        <v>1790</v>
      </c>
      <c r="AD377" s="224">
        <v>43445</v>
      </c>
      <c r="AE377" s="179"/>
      <c r="AF377" s="179"/>
      <c r="AG377" s="179"/>
      <c r="AH377" s="179"/>
      <c r="AI377" s="85"/>
    </row>
    <row r="378" spans="1:35" s="91" customFormat="1" ht="14.45" customHeight="1" x14ac:dyDescent="0.2">
      <c r="A378" s="47">
        <v>163</v>
      </c>
      <c r="B378" s="48" t="str">
        <f>REPLACE(E378,1,3, )</f>
        <v xml:space="preserve"> 252</v>
      </c>
      <c r="C378" s="70" t="s">
        <v>386</v>
      </c>
      <c r="D378" s="49">
        <f>IF(E378=C378,0,1)</f>
        <v>0</v>
      </c>
      <c r="E378" s="48" t="s">
        <v>386</v>
      </c>
      <c r="F378" s="30" t="str">
        <f>REPLACE(E378,4,4, )</f>
        <v>SRI</v>
      </c>
      <c r="G378" s="33" t="s">
        <v>34</v>
      </c>
      <c r="H378" s="71" t="s">
        <v>360</v>
      </c>
      <c r="I378" s="33" t="s">
        <v>374</v>
      </c>
      <c r="J378" s="51">
        <v>73500</v>
      </c>
      <c r="K378" s="52">
        <f>J378-M378</f>
        <v>7500</v>
      </c>
      <c r="L378" s="49" t="s">
        <v>94</v>
      </c>
      <c r="M378" s="53">
        <f>J378-N378</f>
        <v>66000</v>
      </c>
      <c r="N378" s="54">
        <f>2000+300+600+1000+3600</f>
        <v>7500</v>
      </c>
      <c r="O378" s="55">
        <f>M378+N378</f>
        <v>73500</v>
      </c>
      <c r="P378" s="47">
        <v>163</v>
      </c>
      <c r="Q378" s="56">
        <v>73500</v>
      </c>
      <c r="R378" s="41">
        <f>O378-Q378</f>
        <v>0</v>
      </c>
      <c r="S378" s="67"/>
      <c r="T378" s="33" t="s">
        <v>379</v>
      </c>
      <c r="U378" s="57"/>
      <c r="V378" s="57">
        <f>U378+O378</f>
        <v>73500</v>
      </c>
      <c r="W378" s="57">
        <f>V378/0.7</f>
        <v>105000</v>
      </c>
      <c r="X378" s="58">
        <f>W378/0.875</f>
        <v>120000</v>
      </c>
      <c r="Y378" s="59">
        <f>(X378-W378)/X378</f>
        <v>0.125</v>
      </c>
      <c r="Z378" s="58">
        <f>(ROUNDUP((X378/100),0))*100</f>
        <v>120000</v>
      </c>
      <c r="AA378" s="58"/>
      <c r="AB378" s="58"/>
      <c r="AC378" s="180"/>
      <c r="AD378" s="180"/>
      <c r="AE378" s="176"/>
      <c r="AF378" s="176"/>
      <c r="AG378" s="176"/>
      <c r="AH378" s="176"/>
    </row>
    <row r="379" spans="1:35" ht="14.45" customHeight="1" x14ac:dyDescent="0.2">
      <c r="A379" s="47">
        <v>157</v>
      </c>
      <c r="B379" s="48" t="str">
        <f>REPLACE(E379,1,3, )</f>
        <v xml:space="preserve"> 328</v>
      </c>
      <c r="C379" s="70" t="s">
        <v>373</v>
      </c>
      <c r="D379" s="49">
        <f>IF(E379=C379,0,1)</f>
        <v>0</v>
      </c>
      <c r="E379" s="50" t="s">
        <v>373</v>
      </c>
      <c r="F379" s="30" t="str">
        <f>REPLACE(E379,4,4, )</f>
        <v>SRI</v>
      </c>
      <c r="G379" s="30" t="s">
        <v>34</v>
      </c>
      <c r="H379" s="71" t="s">
        <v>360</v>
      </c>
      <c r="I379" s="30" t="s">
        <v>374</v>
      </c>
      <c r="J379" s="51">
        <v>97000</v>
      </c>
      <c r="K379" s="52">
        <f>J379-M379</f>
        <v>7500</v>
      </c>
      <c r="L379" s="49" t="s">
        <v>94</v>
      </c>
      <c r="M379" s="53">
        <f>J379-N379</f>
        <v>89500</v>
      </c>
      <c r="N379" s="53">
        <f>2000+300+600+1000+3600</f>
        <v>7500</v>
      </c>
      <c r="O379" s="55">
        <f>M379+N379</f>
        <v>97000</v>
      </c>
      <c r="P379" s="47">
        <v>157</v>
      </c>
      <c r="Q379" s="56">
        <v>92000</v>
      </c>
      <c r="R379" s="41"/>
      <c r="S379" s="67"/>
      <c r="T379" s="33"/>
      <c r="U379" s="57">
        <v>-5000</v>
      </c>
      <c r="V379" s="57">
        <f>U379+O379</f>
        <v>92000</v>
      </c>
      <c r="W379" s="57">
        <f>V379/0.7</f>
        <v>131428.57142857145</v>
      </c>
      <c r="X379" s="58">
        <f>W379/0.875</f>
        <v>150204.08163265308</v>
      </c>
      <c r="Y379" s="59">
        <f>(X379-W379)/X379</f>
        <v>0.12499999999999996</v>
      </c>
      <c r="Z379" s="58">
        <f>(ROUNDUP((X379/100),0))*100</f>
        <v>150300</v>
      </c>
      <c r="AA379" s="58"/>
      <c r="AB379" s="58"/>
      <c r="AC379" s="180"/>
      <c r="AD379" s="180"/>
      <c r="AE379" s="176"/>
      <c r="AF379" s="176"/>
      <c r="AG379" s="176"/>
      <c r="AH379" s="176"/>
      <c r="AI379" s="85"/>
    </row>
    <row r="380" spans="1:35" s="91" customFormat="1" ht="14.45" customHeight="1" x14ac:dyDescent="0.2">
      <c r="A380" s="47">
        <v>195</v>
      </c>
      <c r="B380" s="48" t="str">
        <f>REPLACE(E380,1,3, )</f>
        <v xml:space="preserve"> 449</v>
      </c>
      <c r="C380" s="70" t="s">
        <v>447</v>
      </c>
      <c r="D380" s="49">
        <f>IF(E380=C380,0,1)</f>
        <v>0</v>
      </c>
      <c r="E380" s="48" t="s">
        <v>447</v>
      </c>
      <c r="F380" s="30" t="str">
        <f>REPLACE(E380,4,4, )</f>
        <v>SRI</v>
      </c>
      <c r="G380" s="33" t="s">
        <v>34</v>
      </c>
      <c r="H380" s="71" t="s">
        <v>441</v>
      </c>
      <c r="I380" s="33" t="s">
        <v>374</v>
      </c>
      <c r="J380" s="51">
        <v>72000</v>
      </c>
      <c r="K380" s="52">
        <f>J380-M380</f>
        <v>6800</v>
      </c>
      <c r="L380" s="49" t="s">
        <v>94</v>
      </c>
      <c r="M380" s="53">
        <f>J380-N380</f>
        <v>65200</v>
      </c>
      <c r="N380" s="54">
        <f>2000+200+600+1000+3000</f>
        <v>6800</v>
      </c>
      <c r="O380" s="55">
        <f>M380+N380</f>
        <v>72000</v>
      </c>
      <c r="P380" s="47">
        <v>195</v>
      </c>
      <c r="Q380" s="56">
        <v>72000</v>
      </c>
      <c r="R380" s="41">
        <f>O380-Q380</f>
        <v>0</v>
      </c>
      <c r="S380" s="67"/>
      <c r="T380" s="33" t="s">
        <v>448</v>
      </c>
      <c r="U380" s="57"/>
      <c r="V380" s="57">
        <f>U380+O380</f>
        <v>72000</v>
      </c>
      <c r="W380" s="57">
        <f>V380/0.7</f>
        <v>102857.14285714287</v>
      </c>
      <c r="X380" s="58">
        <f>W380/0.875</f>
        <v>117551.02040816328</v>
      </c>
      <c r="Y380" s="59">
        <f>(X380-W380)/X380</f>
        <v>0.12500000000000003</v>
      </c>
      <c r="Z380" s="58">
        <f>(ROUNDUP((X380/100),0))*100</f>
        <v>117600</v>
      </c>
      <c r="AA380" s="58"/>
      <c r="AB380" s="58"/>
      <c r="AC380" s="180"/>
      <c r="AD380" s="180"/>
      <c r="AE380" s="176"/>
      <c r="AF380" s="176"/>
      <c r="AG380" s="176"/>
      <c r="AH380" s="176"/>
    </row>
    <row r="381" spans="1:35" ht="14.45" customHeight="1" x14ac:dyDescent="0.2">
      <c r="A381" s="47">
        <v>211</v>
      </c>
      <c r="B381" s="48" t="str">
        <f>REPLACE(E381,1,3, )</f>
        <v xml:space="preserve"> 546</v>
      </c>
      <c r="C381" s="70" t="s">
        <v>481</v>
      </c>
      <c r="D381" s="49">
        <f>IF(E381=C381,0,1)</f>
        <v>0</v>
      </c>
      <c r="E381" s="48" t="s">
        <v>481</v>
      </c>
      <c r="F381" s="30" t="str">
        <f>REPLACE(E381,4,4, )</f>
        <v>SRI</v>
      </c>
      <c r="G381" s="33" t="s">
        <v>34</v>
      </c>
      <c r="H381" s="71" t="s">
        <v>441</v>
      </c>
      <c r="I381" s="33" t="s">
        <v>374</v>
      </c>
      <c r="J381" s="51">
        <v>84000</v>
      </c>
      <c r="K381" s="52">
        <f>J381-M381</f>
        <v>5800</v>
      </c>
      <c r="L381" s="49" t="s">
        <v>94</v>
      </c>
      <c r="M381" s="53">
        <f>J381-N381</f>
        <v>78200</v>
      </c>
      <c r="N381" s="54">
        <f>2000+200+600+3000</f>
        <v>5800</v>
      </c>
      <c r="O381" s="55">
        <f>M381+N381</f>
        <v>84000</v>
      </c>
      <c r="P381" s="47">
        <v>211</v>
      </c>
      <c r="Q381" s="56">
        <v>84500</v>
      </c>
      <c r="R381" s="41">
        <f>O381-Q381</f>
        <v>-500</v>
      </c>
      <c r="S381" s="67"/>
      <c r="T381" s="33"/>
      <c r="U381" s="57">
        <v>-2000</v>
      </c>
      <c r="V381" s="57">
        <f>U381+O381</f>
        <v>82000</v>
      </c>
      <c r="W381" s="57">
        <f>V381/0.7</f>
        <v>117142.85714285714</v>
      </c>
      <c r="X381" s="58">
        <f>W381/0.875</f>
        <v>133877.55102040817</v>
      </c>
      <c r="Y381" s="59">
        <f>(X381-W381)/X381</f>
        <v>0.125</v>
      </c>
      <c r="Z381" s="58">
        <f>(ROUNDUP((X381/100),0))*100</f>
        <v>133900</v>
      </c>
      <c r="AA381" s="58"/>
      <c r="AB381" s="58"/>
      <c r="AC381" s="180"/>
      <c r="AD381" s="180"/>
      <c r="AE381" s="176"/>
      <c r="AF381" s="176"/>
      <c r="AG381" s="176"/>
      <c r="AH381" s="176"/>
      <c r="AI381" s="85"/>
    </row>
    <row r="382" spans="1:35" ht="14.45" customHeight="1" x14ac:dyDescent="0.2">
      <c r="A382" s="47">
        <v>235</v>
      </c>
      <c r="B382" s="48" t="str">
        <f>REPLACE(E382,1,3, )</f>
        <v xml:space="preserve"> 565</v>
      </c>
      <c r="C382" s="70" t="s">
        <v>524</v>
      </c>
      <c r="D382" s="49">
        <f>IF(E382=C382,0,1)</f>
        <v>0</v>
      </c>
      <c r="E382" s="49" t="s">
        <v>524</v>
      </c>
      <c r="F382" s="30" t="str">
        <f>REPLACE(E382,4,4, )</f>
        <v>SRI</v>
      </c>
      <c r="G382" s="33" t="s">
        <v>91</v>
      </c>
      <c r="H382" s="34" t="s">
        <v>493</v>
      </c>
      <c r="I382" s="33" t="s">
        <v>374</v>
      </c>
      <c r="J382" s="51">
        <v>77000</v>
      </c>
      <c r="K382" s="52">
        <f>J382-M382</f>
        <v>7200</v>
      </c>
      <c r="L382" s="49" t="s">
        <v>94</v>
      </c>
      <c r="M382" s="53">
        <f>J382-N382</f>
        <v>69800</v>
      </c>
      <c r="N382" s="53">
        <f>2000+200+600+800+3600</f>
        <v>7200</v>
      </c>
      <c r="O382" s="55">
        <f>M382+N382</f>
        <v>77000</v>
      </c>
      <c r="P382" s="47">
        <v>235</v>
      </c>
      <c r="Q382" s="41">
        <v>77000</v>
      </c>
      <c r="R382" s="41">
        <f>O382-Q382</f>
        <v>0</v>
      </c>
      <c r="S382" s="67" t="s">
        <v>276</v>
      </c>
      <c r="T382" s="33" t="s">
        <v>525</v>
      </c>
      <c r="U382" s="57"/>
      <c r="V382" s="57">
        <f>U382+O382</f>
        <v>77000</v>
      </c>
      <c r="W382" s="57">
        <f>V382/0.7</f>
        <v>110000</v>
      </c>
      <c r="X382" s="58">
        <f>W382/0.875</f>
        <v>125714.28571428571</v>
      </c>
      <c r="Y382" s="59">
        <f>(X382-W382)/X382</f>
        <v>0.12499999999999997</v>
      </c>
      <c r="Z382" s="58">
        <f>(ROUNDUP((X382/100),0))*100</f>
        <v>125800</v>
      </c>
      <c r="AA382" s="178" t="s">
        <v>1780</v>
      </c>
      <c r="AB382" s="224">
        <v>43427</v>
      </c>
      <c r="AC382" s="177" t="s">
        <v>1780</v>
      </c>
      <c r="AD382" s="224">
        <v>43437</v>
      </c>
      <c r="AE382" s="179">
        <v>75400</v>
      </c>
      <c r="AF382" s="233" t="s">
        <v>1787</v>
      </c>
      <c r="AG382" s="233">
        <v>6600</v>
      </c>
      <c r="AH382" s="233">
        <v>82000</v>
      </c>
      <c r="AI382" s="85"/>
    </row>
    <row r="383" spans="1:35" ht="14.45" customHeight="1" x14ac:dyDescent="0.2">
      <c r="A383" s="47">
        <v>218</v>
      </c>
      <c r="B383" s="48" t="str">
        <f>REPLACE(E383,1,3, )</f>
        <v xml:space="preserve"> 601</v>
      </c>
      <c r="C383" s="70" t="s">
        <v>492</v>
      </c>
      <c r="D383" s="49">
        <f>IF(E383=C383,0,1)</f>
        <v>0</v>
      </c>
      <c r="E383" s="49" t="s">
        <v>492</v>
      </c>
      <c r="F383" s="30" t="str">
        <f>REPLACE(E383,4,4, )</f>
        <v>SRI</v>
      </c>
      <c r="G383" s="33" t="s">
        <v>91</v>
      </c>
      <c r="H383" s="34" t="s">
        <v>493</v>
      </c>
      <c r="I383" s="33" t="s">
        <v>374</v>
      </c>
      <c r="J383" s="51">
        <v>87000</v>
      </c>
      <c r="K383" s="52">
        <f>J383-M383</f>
        <v>6600</v>
      </c>
      <c r="L383" s="49" t="s">
        <v>94</v>
      </c>
      <c r="M383" s="53">
        <f>J383-N383</f>
        <v>80400</v>
      </c>
      <c r="N383" s="53">
        <f>2000+200+600+800+3000</f>
        <v>6600</v>
      </c>
      <c r="O383" s="55">
        <f>M383+N383</f>
        <v>87000</v>
      </c>
      <c r="P383" s="47">
        <v>218</v>
      </c>
      <c r="Q383" s="41">
        <v>87000</v>
      </c>
      <c r="R383" s="41">
        <f>O383-Q383</f>
        <v>0</v>
      </c>
      <c r="S383" s="67"/>
      <c r="T383" s="33" t="s">
        <v>494</v>
      </c>
      <c r="U383" s="57"/>
      <c r="V383" s="57">
        <f>U383+O383</f>
        <v>87000</v>
      </c>
      <c r="W383" s="57">
        <f>V383/0.7</f>
        <v>124285.71428571429</v>
      </c>
      <c r="X383" s="58">
        <f>W383/0.875</f>
        <v>142040.81632653062</v>
      </c>
      <c r="Y383" s="59">
        <f>(X383-W383)/X383</f>
        <v>0.12500000000000003</v>
      </c>
      <c r="Z383" s="58">
        <f>(ROUNDUP((X383/100),0))*100</f>
        <v>142100</v>
      </c>
      <c r="AA383" s="178" t="s">
        <v>1780</v>
      </c>
      <c r="AB383" s="224">
        <v>43427</v>
      </c>
      <c r="AC383" s="177" t="s">
        <v>1790</v>
      </c>
      <c r="AD383" s="224">
        <v>43442</v>
      </c>
      <c r="AE383" s="179">
        <v>85400</v>
      </c>
      <c r="AF383" s="233" t="s">
        <v>1795</v>
      </c>
      <c r="AG383" s="240">
        <v>6600</v>
      </c>
      <c r="AH383" s="240">
        <v>92000</v>
      </c>
      <c r="AI383" s="85"/>
    </row>
    <row r="384" spans="1:35" ht="14.45" customHeight="1" x14ac:dyDescent="0.2">
      <c r="A384" s="47">
        <v>222</v>
      </c>
      <c r="B384" s="48" t="str">
        <f>REPLACE(E384,1,3, )</f>
        <v xml:space="preserve"> 648</v>
      </c>
      <c r="C384" s="70" t="s">
        <v>503</v>
      </c>
      <c r="D384" s="49">
        <f>IF(E384=C384,0,1)</f>
        <v>0</v>
      </c>
      <c r="E384" s="49" t="s">
        <v>503</v>
      </c>
      <c r="F384" s="30" t="str">
        <f>REPLACE(E384,4,4, )</f>
        <v>SRI</v>
      </c>
      <c r="G384" s="33" t="s">
        <v>91</v>
      </c>
      <c r="H384" s="34" t="s">
        <v>493</v>
      </c>
      <c r="I384" s="33" t="s">
        <v>374</v>
      </c>
      <c r="J384" s="51">
        <v>75000</v>
      </c>
      <c r="K384" s="52">
        <f>J384-M384</f>
        <v>7400</v>
      </c>
      <c r="L384" s="49" t="s">
        <v>94</v>
      </c>
      <c r="M384" s="53">
        <f>J384-N384</f>
        <v>67600</v>
      </c>
      <c r="N384" s="53">
        <f>2000+200+600+1000+3600</f>
        <v>7400</v>
      </c>
      <c r="O384" s="55">
        <f>M384+N384</f>
        <v>75000</v>
      </c>
      <c r="P384" s="47">
        <v>222</v>
      </c>
      <c r="Q384" s="41">
        <v>75000</v>
      </c>
      <c r="R384" s="41">
        <f>O384-Q384</f>
        <v>0</v>
      </c>
      <c r="S384" s="67"/>
      <c r="T384" s="33" t="s">
        <v>379</v>
      </c>
      <c r="U384" s="57"/>
      <c r="V384" s="57">
        <f>U384+O384</f>
        <v>75000</v>
      </c>
      <c r="W384" s="57">
        <f>V384/0.7</f>
        <v>107142.85714285714</v>
      </c>
      <c r="X384" s="58">
        <f>W384/0.875</f>
        <v>122448.97959183673</v>
      </c>
      <c r="Y384" s="59">
        <f>(X384-W384)/X384</f>
        <v>0.12499999999999996</v>
      </c>
      <c r="Z384" s="58">
        <f>(ROUNDUP((X384/100),0))*100</f>
        <v>122500</v>
      </c>
      <c r="AA384" s="178" t="s">
        <v>1780</v>
      </c>
      <c r="AB384" s="224">
        <v>43427</v>
      </c>
      <c r="AC384" s="177" t="s">
        <v>1780</v>
      </c>
      <c r="AD384" s="224">
        <v>43442</v>
      </c>
      <c r="AE384" s="179">
        <v>73200</v>
      </c>
      <c r="AF384" s="240" t="s">
        <v>1796</v>
      </c>
      <c r="AG384" s="240">
        <v>6800</v>
      </c>
      <c r="AH384" s="179">
        <v>80000</v>
      </c>
      <c r="AI384" s="85"/>
    </row>
    <row r="385" spans="1:35" ht="14.45" customHeight="1" x14ac:dyDescent="0.2">
      <c r="A385" s="47">
        <v>199</v>
      </c>
      <c r="B385" s="48" t="str">
        <f>REPLACE(E385,1,3, )</f>
        <v xml:space="preserve"> 672</v>
      </c>
      <c r="C385" s="70" t="s">
        <v>453</v>
      </c>
      <c r="D385" s="49">
        <f>IF(E385=C385,0,1)</f>
        <v>0</v>
      </c>
      <c r="E385" s="49" t="s">
        <v>453</v>
      </c>
      <c r="F385" s="30" t="str">
        <f>REPLACE(E385,4,4, )</f>
        <v>SRI</v>
      </c>
      <c r="G385" s="33" t="s">
        <v>91</v>
      </c>
      <c r="H385" s="71" t="s">
        <v>441</v>
      </c>
      <c r="I385" s="33" t="s">
        <v>374</v>
      </c>
      <c r="J385" s="51">
        <v>59500</v>
      </c>
      <c r="K385" s="52">
        <f>J385-M385</f>
        <v>6900</v>
      </c>
      <c r="L385" s="49" t="s">
        <v>94</v>
      </c>
      <c r="M385" s="53">
        <f>J385-N385</f>
        <v>52600</v>
      </c>
      <c r="N385" s="53">
        <f>2000+300+600+1000+3000</f>
        <v>6900</v>
      </c>
      <c r="O385" s="55">
        <f>M385+N385</f>
        <v>59500</v>
      </c>
      <c r="P385" s="47">
        <v>199</v>
      </c>
      <c r="Q385" s="56">
        <v>59500</v>
      </c>
      <c r="R385" s="41">
        <f>O385-Q385</f>
        <v>0</v>
      </c>
      <c r="S385" s="67"/>
      <c r="T385" s="33" t="s">
        <v>448</v>
      </c>
      <c r="U385" s="57"/>
      <c r="V385" s="57">
        <f>U385+O385</f>
        <v>59500</v>
      </c>
      <c r="W385" s="57">
        <f>V385/0.7</f>
        <v>85000</v>
      </c>
      <c r="X385" s="58">
        <f>W385/0.875</f>
        <v>97142.857142857145</v>
      </c>
      <c r="Y385" s="59">
        <f>(X385-W385)/X385</f>
        <v>0.12500000000000003</v>
      </c>
      <c r="Z385" s="58">
        <f>(ROUNDUP((X385/100),0))*100</f>
        <v>97200</v>
      </c>
      <c r="AA385" s="178"/>
      <c r="AB385" s="178"/>
      <c r="AC385" s="177"/>
      <c r="AD385" s="177"/>
      <c r="AE385" s="179"/>
      <c r="AF385" s="179"/>
      <c r="AG385" s="179"/>
      <c r="AH385" s="179"/>
      <c r="AI385" s="85"/>
    </row>
    <row r="386" spans="1:35" ht="14.45" customHeight="1" x14ac:dyDescent="0.2">
      <c r="A386" s="47">
        <v>179</v>
      </c>
      <c r="B386" s="48" t="str">
        <f>REPLACE(E386,1,3, )</f>
        <v xml:space="preserve"> 697</v>
      </c>
      <c r="C386" s="70" t="s">
        <v>413</v>
      </c>
      <c r="D386" s="49">
        <f>IF(E386=C386,0,1)</f>
        <v>0</v>
      </c>
      <c r="E386" s="77" t="s">
        <v>413</v>
      </c>
      <c r="F386" s="30" t="str">
        <f>REPLACE(E386,4,4, )</f>
        <v>SRI</v>
      </c>
      <c r="G386" s="33" t="s">
        <v>34</v>
      </c>
      <c r="H386" s="71" t="s">
        <v>360</v>
      </c>
      <c r="I386" s="33" t="s">
        <v>374</v>
      </c>
      <c r="J386" s="51">
        <v>70500</v>
      </c>
      <c r="K386" s="52">
        <f>J386-M386</f>
        <v>7150</v>
      </c>
      <c r="L386" s="49" t="s">
        <v>94</v>
      </c>
      <c r="M386" s="53">
        <f>J386-N386</f>
        <v>63350</v>
      </c>
      <c r="N386" s="54">
        <f>2000+300+600+650+3600</f>
        <v>7150</v>
      </c>
      <c r="O386" s="55">
        <f>M386+N386</f>
        <v>70500</v>
      </c>
      <c r="P386" s="47">
        <v>179</v>
      </c>
      <c r="Q386" s="56">
        <v>70500</v>
      </c>
      <c r="R386" s="41">
        <f>O386-Q386</f>
        <v>0</v>
      </c>
      <c r="S386" s="67" t="s">
        <v>406</v>
      </c>
      <c r="T386" s="33" t="s">
        <v>396</v>
      </c>
      <c r="U386" s="57">
        <v>8000</v>
      </c>
      <c r="V386" s="57">
        <f>U386+O386</f>
        <v>78500</v>
      </c>
      <c r="W386" s="57">
        <f>V386/0.7</f>
        <v>112142.85714285714</v>
      </c>
      <c r="X386" s="58">
        <f>W386/0.875</f>
        <v>128163.26530612246</v>
      </c>
      <c r="Y386" s="59">
        <f>(X386-W386)/X386</f>
        <v>0.12500000000000003</v>
      </c>
      <c r="Z386" s="58">
        <f>(ROUNDUP((X386/100),0))*100</f>
        <v>128200</v>
      </c>
      <c r="AA386" s="58"/>
      <c r="AB386" s="58"/>
      <c r="AC386" s="180"/>
      <c r="AD386" s="180"/>
      <c r="AE386" s="176"/>
      <c r="AF386" s="176"/>
      <c r="AG386" s="176"/>
      <c r="AH386" s="176"/>
      <c r="AI386" s="85"/>
    </row>
    <row r="387" spans="1:35" ht="14.45" customHeight="1" x14ac:dyDescent="0.2">
      <c r="A387" s="47">
        <v>172</v>
      </c>
      <c r="B387" s="48" t="str">
        <f>REPLACE(E387,1,3, )</f>
        <v xml:space="preserve"> 813</v>
      </c>
      <c r="C387" s="70" t="s">
        <v>402</v>
      </c>
      <c r="D387" s="49">
        <f>IF(E387=C387,0,1)</f>
        <v>0</v>
      </c>
      <c r="E387" s="49" t="s">
        <v>402</v>
      </c>
      <c r="F387" s="30" t="str">
        <f>REPLACE(E387,4,4, )</f>
        <v>SRI</v>
      </c>
      <c r="G387" s="33" t="s">
        <v>91</v>
      </c>
      <c r="H387" s="71" t="s">
        <v>360</v>
      </c>
      <c r="I387" s="33" t="s">
        <v>374</v>
      </c>
      <c r="J387" s="51">
        <v>80000</v>
      </c>
      <c r="K387" s="52">
        <f>J387-M387</f>
        <v>7400</v>
      </c>
      <c r="L387" s="49" t="s">
        <v>94</v>
      </c>
      <c r="M387" s="53">
        <f>J387-N387</f>
        <v>72600</v>
      </c>
      <c r="N387" s="53">
        <f>2000+200+600+1000+3600</f>
        <v>7400</v>
      </c>
      <c r="O387" s="55">
        <f>M387+N387</f>
        <v>80000</v>
      </c>
      <c r="P387" s="47">
        <v>172</v>
      </c>
      <c r="Q387" s="41">
        <v>80000</v>
      </c>
      <c r="R387" s="41">
        <f>O387-Q387</f>
        <v>0</v>
      </c>
      <c r="S387" s="67"/>
      <c r="T387" s="33" t="s">
        <v>379</v>
      </c>
      <c r="U387" s="57"/>
      <c r="V387" s="57">
        <f>U387+O387</f>
        <v>80000</v>
      </c>
      <c r="W387" s="57">
        <f>V387/0.7</f>
        <v>114285.71428571429</v>
      </c>
      <c r="X387" s="58">
        <f>W387/0.875</f>
        <v>130612.24489795919</v>
      </c>
      <c r="Y387" s="59">
        <f>(X387-W387)/X387</f>
        <v>0.12499999999999999</v>
      </c>
      <c r="Z387" s="58">
        <f>(ROUNDUP((X387/100),0))*100</f>
        <v>130700</v>
      </c>
      <c r="AA387" s="178" t="s">
        <v>1780</v>
      </c>
      <c r="AB387" s="224">
        <v>43427</v>
      </c>
      <c r="AC387" s="177" t="s">
        <v>1780</v>
      </c>
      <c r="AD387" s="224">
        <v>43437</v>
      </c>
      <c r="AE387" s="179">
        <v>78200</v>
      </c>
      <c r="AF387" s="233" t="s">
        <v>1788</v>
      </c>
      <c r="AG387" s="233">
        <v>6800</v>
      </c>
      <c r="AH387" s="233">
        <v>85000</v>
      </c>
      <c r="AI387" s="85"/>
    </row>
    <row r="388" spans="1:35" s="91" customFormat="1" ht="14.45" customHeight="1" x14ac:dyDescent="0.2">
      <c r="A388" s="47">
        <v>167</v>
      </c>
      <c r="B388" s="48" t="str">
        <f>REPLACE(E388,1,3, )</f>
        <v xml:space="preserve"> 194</v>
      </c>
      <c r="C388" s="70" t="s">
        <v>394</v>
      </c>
      <c r="D388" s="49">
        <f>IF(E388=C388,0,1)</f>
        <v>0</v>
      </c>
      <c r="E388" s="48" t="s">
        <v>394</v>
      </c>
      <c r="F388" s="30" t="str">
        <f>REPLACE(E388,4,4, )</f>
        <v>SRM</v>
      </c>
      <c r="G388" s="33" t="s">
        <v>34</v>
      </c>
      <c r="H388" s="71" t="s">
        <v>360</v>
      </c>
      <c r="I388" s="33" t="s">
        <v>374</v>
      </c>
      <c r="J388" s="51">
        <v>83000</v>
      </c>
      <c r="K388" s="52">
        <f>J388-M388</f>
        <v>7500</v>
      </c>
      <c r="L388" s="49" t="s">
        <v>94</v>
      </c>
      <c r="M388" s="53">
        <f>J388-N388</f>
        <v>75500</v>
      </c>
      <c r="N388" s="54">
        <v>7500</v>
      </c>
      <c r="O388" s="55">
        <f>M388+N388</f>
        <v>83000</v>
      </c>
      <c r="P388" s="47">
        <v>167</v>
      </c>
      <c r="Q388" s="56">
        <v>83000</v>
      </c>
      <c r="R388" s="41">
        <f>O388-Q388</f>
        <v>0</v>
      </c>
      <c r="S388" s="67"/>
      <c r="T388" s="33" t="s">
        <v>379</v>
      </c>
      <c r="U388" s="57">
        <v>1000</v>
      </c>
      <c r="V388" s="57">
        <f>U388+O388</f>
        <v>84000</v>
      </c>
      <c r="W388" s="57">
        <f>V388/0.7</f>
        <v>120000.00000000001</v>
      </c>
      <c r="X388" s="58">
        <f>W388/0.875</f>
        <v>137142.85714285716</v>
      </c>
      <c r="Y388" s="59">
        <f>(X388-W388)/X388</f>
        <v>0.125</v>
      </c>
      <c r="Z388" s="58">
        <f>(ROUNDUP((X388/100),0))*100</f>
        <v>137200</v>
      </c>
      <c r="AA388" s="58"/>
      <c r="AB388" s="58"/>
      <c r="AC388" s="180"/>
      <c r="AD388" s="180"/>
      <c r="AE388" s="176"/>
      <c r="AF388" s="176"/>
      <c r="AG388" s="176"/>
      <c r="AH388" s="176"/>
    </row>
    <row r="389" spans="1:35" ht="14.45" customHeight="1" x14ac:dyDescent="0.2">
      <c r="A389" s="47">
        <v>160</v>
      </c>
      <c r="B389" s="48" t="str">
        <f>REPLACE(E389,1,3, )</f>
        <v xml:space="preserve"> 713</v>
      </c>
      <c r="C389" s="70" t="s">
        <v>378</v>
      </c>
      <c r="D389" s="49">
        <f>IF(E389=C389,0,1)</f>
        <v>0</v>
      </c>
      <c r="E389" s="48" t="s">
        <v>378</v>
      </c>
      <c r="F389" s="30" t="str">
        <f>REPLACE(E389,4,4, )</f>
        <v>SRM</v>
      </c>
      <c r="G389" s="33" t="s">
        <v>34</v>
      </c>
      <c r="H389" s="71" t="s">
        <v>360</v>
      </c>
      <c r="I389" s="33" t="s">
        <v>374</v>
      </c>
      <c r="J389" s="51">
        <v>84000</v>
      </c>
      <c r="K389" s="52">
        <f>J389-M389</f>
        <v>7500</v>
      </c>
      <c r="L389" s="49" t="s">
        <v>94</v>
      </c>
      <c r="M389" s="53">
        <f>J389-N389</f>
        <v>76500</v>
      </c>
      <c r="N389" s="54">
        <f>2000+300+600+1000+3600</f>
        <v>7500</v>
      </c>
      <c r="O389" s="55">
        <f>M389+N389</f>
        <v>84000</v>
      </c>
      <c r="P389" s="47">
        <v>160</v>
      </c>
      <c r="Q389" s="56">
        <v>84000</v>
      </c>
      <c r="R389" s="41">
        <f>O389-Q389</f>
        <v>0</v>
      </c>
      <c r="S389" s="67"/>
      <c r="T389" s="33" t="s">
        <v>379</v>
      </c>
      <c r="U389" s="57"/>
      <c r="V389" s="57">
        <f>U389+O389</f>
        <v>84000</v>
      </c>
      <c r="W389" s="57">
        <f>V389/0.7</f>
        <v>120000.00000000001</v>
      </c>
      <c r="X389" s="58">
        <f>W389/0.875</f>
        <v>137142.85714285716</v>
      </c>
      <c r="Y389" s="59">
        <f>(X389-W389)/X389</f>
        <v>0.125</v>
      </c>
      <c r="Z389" s="58">
        <f>(ROUNDUP((X389/100),0))*100</f>
        <v>137200</v>
      </c>
      <c r="AA389" s="58"/>
      <c r="AB389" s="58"/>
      <c r="AC389" s="180"/>
      <c r="AD389" s="180"/>
      <c r="AE389" s="176"/>
      <c r="AF389" s="176"/>
      <c r="AG389" s="176"/>
      <c r="AH389" s="176"/>
      <c r="AI389" s="85"/>
    </row>
    <row r="390" spans="1:35" ht="14.45" customHeight="1" x14ac:dyDescent="0.2">
      <c r="A390" s="47">
        <v>103</v>
      </c>
      <c r="B390" s="48" t="str">
        <f>REPLACE(E390,1,3, )</f>
        <v xml:space="preserve"> 467</v>
      </c>
      <c r="C390" s="70" t="s">
        <v>270</v>
      </c>
      <c r="D390" s="49">
        <f>IF(E390=C390,0,1)</f>
        <v>0</v>
      </c>
      <c r="E390" s="48" t="s">
        <v>270</v>
      </c>
      <c r="F390" s="30" t="str">
        <f>REPLACE(E390,4,4, )</f>
        <v>SRO</v>
      </c>
      <c r="G390" s="33" t="s">
        <v>34</v>
      </c>
      <c r="H390" s="71" t="s">
        <v>265</v>
      </c>
      <c r="I390" s="33" t="s">
        <v>266</v>
      </c>
      <c r="J390" s="51">
        <v>104000</v>
      </c>
      <c r="K390" s="52">
        <f>J390-M390</f>
        <v>6700</v>
      </c>
      <c r="L390" s="49" t="s">
        <v>94</v>
      </c>
      <c r="M390" s="53">
        <f>J390-N390</f>
        <v>97300</v>
      </c>
      <c r="N390" s="54">
        <f>2000+200+350+600+550+3000</f>
        <v>6700</v>
      </c>
      <c r="O390" s="55">
        <f>M390+N390</f>
        <v>104000</v>
      </c>
      <c r="P390" s="47">
        <v>103</v>
      </c>
      <c r="Q390" s="56">
        <v>104000</v>
      </c>
      <c r="R390" s="41">
        <f>O390-Q390</f>
        <v>0</v>
      </c>
      <c r="S390" s="67"/>
      <c r="T390" s="33" t="s">
        <v>263</v>
      </c>
      <c r="U390" s="57">
        <v>0</v>
      </c>
      <c r="V390" s="57">
        <f>U390+O390</f>
        <v>104000</v>
      </c>
      <c r="W390" s="57">
        <f>V390/0.7</f>
        <v>148571.42857142858</v>
      </c>
      <c r="X390" s="58">
        <f>W390/0.875</f>
        <v>169795.91836734695</v>
      </c>
      <c r="Y390" s="59">
        <f>(X390-W390)/X390</f>
        <v>0.12500000000000003</v>
      </c>
      <c r="Z390" s="58">
        <f>(ROUNDUP((X390/100),0))*100</f>
        <v>169800</v>
      </c>
      <c r="AA390" s="58"/>
      <c r="AB390" s="58"/>
      <c r="AC390" s="180"/>
      <c r="AD390" s="180"/>
      <c r="AE390" s="176"/>
      <c r="AF390" s="176"/>
      <c r="AG390" s="176"/>
      <c r="AH390" s="176"/>
      <c r="AI390" s="85"/>
    </row>
    <row r="391" spans="1:35" ht="14.45" customHeight="1" x14ac:dyDescent="0.2">
      <c r="A391" s="47">
        <v>492</v>
      </c>
      <c r="B391" s="48" t="str">
        <f>REPLACE(E391,1,3, )</f>
        <v xml:space="preserve"> 469</v>
      </c>
      <c r="C391" s="32" t="s">
        <v>978</v>
      </c>
      <c r="D391" s="49">
        <f>IF(E391=C391,0,1)</f>
        <v>0</v>
      </c>
      <c r="E391" s="49" t="s">
        <v>978</v>
      </c>
      <c r="F391" s="30" t="str">
        <f>REPLACE(E391,4,4, )</f>
        <v>SRO</v>
      </c>
      <c r="G391" s="33" t="s">
        <v>91</v>
      </c>
      <c r="H391" s="34" t="s">
        <v>974</v>
      </c>
      <c r="I391" s="33" t="s">
        <v>266</v>
      </c>
      <c r="J391" s="51">
        <v>80000</v>
      </c>
      <c r="K391" s="52">
        <f>J391-M391</f>
        <v>4250</v>
      </c>
      <c r="L391" s="49" t="s">
        <v>94</v>
      </c>
      <c r="M391" s="53">
        <f>J391-N391</f>
        <v>75750</v>
      </c>
      <c r="N391" s="53">
        <f>2000+200+350+600+300+800</f>
        <v>4250</v>
      </c>
      <c r="O391" s="55">
        <f>M391+N391</f>
        <v>80000</v>
      </c>
      <c r="P391" s="47">
        <v>492</v>
      </c>
      <c r="Q391" s="56">
        <v>80000</v>
      </c>
      <c r="R391" s="41">
        <f>O391-Q391</f>
        <v>0</v>
      </c>
      <c r="S391" s="67" t="s">
        <v>965</v>
      </c>
      <c r="T391" s="33" t="s">
        <v>284</v>
      </c>
      <c r="U391" s="57"/>
      <c r="V391" s="57">
        <f>U391+O391</f>
        <v>80000</v>
      </c>
      <c r="W391" s="57">
        <f>V391/0.7</f>
        <v>114285.71428571429</v>
      </c>
      <c r="X391" s="58">
        <f>W391/0.875</f>
        <v>130612.24489795919</v>
      </c>
      <c r="Y391" s="59">
        <f>(X391-W391)/X391</f>
        <v>0.12499999999999999</v>
      </c>
      <c r="Z391" s="58">
        <f>(ROUNDUP((X391/100),0))*100</f>
        <v>130700</v>
      </c>
      <c r="AA391" s="178"/>
      <c r="AB391" s="178"/>
      <c r="AC391" s="177"/>
      <c r="AD391" s="177"/>
      <c r="AE391" s="179"/>
      <c r="AF391" s="179"/>
      <c r="AG391" s="179"/>
      <c r="AH391" s="179"/>
      <c r="AI391" s="85"/>
    </row>
    <row r="392" spans="1:35" s="91" customFormat="1" ht="14.45" customHeight="1" x14ac:dyDescent="0.2">
      <c r="A392" s="47">
        <v>485</v>
      </c>
      <c r="B392" s="48" t="str">
        <f>REPLACE(E392,1,3, )</f>
        <v xml:space="preserve"> 589</v>
      </c>
      <c r="C392" s="32" t="s">
        <v>964</v>
      </c>
      <c r="D392" s="49">
        <f>IF(E392=C392,0,1)</f>
        <v>0</v>
      </c>
      <c r="E392" s="49" t="s">
        <v>964</v>
      </c>
      <c r="F392" s="30" t="str">
        <f>REPLACE(E392,4,4, )</f>
        <v>SRO</v>
      </c>
      <c r="G392" s="33" t="s">
        <v>91</v>
      </c>
      <c r="H392" s="34" t="s">
        <v>963</v>
      </c>
      <c r="I392" s="33" t="s">
        <v>266</v>
      </c>
      <c r="J392" s="51">
        <v>75000</v>
      </c>
      <c r="K392" s="52">
        <f>J392-M392</f>
        <v>4250</v>
      </c>
      <c r="L392" s="49" t="s">
        <v>94</v>
      </c>
      <c r="M392" s="53">
        <f>J392-N392</f>
        <v>70750</v>
      </c>
      <c r="N392" s="53">
        <f>2000+200+350+600+300+800</f>
        <v>4250</v>
      </c>
      <c r="O392" s="55">
        <f>M392+N392</f>
        <v>75000</v>
      </c>
      <c r="P392" s="47">
        <v>485</v>
      </c>
      <c r="Q392" s="56">
        <v>75000</v>
      </c>
      <c r="R392" s="41">
        <f>O392-Q392</f>
        <v>0</v>
      </c>
      <c r="S392" s="67" t="s">
        <v>965</v>
      </c>
      <c r="T392" s="33" t="s">
        <v>284</v>
      </c>
      <c r="U392" s="57">
        <v>-1000</v>
      </c>
      <c r="V392" s="57">
        <f>U392+O392</f>
        <v>74000</v>
      </c>
      <c r="W392" s="57">
        <f>V392/0.7</f>
        <v>105714.28571428572</v>
      </c>
      <c r="X392" s="58">
        <f>W392/0.875</f>
        <v>120816.32653061226</v>
      </c>
      <c r="Y392" s="59">
        <f>(X392-W392)/X392</f>
        <v>0.12500000000000006</v>
      </c>
      <c r="Z392" s="58">
        <f>(ROUNDUP((X392/100),0))*100</f>
        <v>120900</v>
      </c>
      <c r="AA392" s="178"/>
      <c r="AB392" s="178"/>
      <c r="AC392" s="177"/>
      <c r="AD392" s="177"/>
      <c r="AE392" s="179"/>
      <c r="AF392" s="179"/>
      <c r="AG392" s="179"/>
      <c r="AH392" s="179"/>
    </row>
    <row r="393" spans="1:35" s="91" customFormat="1" ht="14.45" customHeight="1" x14ac:dyDescent="0.2">
      <c r="A393" s="47">
        <v>100</v>
      </c>
      <c r="B393" s="48" t="str">
        <f>REPLACE(E393,1,3, )</f>
        <v xml:space="preserve"> 603</v>
      </c>
      <c r="C393" s="70" t="s">
        <v>264</v>
      </c>
      <c r="D393" s="49">
        <f>IF(E393=C393,0,1)</f>
        <v>0</v>
      </c>
      <c r="E393" s="48" t="s">
        <v>264</v>
      </c>
      <c r="F393" s="30" t="str">
        <f>REPLACE(E393,4,4, )</f>
        <v>SRO</v>
      </c>
      <c r="G393" s="33" t="s">
        <v>34</v>
      </c>
      <c r="H393" s="71" t="s">
        <v>265</v>
      </c>
      <c r="I393" s="33" t="s">
        <v>266</v>
      </c>
      <c r="J393" s="51">
        <v>103000</v>
      </c>
      <c r="K393" s="52">
        <f>J393-M393</f>
        <v>6700</v>
      </c>
      <c r="L393" s="49" t="s">
        <v>94</v>
      </c>
      <c r="M393" s="53">
        <f>J393-N393</f>
        <v>96300</v>
      </c>
      <c r="N393" s="54">
        <f>2000+200+350+600+550+3000</f>
        <v>6700</v>
      </c>
      <c r="O393" s="55">
        <f>M393+N393</f>
        <v>103000</v>
      </c>
      <c r="P393" s="47">
        <v>100</v>
      </c>
      <c r="Q393" s="56">
        <v>103000</v>
      </c>
      <c r="R393" s="41">
        <f>O393-Q393</f>
        <v>0</v>
      </c>
      <c r="S393" s="67"/>
      <c r="T393" s="33" t="s">
        <v>263</v>
      </c>
      <c r="U393" s="57">
        <v>-1000</v>
      </c>
      <c r="V393" s="57">
        <f>U393+O393</f>
        <v>102000</v>
      </c>
      <c r="W393" s="57">
        <f>V393/0.7</f>
        <v>145714.28571428571</v>
      </c>
      <c r="X393" s="58">
        <f>W393/0.875</f>
        <v>166530.61224489796</v>
      </c>
      <c r="Y393" s="59">
        <f>(X393-W393)/X393</f>
        <v>0.12500000000000003</v>
      </c>
      <c r="Z393" s="58">
        <f>(ROUNDUP((X393/100),0))*100</f>
        <v>166600</v>
      </c>
      <c r="AA393" s="58"/>
      <c r="AB393" s="58"/>
      <c r="AC393" s="180"/>
      <c r="AD393" s="180"/>
      <c r="AE393" s="176"/>
      <c r="AF393" s="176"/>
      <c r="AG393" s="176"/>
      <c r="AH393" s="176"/>
    </row>
    <row r="394" spans="1:35" ht="14.45" customHeight="1" x14ac:dyDescent="0.2">
      <c r="A394" s="47">
        <v>482</v>
      </c>
      <c r="B394" s="48" t="str">
        <f>REPLACE(E394,1,3, )</f>
        <v xml:space="preserve"> 606</v>
      </c>
      <c r="C394" s="32" t="s">
        <v>960</v>
      </c>
      <c r="D394" s="49">
        <f>IF(E394=C394,0,1)</f>
        <v>0</v>
      </c>
      <c r="E394" s="49" t="s">
        <v>960</v>
      </c>
      <c r="F394" s="30" t="str">
        <f>REPLACE(E394,4,4, )</f>
        <v>SRO</v>
      </c>
      <c r="G394" s="33" t="s">
        <v>91</v>
      </c>
      <c r="H394" s="71" t="s">
        <v>958</v>
      </c>
      <c r="I394" s="33" t="s">
        <v>266</v>
      </c>
      <c r="J394" s="51">
        <v>74000</v>
      </c>
      <c r="K394" s="52">
        <f>J394-M394</f>
        <v>4250</v>
      </c>
      <c r="L394" s="49" t="s">
        <v>94</v>
      </c>
      <c r="M394" s="53">
        <f>J394-N394</f>
        <v>69750</v>
      </c>
      <c r="N394" s="53">
        <f>2000+200+350+600+300+800</f>
        <v>4250</v>
      </c>
      <c r="O394" s="55">
        <f>M394+N394</f>
        <v>74000</v>
      </c>
      <c r="P394" s="47">
        <v>482</v>
      </c>
      <c r="Q394" s="56">
        <v>74000</v>
      </c>
      <c r="R394" s="41">
        <f>O394-Q394</f>
        <v>0</v>
      </c>
      <c r="S394" s="67"/>
      <c r="T394" s="33" t="s">
        <v>284</v>
      </c>
      <c r="U394" s="57">
        <v>-2000</v>
      </c>
      <c r="V394" s="57">
        <f>U394+O394</f>
        <v>72000</v>
      </c>
      <c r="W394" s="57">
        <f>V394/0.7</f>
        <v>102857.14285714287</v>
      </c>
      <c r="X394" s="58">
        <f>W394/0.875</f>
        <v>117551.02040816328</v>
      </c>
      <c r="Y394" s="59">
        <f>(X394-W394)/X394</f>
        <v>0.12500000000000003</v>
      </c>
      <c r="Z394" s="58">
        <f>(ROUNDUP((X394/100),0))*100</f>
        <v>117600</v>
      </c>
      <c r="AA394" s="178"/>
      <c r="AB394" s="178"/>
      <c r="AC394" s="177"/>
      <c r="AD394" s="177"/>
      <c r="AE394" s="179"/>
      <c r="AF394" s="179"/>
      <c r="AG394" s="179"/>
      <c r="AH394" s="179"/>
      <c r="AI394" s="85"/>
    </row>
    <row r="395" spans="1:35" s="91" customFormat="1" ht="14.45" customHeight="1" x14ac:dyDescent="0.2">
      <c r="A395" s="47">
        <v>120</v>
      </c>
      <c r="B395" s="48" t="str">
        <f>REPLACE(E395,1,3, )</f>
        <v xml:space="preserve"> 615</v>
      </c>
      <c r="C395" s="70" t="s">
        <v>305</v>
      </c>
      <c r="D395" s="49">
        <f>IF(E395=C395,0,1)</f>
        <v>0</v>
      </c>
      <c r="E395" s="48" t="s">
        <v>305</v>
      </c>
      <c r="F395" s="30" t="str">
        <f>REPLACE(E395,4,4, )</f>
        <v>SRO</v>
      </c>
      <c r="G395" s="33" t="s">
        <v>34</v>
      </c>
      <c r="H395" s="71" t="s">
        <v>261</v>
      </c>
      <c r="I395" s="33" t="s">
        <v>266</v>
      </c>
      <c r="J395" s="51">
        <v>85000</v>
      </c>
      <c r="K395" s="52">
        <f>J395-M395</f>
        <v>6700</v>
      </c>
      <c r="L395" s="49" t="s">
        <v>94</v>
      </c>
      <c r="M395" s="53">
        <f>J395-N395</f>
        <v>78300</v>
      </c>
      <c r="N395" s="54">
        <f>2000+200+350+600+550+3000</f>
        <v>6700</v>
      </c>
      <c r="O395" s="55">
        <f>M395+N395</f>
        <v>85000</v>
      </c>
      <c r="P395" s="47">
        <v>120</v>
      </c>
      <c r="Q395" s="56">
        <v>85000</v>
      </c>
      <c r="R395" s="41">
        <f>O395-Q395</f>
        <v>0</v>
      </c>
      <c r="S395" s="67"/>
      <c r="T395" s="33" t="s">
        <v>263</v>
      </c>
      <c r="U395" s="57">
        <v>2000</v>
      </c>
      <c r="V395" s="57">
        <f>U395+O395</f>
        <v>87000</v>
      </c>
      <c r="W395" s="57">
        <f>V395/0.7</f>
        <v>124285.71428571429</v>
      </c>
      <c r="X395" s="58">
        <f>W395/0.875</f>
        <v>142040.81632653062</v>
      </c>
      <c r="Y395" s="59">
        <f>(X395-W395)/X395</f>
        <v>0.12500000000000003</v>
      </c>
      <c r="Z395" s="58">
        <f>(ROUNDUP((X395/100),0))*100</f>
        <v>142100</v>
      </c>
      <c r="AA395" s="58"/>
      <c r="AB395" s="58"/>
      <c r="AC395" s="180"/>
      <c r="AD395" s="180"/>
      <c r="AE395" s="176"/>
      <c r="AF395" s="176"/>
      <c r="AG395" s="176"/>
      <c r="AH395" s="176"/>
    </row>
    <row r="396" spans="1:35" s="91" customFormat="1" ht="14.45" customHeight="1" x14ac:dyDescent="0.2">
      <c r="A396" s="47">
        <v>501</v>
      </c>
      <c r="B396" s="48" t="str">
        <f>REPLACE(E396,1,3, )</f>
        <v xml:space="preserve"> 688</v>
      </c>
      <c r="C396" s="32" t="s">
        <v>995</v>
      </c>
      <c r="D396" s="49">
        <f>IF(E396=C396,0,1)</f>
        <v>0</v>
      </c>
      <c r="E396" s="77" t="s">
        <v>995</v>
      </c>
      <c r="F396" s="30" t="str">
        <f>REPLACE(E396,4,4, )</f>
        <v>SRO</v>
      </c>
      <c r="G396" s="33" t="s">
        <v>34</v>
      </c>
      <c r="H396" s="34" t="s">
        <v>974</v>
      </c>
      <c r="I396" s="33" t="s">
        <v>266</v>
      </c>
      <c r="J396" s="51">
        <v>80000</v>
      </c>
      <c r="K396" s="52">
        <f>J396-M396</f>
        <v>3950</v>
      </c>
      <c r="L396" s="49" t="s">
        <v>94</v>
      </c>
      <c r="M396" s="53">
        <f>J396-N396</f>
        <v>76050</v>
      </c>
      <c r="N396" s="54">
        <f>2000+200+350+600+800</f>
        <v>3950</v>
      </c>
      <c r="O396" s="55">
        <f>M396+N396</f>
        <v>80000</v>
      </c>
      <c r="P396" s="47">
        <v>501</v>
      </c>
      <c r="Q396" s="56">
        <v>80000</v>
      </c>
      <c r="R396" s="41">
        <f>O396-Q396</f>
        <v>0</v>
      </c>
      <c r="S396" s="67"/>
      <c r="T396" s="33" t="s">
        <v>98</v>
      </c>
      <c r="U396" s="57">
        <v>-6000</v>
      </c>
      <c r="V396" s="57">
        <f>U396+O396</f>
        <v>74000</v>
      </c>
      <c r="W396" s="57">
        <f>V396/0.7</f>
        <v>105714.28571428572</v>
      </c>
      <c r="X396" s="58">
        <f>W396/0.875</f>
        <v>120816.32653061226</v>
      </c>
      <c r="Y396" s="59">
        <f>(X396-W396)/X396</f>
        <v>0.12500000000000006</v>
      </c>
      <c r="Z396" s="58">
        <f>(ROUNDUP((X396/100),0))*100</f>
        <v>120900</v>
      </c>
      <c r="AA396" s="58"/>
      <c r="AB396" s="58"/>
      <c r="AC396" s="180"/>
      <c r="AD396" s="180"/>
      <c r="AE396" s="176"/>
      <c r="AF396" s="176"/>
      <c r="AG396" s="176"/>
      <c r="AH396" s="176"/>
    </row>
    <row r="397" spans="1:35" ht="14.45" customHeight="1" x14ac:dyDescent="0.2">
      <c r="A397" s="47">
        <v>486</v>
      </c>
      <c r="B397" s="48" t="str">
        <f>REPLACE(E397,1,3, )</f>
        <v xml:space="preserve"> 992</v>
      </c>
      <c r="C397" s="32" t="s">
        <v>966</v>
      </c>
      <c r="D397" s="49">
        <f>IF(E397=C397,0,1)</f>
        <v>0</v>
      </c>
      <c r="E397" s="49" t="s">
        <v>966</v>
      </c>
      <c r="F397" s="30" t="str">
        <f>REPLACE(E397,4,4, )</f>
        <v>SRO</v>
      </c>
      <c r="G397" s="33" t="s">
        <v>91</v>
      </c>
      <c r="H397" s="34" t="s">
        <v>963</v>
      </c>
      <c r="I397" s="33" t="s">
        <v>266</v>
      </c>
      <c r="J397" s="51">
        <v>80000</v>
      </c>
      <c r="K397" s="52">
        <f>J397-M397</f>
        <v>4250</v>
      </c>
      <c r="L397" s="49" t="s">
        <v>94</v>
      </c>
      <c r="M397" s="53">
        <f>J397-N397</f>
        <v>75750</v>
      </c>
      <c r="N397" s="53">
        <f>2000+200+350+600+300+800</f>
        <v>4250</v>
      </c>
      <c r="O397" s="55">
        <f>M397+N397</f>
        <v>80000</v>
      </c>
      <c r="P397" s="47">
        <v>486</v>
      </c>
      <c r="Q397" s="56">
        <v>80000</v>
      </c>
      <c r="R397" s="41">
        <f>O397-Q397</f>
        <v>0</v>
      </c>
      <c r="S397" s="67" t="s">
        <v>965</v>
      </c>
      <c r="T397" s="33" t="s">
        <v>284</v>
      </c>
      <c r="U397" s="57">
        <v>-1000</v>
      </c>
      <c r="V397" s="57">
        <f>U397+O397</f>
        <v>79000</v>
      </c>
      <c r="W397" s="57">
        <f>V397/0.7</f>
        <v>112857.14285714287</v>
      </c>
      <c r="X397" s="58">
        <f>W397/0.875</f>
        <v>128979.5918367347</v>
      </c>
      <c r="Y397" s="59">
        <f>(X397-W397)/X397</f>
        <v>0.12499999999999997</v>
      </c>
      <c r="Z397" s="58">
        <f>(ROUNDUP((X397/100),0))*100</f>
        <v>129000</v>
      </c>
      <c r="AA397" s="178"/>
      <c r="AB397" s="178"/>
      <c r="AC397" s="177"/>
      <c r="AD397" s="177"/>
      <c r="AE397" s="179"/>
      <c r="AF397" s="179"/>
      <c r="AG397" s="179"/>
      <c r="AH397" s="179"/>
      <c r="AI397" s="85"/>
    </row>
    <row r="398" spans="1:35" s="91" customFormat="1" ht="14.45" customHeight="1" x14ac:dyDescent="0.2">
      <c r="A398" s="47">
        <v>30</v>
      </c>
      <c r="B398" s="48" t="str">
        <f>REPLACE(E398,1,3, )</f>
        <v xml:space="preserve"> 140</v>
      </c>
      <c r="C398" s="32" t="s">
        <v>140</v>
      </c>
      <c r="D398" s="49">
        <f>IF(E398=C398,0,1)</f>
        <v>0</v>
      </c>
      <c r="E398" s="50" t="s">
        <v>140</v>
      </c>
      <c r="F398" s="30" t="str">
        <f>REPLACE(E398,4,4, )</f>
        <v>SRS</v>
      </c>
      <c r="G398" s="30" t="s">
        <v>34</v>
      </c>
      <c r="H398" s="34" t="s">
        <v>92</v>
      </c>
      <c r="I398" s="30" t="s">
        <v>100</v>
      </c>
      <c r="J398" s="51"/>
      <c r="K398" s="52">
        <f>J398-M398</f>
        <v>0</v>
      </c>
      <c r="L398" s="49"/>
      <c r="M398" s="53">
        <f>J398-N398</f>
        <v>0</v>
      </c>
      <c r="N398" s="54"/>
      <c r="O398" s="55">
        <f>M398+N398</f>
        <v>0</v>
      </c>
      <c r="P398" s="47">
        <v>30</v>
      </c>
      <c r="Q398" s="41"/>
      <c r="R398" s="41"/>
      <c r="S398" s="67"/>
      <c r="T398" s="33"/>
      <c r="U398" s="57"/>
      <c r="V398" s="57">
        <f>U398+O398</f>
        <v>0</v>
      </c>
      <c r="W398" s="57">
        <f>V398/0.7</f>
        <v>0</v>
      </c>
      <c r="X398" s="58">
        <f>W398/0.875</f>
        <v>0</v>
      </c>
      <c r="Y398" s="59" t="e">
        <f>(X398-W398)/X398</f>
        <v>#DIV/0!</v>
      </c>
      <c r="Z398" s="58">
        <f>(ROUNDUP((X398/100),0))*100</f>
        <v>0</v>
      </c>
      <c r="AA398" s="58"/>
      <c r="AB398" s="58"/>
      <c r="AC398" s="180"/>
      <c r="AD398" s="180"/>
      <c r="AE398" s="176"/>
      <c r="AF398" s="176"/>
      <c r="AG398" s="176"/>
      <c r="AH398" s="176"/>
    </row>
    <row r="399" spans="1:35" s="91" customFormat="1" ht="14.45" customHeight="1" x14ac:dyDescent="0.2">
      <c r="A399" s="47">
        <v>4</v>
      </c>
      <c r="B399" s="48" t="str">
        <f>REPLACE(E399,1,3, )</f>
        <v xml:space="preserve"> 149</v>
      </c>
      <c r="C399" s="32" t="s">
        <v>99</v>
      </c>
      <c r="D399" s="49">
        <f>IF(E399=C399,0,1)</f>
        <v>0</v>
      </c>
      <c r="E399" s="47" t="s">
        <v>99</v>
      </c>
      <c r="F399" s="30" t="str">
        <f>REPLACE(E399,4,4, )</f>
        <v>SRS</v>
      </c>
      <c r="G399" s="30" t="s">
        <v>91</v>
      </c>
      <c r="H399" s="34" t="s">
        <v>92</v>
      </c>
      <c r="I399" s="30" t="s">
        <v>100</v>
      </c>
      <c r="J399" s="51">
        <v>80000</v>
      </c>
      <c r="K399" s="52">
        <f>J399-M399</f>
        <v>3950</v>
      </c>
      <c r="L399" s="49" t="s">
        <v>94</v>
      </c>
      <c r="M399" s="53">
        <f>J399-N399</f>
        <v>76050</v>
      </c>
      <c r="N399" s="53">
        <f>2000+200+350+600+800</f>
        <v>3950</v>
      </c>
      <c r="O399" s="55">
        <f>M399+N399</f>
        <v>80000</v>
      </c>
      <c r="P399" s="47">
        <v>4</v>
      </c>
      <c r="Q399" s="56">
        <v>80000</v>
      </c>
      <c r="R399" s="41">
        <f>O399-Q399</f>
        <v>0</v>
      </c>
      <c r="S399" s="42"/>
      <c r="T399" s="49"/>
      <c r="U399" s="57">
        <v>1000</v>
      </c>
      <c r="V399" s="57">
        <f>U399+O399</f>
        <v>81000</v>
      </c>
      <c r="W399" s="57">
        <f>V399/0.7</f>
        <v>115714.28571428572</v>
      </c>
      <c r="X399" s="58">
        <f>W399/0.875</f>
        <v>132244.8979591837</v>
      </c>
      <c r="Y399" s="59">
        <f>(X399-W399)/X399</f>
        <v>0.12500000000000008</v>
      </c>
      <c r="Z399" s="58">
        <f>(ROUNDUP((X399/100),0))*100</f>
        <v>132300</v>
      </c>
      <c r="AA399" s="178"/>
      <c r="AB399" s="178"/>
      <c r="AC399" s="177"/>
      <c r="AD399" s="177"/>
      <c r="AE399" s="179"/>
      <c r="AF399" s="179"/>
      <c r="AG399" s="179"/>
      <c r="AH399" s="179"/>
    </row>
    <row r="400" spans="1:35" ht="14.45" customHeight="1" x14ac:dyDescent="0.2">
      <c r="A400" s="47">
        <v>34</v>
      </c>
      <c r="B400" s="48" t="str">
        <f>REPLACE(E400,1,3, )</f>
        <v xml:space="preserve"> 482</v>
      </c>
      <c r="C400" s="70" t="s">
        <v>147</v>
      </c>
      <c r="D400" s="49">
        <f>IF(E400=C400,0,1)</f>
        <v>0</v>
      </c>
      <c r="E400" s="50" t="s">
        <v>147</v>
      </c>
      <c r="F400" s="30" t="str">
        <f>REPLACE(E400,4,4, )</f>
        <v>SRS</v>
      </c>
      <c r="G400" s="30" t="s">
        <v>34</v>
      </c>
      <c r="H400" s="34" t="s">
        <v>92</v>
      </c>
      <c r="I400" s="30" t="s">
        <v>100</v>
      </c>
      <c r="J400" s="51"/>
      <c r="K400" s="52">
        <f>J400-M400</f>
        <v>0</v>
      </c>
      <c r="L400" s="49"/>
      <c r="M400" s="53">
        <f>J400-N400</f>
        <v>0</v>
      </c>
      <c r="N400" s="54"/>
      <c r="O400" s="55">
        <f>M400+N400</f>
        <v>0</v>
      </c>
      <c r="P400" s="47">
        <v>34</v>
      </c>
      <c r="Q400" s="41"/>
      <c r="R400" s="41"/>
      <c r="S400" s="67"/>
      <c r="T400" s="33"/>
      <c r="U400" s="57"/>
      <c r="V400" s="57">
        <f>U400+O400</f>
        <v>0</v>
      </c>
      <c r="W400" s="57">
        <f>V400/0.7</f>
        <v>0</v>
      </c>
      <c r="X400" s="58">
        <f>W400/0.875</f>
        <v>0</v>
      </c>
      <c r="Y400" s="59" t="e">
        <f>(X400-W400)/X400</f>
        <v>#DIV/0!</v>
      </c>
      <c r="Z400" s="58">
        <f>(ROUNDUP((X400/100),0))*100</f>
        <v>0</v>
      </c>
      <c r="AA400" s="58"/>
      <c r="AB400" s="58"/>
      <c r="AC400" s="180"/>
      <c r="AD400" s="180"/>
      <c r="AE400" s="176"/>
      <c r="AF400" s="176"/>
      <c r="AG400" s="176"/>
      <c r="AH400" s="176"/>
      <c r="AI400" s="85"/>
    </row>
    <row r="401" spans="1:35" ht="14.45" customHeight="1" x14ac:dyDescent="0.2">
      <c r="A401" s="47">
        <v>28</v>
      </c>
      <c r="B401" s="48" t="str">
        <f>REPLACE(E401,1,3, )</f>
        <v xml:space="preserve"> 574</v>
      </c>
      <c r="C401" s="32" t="s">
        <v>138</v>
      </c>
      <c r="D401" s="49">
        <f>IF(E401=C401,0,1)</f>
        <v>0</v>
      </c>
      <c r="E401" s="47" t="s">
        <v>138</v>
      </c>
      <c r="F401" s="30" t="str">
        <f>REPLACE(E401,4,4, )</f>
        <v>SRS</v>
      </c>
      <c r="G401" s="30" t="s">
        <v>91</v>
      </c>
      <c r="H401" s="34" t="s">
        <v>92</v>
      </c>
      <c r="I401" s="30" t="s">
        <v>100</v>
      </c>
      <c r="J401" s="51">
        <v>80000</v>
      </c>
      <c r="K401" s="52">
        <f>J401-M401</f>
        <v>3950</v>
      </c>
      <c r="L401" s="49" t="s">
        <v>94</v>
      </c>
      <c r="M401" s="53">
        <f>J401-N401</f>
        <v>76050</v>
      </c>
      <c r="N401" s="53">
        <f>2000+200+350+600+800</f>
        <v>3950</v>
      </c>
      <c r="O401" s="55">
        <f>M401+N401</f>
        <v>80000</v>
      </c>
      <c r="P401" s="47">
        <v>28</v>
      </c>
      <c r="Q401" s="56">
        <v>80000</v>
      </c>
      <c r="R401" s="41">
        <f>O401-Q401</f>
        <v>0</v>
      </c>
      <c r="S401" s="67"/>
      <c r="T401" s="33"/>
      <c r="U401" s="57">
        <v>1000</v>
      </c>
      <c r="V401" s="57">
        <f>U401+O401</f>
        <v>81000</v>
      </c>
      <c r="W401" s="57">
        <f>V401/0.7</f>
        <v>115714.28571428572</v>
      </c>
      <c r="X401" s="58">
        <f>W401/0.875</f>
        <v>132244.8979591837</v>
      </c>
      <c r="Y401" s="59">
        <f>(X401-W401)/X401</f>
        <v>0.12500000000000008</v>
      </c>
      <c r="Z401" s="58">
        <f>(ROUNDUP((X401/100),0))*100</f>
        <v>132300</v>
      </c>
      <c r="AA401" s="178"/>
      <c r="AB401" s="178"/>
      <c r="AC401" s="177"/>
      <c r="AD401" s="177"/>
      <c r="AE401" s="179"/>
      <c r="AF401" s="179"/>
      <c r="AG401" s="179"/>
      <c r="AH401" s="179"/>
      <c r="AI401" s="85"/>
    </row>
    <row r="402" spans="1:35" ht="14.45" customHeight="1" x14ac:dyDescent="0.2">
      <c r="A402" s="47">
        <v>19</v>
      </c>
      <c r="B402" s="48" t="str">
        <f>REPLACE(E402,1,3, )</f>
        <v xml:space="preserve"> 591</v>
      </c>
      <c r="C402" s="32" t="s">
        <v>124</v>
      </c>
      <c r="D402" s="49">
        <f>IF(E402=C402,0,1)</f>
        <v>0</v>
      </c>
      <c r="E402" s="50" t="s">
        <v>124</v>
      </c>
      <c r="F402" s="30" t="str">
        <f>REPLACE(E402,4,4, )</f>
        <v>SRS</v>
      </c>
      <c r="G402" s="30" t="s">
        <v>34</v>
      </c>
      <c r="H402" s="34" t="s">
        <v>92</v>
      </c>
      <c r="I402" s="30" t="s">
        <v>100</v>
      </c>
      <c r="J402" s="51"/>
      <c r="K402" s="52">
        <f>J402-M402</f>
        <v>0</v>
      </c>
      <c r="L402" s="49"/>
      <c r="M402" s="53">
        <f>J402-N402</f>
        <v>0</v>
      </c>
      <c r="N402" s="53"/>
      <c r="O402" s="55">
        <f>M402+N402</f>
        <v>0</v>
      </c>
      <c r="P402" s="47">
        <v>19</v>
      </c>
      <c r="Q402" s="41"/>
      <c r="R402" s="41"/>
      <c r="S402" s="67"/>
      <c r="T402" s="33"/>
      <c r="U402" s="57"/>
      <c r="V402" s="57">
        <f>U402+O402</f>
        <v>0</v>
      </c>
      <c r="W402" s="57">
        <f>V402/0.7</f>
        <v>0</v>
      </c>
      <c r="X402" s="58">
        <f>W402/0.875</f>
        <v>0</v>
      </c>
      <c r="Y402" s="59" t="e">
        <f>(X402-W402)/X402</f>
        <v>#DIV/0!</v>
      </c>
      <c r="Z402" s="58">
        <f>(ROUNDUP((X402/100),0))*100</f>
        <v>0</v>
      </c>
      <c r="AA402" s="58"/>
      <c r="AB402" s="58"/>
      <c r="AC402" s="180"/>
      <c r="AD402" s="180"/>
      <c r="AE402" s="176"/>
      <c r="AF402" s="176"/>
      <c r="AG402" s="176"/>
      <c r="AH402" s="176"/>
      <c r="AI402" s="85"/>
    </row>
    <row r="403" spans="1:35" s="91" customFormat="1" ht="14.45" customHeight="1" x14ac:dyDescent="0.2">
      <c r="A403" s="47">
        <v>27</v>
      </c>
      <c r="B403" s="48" t="str">
        <f>REPLACE(E403,1,3, )</f>
        <v xml:space="preserve"> 630</v>
      </c>
      <c r="C403" s="32" t="s">
        <v>137</v>
      </c>
      <c r="D403" s="49">
        <f>IF(E403=C403,0,1)</f>
        <v>0</v>
      </c>
      <c r="E403" s="50" t="s">
        <v>137</v>
      </c>
      <c r="F403" s="30" t="str">
        <f>REPLACE(E403,4,4, )</f>
        <v>SRS</v>
      </c>
      <c r="G403" s="30" t="s">
        <v>34</v>
      </c>
      <c r="H403" s="34" t="s">
        <v>92</v>
      </c>
      <c r="I403" s="30" t="s">
        <v>100</v>
      </c>
      <c r="J403" s="51"/>
      <c r="K403" s="52">
        <f>J403-M403</f>
        <v>0</v>
      </c>
      <c r="L403" s="49"/>
      <c r="M403" s="53">
        <f>J403-N403</f>
        <v>0</v>
      </c>
      <c r="N403" s="54"/>
      <c r="O403" s="55">
        <f>M403+N403</f>
        <v>0</v>
      </c>
      <c r="P403" s="47">
        <v>27</v>
      </c>
      <c r="Q403" s="41"/>
      <c r="R403" s="41"/>
      <c r="S403" s="67"/>
      <c r="T403" s="33"/>
      <c r="U403" s="57"/>
      <c r="V403" s="57">
        <f>U403+O403</f>
        <v>0</v>
      </c>
      <c r="W403" s="57">
        <f>V403/0.7</f>
        <v>0</v>
      </c>
      <c r="X403" s="58">
        <f>W403/0.875</f>
        <v>0</v>
      </c>
      <c r="Y403" s="59" t="e">
        <f>(X403-W403)/X403</f>
        <v>#DIV/0!</v>
      </c>
      <c r="Z403" s="58">
        <f>(ROUNDUP((X403/100),0))*100</f>
        <v>0</v>
      </c>
      <c r="AA403" s="58"/>
      <c r="AB403" s="58"/>
      <c r="AC403" s="180"/>
      <c r="AD403" s="180"/>
      <c r="AE403" s="176"/>
      <c r="AF403" s="176"/>
      <c r="AG403" s="176"/>
      <c r="AH403" s="176"/>
    </row>
    <row r="404" spans="1:35" s="91" customFormat="1" ht="14.45" customHeight="1" x14ac:dyDescent="0.2">
      <c r="A404" s="47">
        <v>17</v>
      </c>
      <c r="B404" s="48" t="str">
        <f>REPLACE(E404,1,3, )</f>
        <v xml:space="preserve"> 893</v>
      </c>
      <c r="C404" s="32" t="s">
        <v>122</v>
      </c>
      <c r="D404" s="49">
        <f>IF(E404=C404,0,1)</f>
        <v>0</v>
      </c>
      <c r="E404" s="50" t="s">
        <v>122</v>
      </c>
      <c r="F404" s="30" t="str">
        <f>REPLACE(E404,4,4, )</f>
        <v>SRS</v>
      </c>
      <c r="G404" s="30" t="s">
        <v>34</v>
      </c>
      <c r="H404" s="34" t="s">
        <v>92</v>
      </c>
      <c r="I404" s="30" t="s">
        <v>100</v>
      </c>
      <c r="J404" s="51"/>
      <c r="K404" s="52">
        <f>J404-M404</f>
        <v>0</v>
      </c>
      <c r="L404" s="49"/>
      <c r="M404" s="53">
        <f>J404-N404</f>
        <v>0</v>
      </c>
      <c r="N404" s="53"/>
      <c r="O404" s="55">
        <f>M404+N404</f>
        <v>0</v>
      </c>
      <c r="P404" s="47">
        <v>17</v>
      </c>
      <c r="Q404" s="41"/>
      <c r="R404" s="41"/>
      <c r="S404" s="67"/>
      <c r="T404" s="33"/>
      <c r="U404" s="57"/>
      <c r="V404" s="57">
        <f>U404+O404</f>
        <v>0</v>
      </c>
      <c r="W404" s="57">
        <f>V404/0.7</f>
        <v>0</v>
      </c>
      <c r="X404" s="58">
        <f>W404/0.875</f>
        <v>0</v>
      </c>
      <c r="Y404" s="59" t="e">
        <f>(X404-W404)/X404</f>
        <v>#DIV/0!</v>
      </c>
      <c r="Z404" s="58">
        <f>(ROUNDUP((X404/100),0))*100</f>
        <v>0</v>
      </c>
      <c r="AA404" s="58"/>
      <c r="AB404" s="58"/>
      <c r="AC404" s="180"/>
      <c r="AD404" s="180"/>
      <c r="AE404" s="176"/>
      <c r="AF404" s="176"/>
      <c r="AG404" s="176"/>
      <c r="AH404" s="176"/>
    </row>
    <row r="405" spans="1:35" s="91" customFormat="1" ht="14.45" customHeight="1" x14ac:dyDescent="0.2">
      <c r="A405" s="47">
        <v>12</v>
      </c>
      <c r="B405" s="48" t="str">
        <f>REPLACE(E405,1,3, )</f>
        <v xml:space="preserve"> 924</v>
      </c>
      <c r="C405" s="32" t="s">
        <v>117</v>
      </c>
      <c r="D405" s="49">
        <f>IF(E405=C405,0,1)</f>
        <v>0</v>
      </c>
      <c r="E405" s="50" t="s">
        <v>117</v>
      </c>
      <c r="F405" s="30" t="str">
        <f>REPLACE(E405,4,4, )</f>
        <v>SRS</v>
      </c>
      <c r="G405" s="30" t="s">
        <v>34</v>
      </c>
      <c r="H405" s="34" t="s">
        <v>92</v>
      </c>
      <c r="I405" s="30" t="s">
        <v>100</v>
      </c>
      <c r="J405" s="51"/>
      <c r="K405" s="52">
        <f>J405-M405</f>
        <v>0</v>
      </c>
      <c r="L405" s="49"/>
      <c r="M405" s="53">
        <f>J405-N405</f>
        <v>0</v>
      </c>
      <c r="N405" s="53"/>
      <c r="O405" s="55">
        <f>M405+N405</f>
        <v>0</v>
      </c>
      <c r="P405" s="47">
        <v>12</v>
      </c>
      <c r="Q405" s="41"/>
      <c r="R405" s="41"/>
      <c r="S405" s="67"/>
      <c r="T405" s="33"/>
      <c r="U405" s="57"/>
      <c r="V405" s="57">
        <f>U405+O405</f>
        <v>0</v>
      </c>
      <c r="W405" s="57">
        <f>V405/0.7</f>
        <v>0</v>
      </c>
      <c r="X405" s="58">
        <f>W405/0.875</f>
        <v>0</v>
      </c>
      <c r="Y405" s="59" t="e">
        <f>(X405-W405)/X405</f>
        <v>#DIV/0!</v>
      </c>
      <c r="Z405" s="58">
        <f>(ROUNDUP((X405/100),0))*100</f>
        <v>0</v>
      </c>
      <c r="AA405" s="58"/>
      <c r="AB405" s="58"/>
      <c r="AC405" s="180"/>
      <c r="AD405" s="180"/>
      <c r="AE405" s="176"/>
      <c r="AF405" s="176"/>
      <c r="AG405" s="176"/>
      <c r="AH405" s="176"/>
    </row>
    <row r="406" spans="1:35" ht="14.45" customHeight="1" x14ac:dyDescent="0.2">
      <c r="A406" s="47">
        <v>22</v>
      </c>
      <c r="B406" s="48" t="str">
        <f>REPLACE(E406,1,3, )</f>
        <v xml:space="preserve"> 945</v>
      </c>
      <c r="C406" s="32" t="s">
        <v>128</v>
      </c>
      <c r="D406" s="49">
        <f>IF(E406=C406,0,1)</f>
        <v>0</v>
      </c>
      <c r="E406" s="50" t="s">
        <v>128</v>
      </c>
      <c r="F406" s="30" t="str">
        <f>REPLACE(E406,4,4, )</f>
        <v>SRS</v>
      </c>
      <c r="G406" s="30" t="s">
        <v>34</v>
      </c>
      <c r="H406" s="34" t="s">
        <v>92</v>
      </c>
      <c r="I406" s="30" t="s">
        <v>100</v>
      </c>
      <c r="J406" s="51"/>
      <c r="K406" s="52">
        <f>J406-M406</f>
        <v>0</v>
      </c>
      <c r="L406" s="49"/>
      <c r="M406" s="53">
        <f>J406-N406</f>
        <v>0</v>
      </c>
      <c r="N406" s="53"/>
      <c r="O406" s="55">
        <f>M406+N406</f>
        <v>0</v>
      </c>
      <c r="P406" s="47">
        <v>22</v>
      </c>
      <c r="Q406" s="41"/>
      <c r="R406" s="41"/>
      <c r="S406" s="67"/>
      <c r="T406" s="33"/>
      <c r="U406" s="57"/>
      <c r="V406" s="57">
        <f>U406+O406</f>
        <v>0</v>
      </c>
      <c r="W406" s="57">
        <f>V406/0.7</f>
        <v>0</v>
      </c>
      <c r="X406" s="58">
        <f>W406/0.875</f>
        <v>0</v>
      </c>
      <c r="Y406" s="59" t="e">
        <f>(X406-W406)/X406</f>
        <v>#DIV/0!</v>
      </c>
      <c r="Z406" s="58">
        <f>(ROUNDUP((X406/100),0))*100</f>
        <v>0</v>
      </c>
      <c r="AA406" s="58"/>
      <c r="AB406" s="58"/>
      <c r="AC406" s="180"/>
      <c r="AD406" s="180"/>
      <c r="AE406" s="176"/>
      <c r="AF406" s="176"/>
      <c r="AG406" s="176"/>
      <c r="AH406" s="176"/>
      <c r="AI406" s="85"/>
    </row>
    <row r="407" spans="1:35" s="91" customFormat="1" ht="14.45" customHeight="1" x14ac:dyDescent="0.2">
      <c r="A407" s="47">
        <v>18</v>
      </c>
      <c r="B407" s="48" t="str">
        <f>REPLACE(E407,1,3, )</f>
        <v xml:space="preserve"> 958</v>
      </c>
      <c r="C407" s="32" t="s">
        <v>123</v>
      </c>
      <c r="D407" s="49">
        <f>IF(E407=C407,0,1)</f>
        <v>0</v>
      </c>
      <c r="E407" s="50" t="s">
        <v>123</v>
      </c>
      <c r="F407" s="30" t="str">
        <f>REPLACE(E407,4,4, )</f>
        <v>SRS</v>
      </c>
      <c r="G407" s="30" t="s">
        <v>34</v>
      </c>
      <c r="H407" s="34" t="s">
        <v>92</v>
      </c>
      <c r="I407" s="30" t="s">
        <v>100</v>
      </c>
      <c r="J407" s="51"/>
      <c r="K407" s="52">
        <f>J407-M407</f>
        <v>0</v>
      </c>
      <c r="L407" s="49"/>
      <c r="M407" s="53">
        <f>J407-N407</f>
        <v>0</v>
      </c>
      <c r="N407" s="53"/>
      <c r="O407" s="55">
        <f>M407+N407</f>
        <v>0</v>
      </c>
      <c r="P407" s="47">
        <v>18</v>
      </c>
      <c r="Q407" s="41"/>
      <c r="R407" s="41"/>
      <c r="S407" s="67"/>
      <c r="T407" s="33"/>
      <c r="U407" s="57"/>
      <c r="V407" s="57">
        <f>U407+O407</f>
        <v>0</v>
      </c>
      <c r="W407" s="57">
        <f>V407/0.7</f>
        <v>0</v>
      </c>
      <c r="X407" s="58">
        <f>W407/0.875</f>
        <v>0</v>
      </c>
      <c r="Y407" s="59" t="e">
        <f>(X407-W407)/X407</f>
        <v>#DIV/0!</v>
      </c>
      <c r="Z407" s="58">
        <f>(ROUNDUP((X407/100),0))*100</f>
        <v>0</v>
      </c>
      <c r="AA407" s="58"/>
      <c r="AB407" s="58"/>
      <c r="AC407" s="180"/>
      <c r="AD407" s="180"/>
      <c r="AE407" s="176"/>
      <c r="AF407" s="176"/>
      <c r="AG407" s="176"/>
      <c r="AH407" s="176"/>
    </row>
    <row r="408" spans="1:35" ht="14.45" customHeight="1" x14ac:dyDescent="0.2">
      <c r="A408" s="47">
        <v>78</v>
      </c>
      <c r="B408" s="48" t="str">
        <f>REPLACE(E408,1,3, )</f>
        <v xml:space="preserve"> 172</v>
      </c>
      <c r="C408" s="70" t="s">
        <v>217</v>
      </c>
      <c r="D408" s="49">
        <f>IF(E408=C408,0,1)</f>
        <v>0</v>
      </c>
      <c r="E408" s="47" t="s">
        <v>217</v>
      </c>
      <c r="F408" s="30" t="str">
        <f>REPLACE(E408,4,4, )</f>
        <v>SRT</v>
      </c>
      <c r="G408" s="30" t="s">
        <v>91</v>
      </c>
      <c r="H408" s="34" t="s">
        <v>178</v>
      </c>
      <c r="I408" s="30" t="s">
        <v>116</v>
      </c>
      <c r="J408" s="51">
        <f>M408</f>
        <v>116000</v>
      </c>
      <c r="K408" s="68">
        <f>J408-M408</f>
        <v>0</v>
      </c>
      <c r="L408" s="60" t="s">
        <v>97</v>
      </c>
      <c r="M408" s="62">
        <v>116000</v>
      </c>
      <c r="N408" s="53">
        <f>2000+200+350+600+3100</f>
        <v>6250</v>
      </c>
      <c r="O408" s="55">
        <f>M408+N408</f>
        <v>122250</v>
      </c>
      <c r="P408" s="47">
        <v>78</v>
      </c>
      <c r="Q408" s="56">
        <v>122250</v>
      </c>
      <c r="R408" s="41">
        <f>O408-Q408</f>
        <v>0</v>
      </c>
      <c r="S408" s="67"/>
      <c r="T408" s="33" t="s">
        <v>185</v>
      </c>
      <c r="U408" s="57"/>
      <c r="V408" s="57">
        <f>U408+O408</f>
        <v>122250</v>
      </c>
      <c r="W408" s="57">
        <f>V408/0.7</f>
        <v>174642.85714285716</v>
      </c>
      <c r="X408" s="58">
        <f>W408/0.875</f>
        <v>199591.8367346939</v>
      </c>
      <c r="Y408" s="59">
        <f>(X408-W408)/X408</f>
        <v>0.12500000000000003</v>
      </c>
      <c r="Z408" s="58">
        <f>(ROUNDUP((X408/100),0))*100</f>
        <v>199600</v>
      </c>
      <c r="AA408" s="178" t="s">
        <v>1780</v>
      </c>
      <c r="AB408" s="224">
        <v>43438</v>
      </c>
      <c r="AC408" s="177"/>
      <c r="AD408" s="177"/>
      <c r="AE408" s="179"/>
      <c r="AF408" s="179"/>
      <c r="AG408" s="179"/>
      <c r="AH408" s="179"/>
      <c r="AI408" s="85"/>
    </row>
    <row r="409" spans="1:35" s="91" customFormat="1" ht="14.45" customHeight="1" x14ac:dyDescent="0.2">
      <c r="A409" s="47">
        <v>489</v>
      </c>
      <c r="B409" s="48" t="str">
        <f>REPLACE(E409,1,3, )</f>
        <v xml:space="preserve"> 197</v>
      </c>
      <c r="C409" s="32" t="s">
        <v>970</v>
      </c>
      <c r="D409" s="49">
        <f>IF(E409=C409,0,1)</f>
        <v>0</v>
      </c>
      <c r="E409" s="47" t="s">
        <v>970</v>
      </c>
      <c r="F409" s="30" t="str">
        <f>REPLACE(E409,4,4, )</f>
        <v>SRT</v>
      </c>
      <c r="G409" s="30" t="s">
        <v>91</v>
      </c>
      <c r="H409" s="34" t="s">
        <v>971</v>
      </c>
      <c r="I409" s="30" t="s">
        <v>116</v>
      </c>
      <c r="J409" s="51">
        <f>M409</f>
        <v>52000</v>
      </c>
      <c r="K409" s="68">
        <f>J409-M409</f>
        <v>0</v>
      </c>
      <c r="L409" s="60" t="s">
        <v>97</v>
      </c>
      <c r="M409" s="62">
        <v>52000</v>
      </c>
      <c r="N409" s="53">
        <f>2000+200+350+600+800</f>
        <v>3950</v>
      </c>
      <c r="O409" s="55">
        <f>M409+N409</f>
        <v>55950</v>
      </c>
      <c r="P409" s="47">
        <v>489</v>
      </c>
      <c r="Q409" s="56">
        <v>55950</v>
      </c>
      <c r="R409" s="41">
        <f>O409-Q409</f>
        <v>0</v>
      </c>
      <c r="S409" s="67"/>
      <c r="T409" s="33" t="s">
        <v>972</v>
      </c>
      <c r="U409" s="57"/>
      <c r="V409" s="57">
        <f>U409+O409</f>
        <v>55950</v>
      </c>
      <c r="W409" s="57">
        <f>V409/0.7</f>
        <v>79928.571428571435</v>
      </c>
      <c r="X409" s="58">
        <f>W409/0.875</f>
        <v>91346.938775510207</v>
      </c>
      <c r="Y409" s="59">
        <f>(X409-W409)/X409</f>
        <v>0.12499999999999996</v>
      </c>
      <c r="Z409" s="58">
        <f>(ROUNDUP((X409/100),0))*100</f>
        <v>91400</v>
      </c>
      <c r="AA409" s="178" t="s">
        <v>1780</v>
      </c>
      <c r="AB409" s="224">
        <v>43438</v>
      </c>
      <c r="AC409" s="177"/>
      <c r="AD409" s="177"/>
      <c r="AE409" s="179"/>
      <c r="AF409" s="179"/>
      <c r="AG409" s="179"/>
      <c r="AH409" s="179"/>
    </row>
    <row r="410" spans="1:35" s="91" customFormat="1" ht="14.45" customHeight="1" x14ac:dyDescent="0.2">
      <c r="A410" s="47">
        <v>93</v>
      </c>
      <c r="B410" s="48" t="str">
        <f>REPLACE(E410,1,3, )</f>
        <v xml:space="preserve"> 282</v>
      </c>
      <c r="C410" s="70" t="s">
        <v>250</v>
      </c>
      <c r="D410" s="49">
        <f>IF(E410=C410,0,1)</f>
        <v>0</v>
      </c>
      <c r="E410" s="47" t="s">
        <v>250</v>
      </c>
      <c r="F410" s="30" t="str">
        <f>REPLACE(E410,4,4, )</f>
        <v>SRT</v>
      </c>
      <c r="G410" s="30" t="s">
        <v>91</v>
      </c>
      <c r="H410" s="34" t="s">
        <v>245</v>
      </c>
      <c r="I410" s="30" t="s">
        <v>116</v>
      </c>
      <c r="J410" s="51">
        <f>M410</f>
        <v>48000</v>
      </c>
      <c r="K410" s="68">
        <f>J410-M410</f>
        <v>0</v>
      </c>
      <c r="L410" s="60" t="s">
        <v>97</v>
      </c>
      <c r="M410" s="62">
        <v>48000</v>
      </c>
      <c r="N410" s="53">
        <f>2000+200+600+800</f>
        <v>3600</v>
      </c>
      <c r="O410" s="55">
        <f>M410+N410</f>
        <v>51600</v>
      </c>
      <c r="P410" s="47">
        <v>93</v>
      </c>
      <c r="Q410" s="56">
        <v>51600</v>
      </c>
      <c r="R410" s="41">
        <f>O410-Q410</f>
        <v>0</v>
      </c>
      <c r="S410" s="67"/>
      <c r="T410" s="33" t="s">
        <v>246</v>
      </c>
      <c r="U410" s="57">
        <v>-1000</v>
      </c>
      <c r="V410" s="57">
        <f>U410+O410</f>
        <v>50600</v>
      </c>
      <c r="W410" s="57">
        <f>V410/0.7</f>
        <v>72285.71428571429</v>
      </c>
      <c r="X410" s="58">
        <f>W410/0.875</f>
        <v>82612.244897959186</v>
      </c>
      <c r="Y410" s="59">
        <f>(X410-W410)/X410</f>
        <v>0.12499999999999997</v>
      </c>
      <c r="Z410" s="58">
        <f>(ROUNDUP((X410/100),0))*100</f>
        <v>82700</v>
      </c>
      <c r="AA410" s="178"/>
      <c r="AB410" s="178"/>
      <c r="AC410" s="177"/>
      <c r="AD410" s="177"/>
      <c r="AE410" s="179"/>
      <c r="AF410" s="179"/>
      <c r="AG410" s="179"/>
      <c r="AH410" s="179"/>
    </row>
    <row r="411" spans="1:35" s="91" customFormat="1" ht="14.45" customHeight="1" x14ac:dyDescent="0.2">
      <c r="A411" s="47">
        <v>57</v>
      </c>
      <c r="B411" s="48" t="str">
        <f>REPLACE(E411,1,3, )</f>
        <v xml:space="preserve"> 628</v>
      </c>
      <c r="C411" s="70" t="s">
        <v>184</v>
      </c>
      <c r="D411" s="49">
        <f>IF(E411=C411,0,1)</f>
        <v>0</v>
      </c>
      <c r="E411" s="47" t="s">
        <v>184</v>
      </c>
      <c r="F411" s="30" t="str">
        <f>REPLACE(E411,4,4, )</f>
        <v>SRT</v>
      </c>
      <c r="G411" s="30" t="s">
        <v>91</v>
      </c>
      <c r="H411" s="34" t="s">
        <v>178</v>
      </c>
      <c r="I411" s="30" t="s">
        <v>116</v>
      </c>
      <c r="J411" s="51">
        <f>M411</f>
        <v>112500</v>
      </c>
      <c r="K411" s="68">
        <f>J411-M411</f>
        <v>0</v>
      </c>
      <c r="L411" s="60" t="s">
        <v>97</v>
      </c>
      <c r="M411" s="62">
        <v>112500</v>
      </c>
      <c r="N411" s="53">
        <f>2000+200+350+600+3100</f>
        <v>6250</v>
      </c>
      <c r="O411" s="55">
        <f>M411+N411</f>
        <v>118750</v>
      </c>
      <c r="P411" s="47">
        <v>57</v>
      </c>
      <c r="Q411" s="56">
        <v>118750</v>
      </c>
      <c r="R411" s="41">
        <f>O411-Q411</f>
        <v>0</v>
      </c>
      <c r="S411" s="67"/>
      <c r="T411" s="33" t="s">
        <v>185</v>
      </c>
      <c r="U411" s="57"/>
      <c r="V411" s="57">
        <f>U411+O411</f>
        <v>118750</v>
      </c>
      <c r="W411" s="57">
        <f>V411/0.7</f>
        <v>169642.85714285716</v>
      </c>
      <c r="X411" s="58">
        <f>W411/0.875</f>
        <v>193877.55102040819</v>
      </c>
      <c r="Y411" s="59">
        <f>(X411-W411)/X411</f>
        <v>0.12500000000000006</v>
      </c>
      <c r="Z411" s="58">
        <f>(ROUNDUP((X411/100),0))*100</f>
        <v>193900</v>
      </c>
      <c r="AA411" s="178"/>
      <c r="AB411" s="178"/>
      <c r="AC411" s="177"/>
      <c r="AD411" s="177"/>
      <c r="AE411" s="179"/>
      <c r="AF411" s="179"/>
      <c r="AG411" s="179"/>
      <c r="AH411" s="179"/>
    </row>
    <row r="412" spans="1:35" ht="14.45" customHeight="1" x14ac:dyDescent="0.2">
      <c r="A412" s="47">
        <v>493</v>
      </c>
      <c r="B412" s="48" t="str">
        <f>REPLACE(E412,1,3, )</f>
        <v xml:space="preserve"> 715</v>
      </c>
      <c r="C412" s="32" t="s">
        <v>979</v>
      </c>
      <c r="D412" s="49">
        <f>IF(E412=C412,0,1)</f>
        <v>0</v>
      </c>
      <c r="E412" s="47" t="s">
        <v>979</v>
      </c>
      <c r="F412" s="30" t="str">
        <f>REPLACE(E412,4,4, )</f>
        <v>SRT</v>
      </c>
      <c r="G412" s="30" t="s">
        <v>91</v>
      </c>
      <c r="H412" s="34" t="s">
        <v>980</v>
      </c>
      <c r="I412" s="30" t="s">
        <v>116</v>
      </c>
      <c r="J412" s="51">
        <f>M412</f>
        <v>77500</v>
      </c>
      <c r="K412" s="68">
        <f>J412-M412</f>
        <v>0</v>
      </c>
      <c r="L412" s="60" t="s">
        <v>97</v>
      </c>
      <c r="M412" s="62">
        <v>77500</v>
      </c>
      <c r="N412" s="53">
        <f>2000+400+350+600+800</f>
        <v>4150</v>
      </c>
      <c r="O412" s="55">
        <f>M412+N412</f>
        <v>81650</v>
      </c>
      <c r="P412" s="47">
        <v>493</v>
      </c>
      <c r="Q412" s="56">
        <v>81650</v>
      </c>
      <c r="R412" s="41">
        <f>O412-Q412</f>
        <v>0</v>
      </c>
      <c r="S412" s="67"/>
      <c r="T412" s="33" t="s">
        <v>98</v>
      </c>
      <c r="U412" s="57"/>
      <c r="V412" s="57">
        <f>U412+O412</f>
        <v>81650</v>
      </c>
      <c r="W412" s="57">
        <f>V412/0.7</f>
        <v>116642.85714285714</v>
      </c>
      <c r="X412" s="58">
        <f>W412/0.875</f>
        <v>133306.12244897959</v>
      </c>
      <c r="Y412" s="59">
        <f>(X412-W412)/X412</f>
        <v>0.12499999999999994</v>
      </c>
      <c r="Z412" s="58">
        <f>(ROUNDUP((X412/100),0))*100</f>
        <v>133400</v>
      </c>
      <c r="AA412" s="178" t="s">
        <v>1780</v>
      </c>
      <c r="AB412" s="224">
        <v>43438</v>
      </c>
      <c r="AC412" s="177"/>
      <c r="AD412" s="177"/>
      <c r="AE412" s="179"/>
      <c r="AF412" s="179"/>
      <c r="AG412" s="179"/>
      <c r="AH412" s="179"/>
      <c r="AI412" s="85"/>
    </row>
    <row r="413" spans="1:35" ht="14.45" customHeight="1" x14ac:dyDescent="0.2">
      <c r="A413" s="47">
        <v>91</v>
      </c>
      <c r="B413" s="48" t="str">
        <f>REPLACE(E413,1,3, )</f>
        <v xml:space="preserve"> 889</v>
      </c>
      <c r="C413" s="70" t="s">
        <v>244</v>
      </c>
      <c r="D413" s="49">
        <f>IF(E413=C413,0,1)</f>
        <v>0</v>
      </c>
      <c r="E413" s="47" t="s">
        <v>244</v>
      </c>
      <c r="F413" s="30" t="str">
        <f>REPLACE(E413,4,4, )</f>
        <v>SRT</v>
      </c>
      <c r="G413" s="30" t="s">
        <v>91</v>
      </c>
      <c r="H413" s="34" t="s">
        <v>245</v>
      </c>
      <c r="I413" s="30" t="s">
        <v>116</v>
      </c>
      <c r="J413" s="51">
        <f>M413</f>
        <v>57000</v>
      </c>
      <c r="K413" s="68">
        <f>J413-M413</f>
        <v>0</v>
      </c>
      <c r="L413" s="60" t="s">
        <v>97</v>
      </c>
      <c r="M413" s="62">
        <v>57000</v>
      </c>
      <c r="N413" s="53">
        <f>2000+200+600+800</f>
        <v>3600</v>
      </c>
      <c r="O413" s="55">
        <f>M413+N413</f>
        <v>60600</v>
      </c>
      <c r="P413" s="47">
        <v>91</v>
      </c>
      <c r="Q413" s="56">
        <v>60600</v>
      </c>
      <c r="R413" s="41">
        <f>O413-Q413</f>
        <v>0</v>
      </c>
      <c r="S413" s="67"/>
      <c r="T413" s="33" t="s">
        <v>246</v>
      </c>
      <c r="U413" s="57">
        <v>-1000</v>
      </c>
      <c r="V413" s="57">
        <f>U413+O413</f>
        <v>59600</v>
      </c>
      <c r="W413" s="57">
        <f>V413/0.7</f>
        <v>85142.857142857145</v>
      </c>
      <c r="X413" s="58">
        <f>W413/0.875</f>
        <v>97306.1224489796</v>
      </c>
      <c r="Y413" s="59">
        <f>(X413-W413)/X413</f>
        <v>0.12500000000000006</v>
      </c>
      <c r="Z413" s="58">
        <f>(ROUNDUP((X413/100),0))*100</f>
        <v>97400</v>
      </c>
      <c r="AA413" s="178"/>
      <c r="AB413" s="178"/>
      <c r="AC413" s="177"/>
      <c r="AD413" s="177"/>
      <c r="AE413" s="179"/>
      <c r="AF413" s="179"/>
      <c r="AG413" s="179"/>
      <c r="AH413" s="179"/>
      <c r="AI413" s="85"/>
    </row>
    <row r="414" spans="1:35" ht="14.45" customHeight="1" x14ac:dyDescent="0.2">
      <c r="A414" s="47">
        <v>11</v>
      </c>
      <c r="B414" s="48" t="str">
        <f>REPLACE(E414,1,3, )</f>
        <v xml:space="preserve"> 922</v>
      </c>
      <c r="C414" s="32" t="s">
        <v>115</v>
      </c>
      <c r="D414" s="49">
        <f>IF(E414=C414,0,1)</f>
        <v>0</v>
      </c>
      <c r="E414" s="49" t="s">
        <v>115</v>
      </c>
      <c r="F414" s="30" t="str">
        <f>REPLACE(E414,4,4, )</f>
        <v>SRT</v>
      </c>
      <c r="G414" s="30" t="s">
        <v>91</v>
      </c>
      <c r="H414" s="34" t="s">
        <v>92</v>
      </c>
      <c r="I414" s="30" t="s">
        <v>116</v>
      </c>
      <c r="J414" s="51">
        <f>M414</f>
        <v>68500</v>
      </c>
      <c r="K414" s="68">
        <f>J414-M414</f>
        <v>0</v>
      </c>
      <c r="L414" s="60" t="s">
        <v>97</v>
      </c>
      <c r="M414" s="62">
        <v>68500</v>
      </c>
      <c r="N414" s="53">
        <f>2000+200+350+600+800</f>
        <v>3950</v>
      </c>
      <c r="O414" s="55">
        <f>M414+N414</f>
        <v>72450</v>
      </c>
      <c r="P414" s="47">
        <v>11</v>
      </c>
      <c r="Q414" s="56">
        <v>72450</v>
      </c>
      <c r="R414" s="41">
        <f>O414-Q414</f>
        <v>0</v>
      </c>
      <c r="S414" s="67"/>
      <c r="T414" s="33" t="s">
        <v>98</v>
      </c>
      <c r="U414" s="57">
        <v>1000</v>
      </c>
      <c r="V414" s="57">
        <f>U414+O414</f>
        <v>73450</v>
      </c>
      <c r="W414" s="57">
        <f>V414/0.7</f>
        <v>104928.57142857143</v>
      </c>
      <c r="X414" s="58">
        <f>W414/0.875</f>
        <v>119918.36734693879</v>
      </c>
      <c r="Y414" s="59">
        <f>(X414-W414)/X414</f>
        <v>0.12500000000000003</v>
      </c>
      <c r="Z414" s="58">
        <f>(ROUNDUP((X414/100),0))*100</f>
        <v>120000</v>
      </c>
      <c r="AA414" s="178"/>
      <c r="AB414" s="178"/>
      <c r="AC414" s="177"/>
      <c r="AD414" s="177"/>
      <c r="AE414" s="179"/>
      <c r="AF414" s="179"/>
      <c r="AG414" s="179"/>
      <c r="AH414" s="179"/>
      <c r="AI414" s="85"/>
    </row>
    <row r="415" spans="1:35" ht="14.45" customHeight="1" x14ac:dyDescent="0.2">
      <c r="A415" s="47">
        <v>21</v>
      </c>
      <c r="B415" s="48" t="str">
        <f>REPLACE(E415,1,3, )</f>
        <v xml:space="preserve"> 988</v>
      </c>
      <c r="C415" s="32" t="s">
        <v>127</v>
      </c>
      <c r="D415" s="49">
        <f>IF(E415=C415,0,1)</f>
        <v>0</v>
      </c>
      <c r="E415" s="69" t="s">
        <v>127</v>
      </c>
      <c r="F415" s="30" t="str">
        <f>REPLACE(E415,4,4, )</f>
        <v>SRT</v>
      </c>
      <c r="G415" s="30" t="s">
        <v>34</v>
      </c>
      <c r="H415" s="34" t="s">
        <v>92</v>
      </c>
      <c r="I415" s="30" t="s">
        <v>116</v>
      </c>
      <c r="J415" s="51">
        <f>M415</f>
        <v>75000</v>
      </c>
      <c r="K415" s="68">
        <f>J415-M415</f>
        <v>0</v>
      </c>
      <c r="L415" s="60" t="s">
        <v>97</v>
      </c>
      <c r="M415" s="61">
        <v>75000</v>
      </c>
      <c r="N415" s="54">
        <f>2000+200+350+600+800</f>
        <v>3950</v>
      </c>
      <c r="O415" s="55">
        <f>M415+N415</f>
        <v>78950</v>
      </c>
      <c r="P415" s="47">
        <v>21</v>
      </c>
      <c r="Q415" s="56">
        <v>78950</v>
      </c>
      <c r="R415" s="41">
        <f>O415-Q415</f>
        <v>0</v>
      </c>
      <c r="S415" s="67"/>
      <c r="T415" s="33" t="s">
        <v>98</v>
      </c>
      <c r="U415" s="57">
        <v>-4000</v>
      </c>
      <c r="V415" s="57">
        <f>U415+O415</f>
        <v>74950</v>
      </c>
      <c r="W415" s="57">
        <f>V415/0.7</f>
        <v>107071.42857142858</v>
      </c>
      <c r="X415" s="58">
        <f>W415/0.875</f>
        <v>122367.34693877552</v>
      </c>
      <c r="Y415" s="59">
        <f>(X415-W415)/X415</f>
        <v>0.12499999999999999</v>
      </c>
      <c r="Z415" s="58">
        <f>(ROUNDUP((X415/100),0))*100</f>
        <v>122400</v>
      </c>
      <c r="AA415" s="58"/>
      <c r="AB415" s="58"/>
      <c r="AC415" s="180"/>
      <c r="AD415" s="180"/>
      <c r="AE415" s="176"/>
      <c r="AF415" s="176"/>
      <c r="AG415" s="176"/>
      <c r="AH415" s="176"/>
      <c r="AI415" s="85"/>
    </row>
    <row r="416" spans="1:35" ht="14.45" customHeight="1" x14ac:dyDescent="0.2">
      <c r="A416" s="47">
        <v>395</v>
      </c>
      <c r="B416" s="48" t="str">
        <f>REPLACE(E416,1,3, )</f>
        <v xml:space="preserve"> 289</v>
      </c>
      <c r="C416" s="70" t="s">
        <v>802</v>
      </c>
      <c r="D416" s="49">
        <f>IF(E416=C416,0,1)</f>
        <v>0</v>
      </c>
      <c r="E416" s="50" t="s">
        <v>802</v>
      </c>
      <c r="F416" s="30" t="str">
        <f>REPLACE(E416,4,4, )</f>
        <v>SRU</v>
      </c>
      <c r="G416" s="30" t="s">
        <v>34</v>
      </c>
      <c r="H416" s="34" t="s">
        <v>767</v>
      </c>
      <c r="I416" s="30" t="s">
        <v>803</v>
      </c>
      <c r="J416" s="74">
        <v>57500</v>
      </c>
      <c r="K416" s="74">
        <f>J416-M416</f>
        <v>0</v>
      </c>
      <c r="L416" s="64" t="s">
        <v>87</v>
      </c>
      <c r="M416" s="73">
        <f>J416</f>
        <v>57500</v>
      </c>
      <c r="N416" s="74">
        <f>2000+3450+800+200+250</f>
        <v>6700</v>
      </c>
      <c r="O416" s="75">
        <f>N416+M416</f>
        <v>64200</v>
      </c>
      <c r="P416" s="47">
        <v>395</v>
      </c>
      <c r="Q416" s="76">
        <v>64200</v>
      </c>
      <c r="R416" s="41">
        <f>O416-Q416</f>
        <v>0</v>
      </c>
      <c r="S416" s="42" t="s">
        <v>88</v>
      </c>
      <c r="T416" s="47" t="s">
        <v>804</v>
      </c>
      <c r="U416" s="57">
        <v>5000</v>
      </c>
      <c r="V416" s="57">
        <f>U416+O416</f>
        <v>69200</v>
      </c>
      <c r="W416" s="57">
        <f>V416/0.7</f>
        <v>98857.14285714287</v>
      </c>
      <c r="X416" s="58">
        <f>W416/0.875</f>
        <v>112979.5918367347</v>
      </c>
      <c r="Y416" s="59">
        <f>(X416-W416)/X416</f>
        <v>0.12499999999999997</v>
      </c>
      <c r="Z416" s="58">
        <f>(ROUNDUP((X416/100),0))*100</f>
        <v>113000</v>
      </c>
      <c r="AA416" s="58"/>
      <c r="AB416" s="58"/>
      <c r="AC416" s="180"/>
      <c r="AD416" s="180"/>
      <c r="AE416" s="176"/>
      <c r="AF416" s="176"/>
      <c r="AG416" s="176"/>
      <c r="AH416" s="176"/>
      <c r="AI416" s="85"/>
    </row>
    <row r="417" spans="1:35" ht="14.45" customHeight="1" x14ac:dyDescent="0.2">
      <c r="A417" s="47">
        <v>435</v>
      </c>
      <c r="B417" s="48" t="str">
        <f>REPLACE(E417,1,3, )</f>
        <v xml:space="preserve"> 520</v>
      </c>
      <c r="C417" s="32" t="s">
        <v>875</v>
      </c>
      <c r="D417" s="49">
        <f>IF(E417=C417,0,1)</f>
        <v>0</v>
      </c>
      <c r="E417" s="50" t="s">
        <v>875</v>
      </c>
      <c r="F417" s="30" t="str">
        <f>REPLACE(E417,4,4, )</f>
        <v>SRU</v>
      </c>
      <c r="G417" s="30" t="s">
        <v>34</v>
      </c>
      <c r="H417" s="71" t="s">
        <v>859</v>
      </c>
      <c r="I417" s="30" t="s">
        <v>803</v>
      </c>
      <c r="J417" s="74">
        <v>45000</v>
      </c>
      <c r="K417" s="74">
        <f>J417-M417</f>
        <v>0</v>
      </c>
      <c r="L417" s="64" t="s">
        <v>87</v>
      </c>
      <c r="M417" s="73">
        <f>J417</f>
        <v>45000</v>
      </c>
      <c r="N417" s="74">
        <f>2000+2850+800+200+250+400</f>
        <v>6500</v>
      </c>
      <c r="O417" s="75">
        <f>N417+M417</f>
        <v>51500</v>
      </c>
      <c r="P417" s="47">
        <v>435</v>
      </c>
      <c r="Q417" s="76">
        <v>51500</v>
      </c>
      <c r="R417" s="41">
        <f>O417-Q417</f>
        <v>0</v>
      </c>
      <c r="S417" s="42" t="s">
        <v>88</v>
      </c>
      <c r="T417" s="47" t="s">
        <v>876</v>
      </c>
      <c r="U417" s="57">
        <v>4500</v>
      </c>
      <c r="V417" s="57">
        <f>U417+O417</f>
        <v>56000</v>
      </c>
      <c r="W417" s="57">
        <f>V417/0.7</f>
        <v>80000</v>
      </c>
      <c r="X417" s="58">
        <f>W417/0.875</f>
        <v>91428.571428571435</v>
      </c>
      <c r="Y417" s="59">
        <f>(X417-W417)/X417</f>
        <v>0.12500000000000006</v>
      </c>
      <c r="Z417" s="58">
        <f>(ROUNDUP((X417/100),0))*100</f>
        <v>91500</v>
      </c>
      <c r="AA417" s="58"/>
      <c r="AB417" s="58"/>
      <c r="AC417" s="180"/>
      <c r="AD417" s="180"/>
      <c r="AE417" s="176"/>
      <c r="AF417" s="176"/>
      <c r="AG417" s="176"/>
      <c r="AH417" s="176"/>
      <c r="AI417" s="85"/>
    </row>
    <row r="418" spans="1:35" ht="14.45" customHeight="1" x14ac:dyDescent="0.2">
      <c r="A418" s="47">
        <v>467</v>
      </c>
      <c r="B418" s="48" t="str">
        <f>REPLACE(E418,1,3, )</f>
        <v xml:space="preserve"> 682</v>
      </c>
      <c r="C418" s="32" t="s">
        <v>938</v>
      </c>
      <c r="D418" s="49">
        <f>IF(E418=C418,0,1)</f>
        <v>0</v>
      </c>
      <c r="E418" s="50" t="s">
        <v>938</v>
      </c>
      <c r="F418" s="30" t="str">
        <f>REPLACE(E418,4,4, )</f>
        <v>SRU</v>
      </c>
      <c r="G418" s="30" t="s">
        <v>34</v>
      </c>
      <c r="H418" s="34" t="s">
        <v>919</v>
      </c>
      <c r="I418" s="30" t="s">
        <v>803</v>
      </c>
      <c r="J418" s="74">
        <v>47500</v>
      </c>
      <c r="K418" s="74">
        <f>J418-M418</f>
        <v>0</v>
      </c>
      <c r="L418" s="64" t="s">
        <v>87</v>
      </c>
      <c r="M418" s="73">
        <f>J418</f>
        <v>47500</v>
      </c>
      <c r="N418" s="74">
        <f>2000+3450+800+200+250</f>
        <v>6700</v>
      </c>
      <c r="O418" s="75">
        <f>N418+M418</f>
        <v>54200</v>
      </c>
      <c r="P418" s="47">
        <v>467</v>
      </c>
      <c r="Q418" s="76">
        <v>54200</v>
      </c>
      <c r="R418" s="41">
        <f>O418-Q418</f>
        <v>0</v>
      </c>
      <c r="S418" s="42" t="s">
        <v>88</v>
      </c>
      <c r="T418" s="47" t="s">
        <v>804</v>
      </c>
      <c r="U418" s="57">
        <v>4000</v>
      </c>
      <c r="V418" s="57">
        <f>U418+O418</f>
        <v>58200</v>
      </c>
      <c r="W418" s="57">
        <f>V418/0.7</f>
        <v>83142.857142857145</v>
      </c>
      <c r="X418" s="58">
        <f>W418/0.875</f>
        <v>95020.408163265311</v>
      </c>
      <c r="Y418" s="59">
        <f>(X418-W418)/X418</f>
        <v>0.12500000000000003</v>
      </c>
      <c r="Z418" s="58">
        <f>(ROUNDUP((X418/100),0))*100</f>
        <v>95100</v>
      </c>
      <c r="AA418" s="58"/>
      <c r="AB418" s="58"/>
      <c r="AC418" s="180"/>
      <c r="AD418" s="180"/>
      <c r="AE418" s="176"/>
      <c r="AF418" s="176"/>
      <c r="AG418" s="176"/>
      <c r="AH418" s="176"/>
      <c r="AI418" s="85"/>
    </row>
    <row r="419" spans="1:35" ht="14.45" customHeight="1" x14ac:dyDescent="0.2">
      <c r="A419" s="47">
        <v>406</v>
      </c>
      <c r="B419" s="48" t="str">
        <f>REPLACE(E419,1,3, )</f>
        <v xml:space="preserve"> 703</v>
      </c>
      <c r="C419" s="70" t="s">
        <v>823</v>
      </c>
      <c r="D419" s="49">
        <f>IF(E419=C419,0,1)</f>
        <v>0</v>
      </c>
      <c r="E419" s="50" t="s">
        <v>823</v>
      </c>
      <c r="F419" s="30" t="str">
        <f>REPLACE(E419,4,4, )</f>
        <v>SRU</v>
      </c>
      <c r="G419" s="30" t="s">
        <v>34</v>
      </c>
      <c r="H419" s="34" t="s">
        <v>767</v>
      </c>
      <c r="I419" s="30" t="s">
        <v>803</v>
      </c>
      <c r="J419" s="74">
        <v>58500</v>
      </c>
      <c r="K419" s="74">
        <f>J419-M419</f>
        <v>0</v>
      </c>
      <c r="L419" s="64" t="s">
        <v>87</v>
      </c>
      <c r="M419" s="73">
        <f>J419</f>
        <v>58500</v>
      </c>
      <c r="N419" s="74">
        <f>2000+3450+800+200+250+700</f>
        <v>7400</v>
      </c>
      <c r="O419" s="75">
        <f>M419+N419</f>
        <v>65900</v>
      </c>
      <c r="P419" s="47">
        <v>406</v>
      </c>
      <c r="Q419" s="76">
        <v>65900</v>
      </c>
      <c r="R419" s="41">
        <f>O419-Q419</f>
        <v>0</v>
      </c>
      <c r="S419" s="42" t="s">
        <v>88</v>
      </c>
      <c r="T419" s="47" t="s">
        <v>824</v>
      </c>
      <c r="U419" s="57">
        <v>5000</v>
      </c>
      <c r="V419" s="57">
        <f>U419+O419</f>
        <v>70900</v>
      </c>
      <c r="W419" s="57">
        <f>V419/0.7</f>
        <v>101285.71428571429</v>
      </c>
      <c r="X419" s="58">
        <f>W419/0.875</f>
        <v>115755.10204081633</v>
      </c>
      <c r="Y419" s="59">
        <f>(X419-W419)/X419</f>
        <v>0.125</v>
      </c>
      <c r="Z419" s="58">
        <f>(ROUNDUP((X419/100),0))*100</f>
        <v>115800</v>
      </c>
      <c r="AA419" s="58"/>
      <c r="AB419" s="58"/>
      <c r="AC419" s="180"/>
      <c r="AD419" s="180"/>
      <c r="AE419" s="176"/>
      <c r="AF419" s="176"/>
      <c r="AG419" s="176"/>
      <c r="AH419" s="176"/>
      <c r="AI419" s="85"/>
    </row>
    <row r="420" spans="1:35" ht="14.45" customHeight="1" x14ac:dyDescent="0.2">
      <c r="A420" s="47">
        <v>23</v>
      </c>
      <c r="B420" s="48" t="str">
        <f>REPLACE(E420,1,3, )</f>
        <v xml:space="preserve"> 268</v>
      </c>
      <c r="C420" s="32" t="s">
        <v>129</v>
      </c>
      <c r="D420" s="49">
        <f>IF(E420=C420,0,1)</f>
        <v>0</v>
      </c>
      <c r="E420" s="47" t="s">
        <v>129</v>
      </c>
      <c r="F420" s="30" t="str">
        <f>REPLACE(E420,4,4, )</f>
        <v>SRY</v>
      </c>
      <c r="G420" s="30" t="s">
        <v>91</v>
      </c>
      <c r="H420" s="34" t="s">
        <v>92</v>
      </c>
      <c r="I420" s="30" t="s">
        <v>130</v>
      </c>
      <c r="J420" s="51">
        <v>68000</v>
      </c>
      <c r="K420" s="52">
        <f>J420-M420</f>
        <v>3950</v>
      </c>
      <c r="L420" s="49" t="s">
        <v>94</v>
      </c>
      <c r="M420" s="53">
        <f>J420-N420</f>
        <v>64050</v>
      </c>
      <c r="N420" s="53">
        <f>2000+200+350+600+800</f>
        <v>3950</v>
      </c>
      <c r="O420" s="55">
        <f>M420+N420</f>
        <v>68000</v>
      </c>
      <c r="P420" s="47">
        <v>23</v>
      </c>
      <c r="Q420" s="56">
        <v>68000</v>
      </c>
      <c r="R420" s="41">
        <f>O420-Q420</f>
        <v>0</v>
      </c>
      <c r="S420" s="67"/>
      <c r="T420" s="47" t="s">
        <v>131</v>
      </c>
      <c r="U420" s="57">
        <v>1000</v>
      </c>
      <c r="V420" s="57">
        <f>U420+O420</f>
        <v>69000</v>
      </c>
      <c r="W420" s="57">
        <f>V420/0.7</f>
        <v>98571.42857142858</v>
      </c>
      <c r="X420" s="58">
        <f>W420/0.875</f>
        <v>112653.06122448981</v>
      </c>
      <c r="Y420" s="59">
        <f>(X420-W420)/X420</f>
        <v>0.12500000000000003</v>
      </c>
      <c r="Z420" s="58">
        <f>(ROUNDUP((X420/100),0))*100</f>
        <v>112700</v>
      </c>
      <c r="AA420" s="178"/>
      <c r="AB420" s="178"/>
      <c r="AC420" s="177"/>
      <c r="AD420" s="177"/>
      <c r="AE420" s="179"/>
      <c r="AF420" s="179"/>
      <c r="AG420" s="179"/>
      <c r="AH420" s="179"/>
      <c r="AI420" s="85"/>
    </row>
    <row r="421" spans="1:35" ht="14.45" customHeight="1" x14ac:dyDescent="0.2">
      <c r="A421" s="47">
        <v>170</v>
      </c>
      <c r="B421" s="48" t="str">
        <f>REPLACE(E421,1,3, )</f>
        <v xml:space="preserve"> 627</v>
      </c>
      <c r="C421" s="70" t="s">
        <v>399</v>
      </c>
      <c r="D421" s="49">
        <f>IF(E421=C421,0,1)</f>
        <v>0</v>
      </c>
      <c r="E421" s="30" t="s">
        <v>399</v>
      </c>
      <c r="F421" s="30" t="str">
        <f>REPLACE(E421,4,4, )</f>
        <v>SSD</v>
      </c>
      <c r="G421" s="33" t="s">
        <v>91</v>
      </c>
      <c r="H421" s="71" t="s">
        <v>360</v>
      </c>
      <c r="I421" s="33" t="s">
        <v>384</v>
      </c>
      <c r="J421" s="51">
        <f>M421</f>
        <v>50000</v>
      </c>
      <c r="K421" s="68">
        <f>J421-M421</f>
        <v>0</v>
      </c>
      <c r="L421" s="60" t="s">
        <v>97</v>
      </c>
      <c r="M421" s="62">
        <v>50000</v>
      </c>
      <c r="N421" s="53">
        <f>2000+300+600+650+3000</f>
        <v>6550</v>
      </c>
      <c r="O421" s="55">
        <f>M421+N421</f>
        <v>56550</v>
      </c>
      <c r="P421" s="47">
        <v>170</v>
      </c>
      <c r="Q421" s="56">
        <v>56550</v>
      </c>
      <c r="R421" s="41">
        <f>O421-Q421</f>
        <v>0</v>
      </c>
      <c r="S421" s="42" t="s">
        <v>88</v>
      </c>
      <c r="T421" s="33" t="s">
        <v>385</v>
      </c>
      <c r="U421" s="57"/>
      <c r="V421" s="57">
        <f>U421+O421</f>
        <v>56550</v>
      </c>
      <c r="W421" s="57">
        <f>V421/0.7</f>
        <v>80785.71428571429</v>
      </c>
      <c r="X421" s="58">
        <f>W421/0.875</f>
        <v>92326.530612244896</v>
      </c>
      <c r="Y421" s="59">
        <f>(X421-W421)/X421</f>
        <v>0.12499999999999994</v>
      </c>
      <c r="Z421" s="58">
        <f>(ROUNDUP((X421/100),0))*100</f>
        <v>92400</v>
      </c>
      <c r="AA421" s="178"/>
      <c r="AB421" s="178"/>
      <c r="AC421" s="177"/>
      <c r="AD421" s="177"/>
      <c r="AE421" s="179"/>
      <c r="AF421" s="179"/>
      <c r="AG421" s="179"/>
      <c r="AH421" s="179"/>
      <c r="AI421" s="85"/>
    </row>
    <row r="422" spans="1:35" s="91" customFormat="1" ht="14.45" customHeight="1" x14ac:dyDescent="0.2">
      <c r="A422" s="47">
        <v>162</v>
      </c>
      <c r="B422" s="48" t="str">
        <f>REPLACE(E422,1,3, )</f>
        <v xml:space="preserve"> 787</v>
      </c>
      <c r="C422" s="70" t="s">
        <v>383</v>
      </c>
      <c r="D422" s="49">
        <f>IF(E422=C422,0,1)</f>
        <v>0</v>
      </c>
      <c r="E422" s="47" t="s">
        <v>383</v>
      </c>
      <c r="F422" s="30" t="str">
        <f>REPLACE(E422,4,4, )</f>
        <v>SSD</v>
      </c>
      <c r="G422" s="30" t="s">
        <v>91</v>
      </c>
      <c r="H422" s="71" t="s">
        <v>360</v>
      </c>
      <c r="I422" s="30" t="s">
        <v>384</v>
      </c>
      <c r="J422" s="51">
        <f>M422</f>
        <v>69000</v>
      </c>
      <c r="K422" s="68">
        <f>J422-M422</f>
        <v>0</v>
      </c>
      <c r="L422" s="60" t="s">
        <v>97</v>
      </c>
      <c r="M422" s="62">
        <v>69000</v>
      </c>
      <c r="N422" s="53">
        <f>2000+300+600+650+3000</f>
        <v>6550</v>
      </c>
      <c r="O422" s="55">
        <f>M422+N422</f>
        <v>75550</v>
      </c>
      <c r="P422" s="47">
        <v>162</v>
      </c>
      <c r="Q422" s="56">
        <v>75550</v>
      </c>
      <c r="R422" s="41">
        <f>O422-Q422</f>
        <v>0</v>
      </c>
      <c r="S422" s="67"/>
      <c r="T422" s="33" t="s">
        <v>385</v>
      </c>
      <c r="U422" s="57"/>
      <c r="V422" s="57">
        <f>U422+O422</f>
        <v>75550</v>
      </c>
      <c r="W422" s="57">
        <f>V422/0.7</f>
        <v>107928.57142857143</v>
      </c>
      <c r="X422" s="58">
        <f>W422/0.875</f>
        <v>123346.93877551021</v>
      </c>
      <c r="Y422" s="59">
        <f>(X422-W422)/X422</f>
        <v>0.12499999999999997</v>
      </c>
      <c r="Z422" s="58">
        <f>(ROUNDUP((X422/100),0))*100</f>
        <v>123400</v>
      </c>
      <c r="AA422" s="178"/>
      <c r="AB422" s="178"/>
      <c r="AC422" s="177"/>
      <c r="AD422" s="177"/>
      <c r="AE422" s="179"/>
      <c r="AF422" s="179"/>
      <c r="AG422" s="179"/>
      <c r="AH422" s="179"/>
    </row>
    <row r="423" spans="1:35" ht="14.45" customHeight="1" x14ac:dyDescent="0.2">
      <c r="A423" s="47">
        <v>236</v>
      </c>
      <c r="B423" s="48" t="str">
        <f>REPLACE(E423,1,3, )</f>
        <v xml:space="preserve"> 897</v>
      </c>
      <c r="C423" s="70" t="s">
        <v>526</v>
      </c>
      <c r="D423" s="49">
        <f>IF(E423=C423,0,1)</f>
        <v>0</v>
      </c>
      <c r="E423" s="50" t="s">
        <v>526</v>
      </c>
      <c r="F423" s="30" t="str">
        <f>REPLACE(E423,4,4, )</f>
        <v>SSD</v>
      </c>
      <c r="G423" s="30" t="s">
        <v>34</v>
      </c>
      <c r="H423" s="34" t="s">
        <v>493</v>
      </c>
      <c r="I423" s="30" t="s">
        <v>384</v>
      </c>
      <c r="J423" s="51">
        <f>M423</f>
        <v>52500</v>
      </c>
      <c r="K423" s="68">
        <f>J423-M423</f>
        <v>0</v>
      </c>
      <c r="L423" s="60" t="s">
        <v>97</v>
      </c>
      <c r="M423" s="61">
        <v>52500</v>
      </c>
      <c r="N423" s="54">
        <f>2000+3450+800+300+650</f>
        <v>7200</v>
      </c>
      <c r="O423" s="55">
        <f>M423+N423</f>
        <v>59700</v>
      </c>
      <c r="P423" s="47">
        <v>236</v>
      </c>
      <c r="Q423" s="56">
        <v>59700</v>
      </c>
      <c r="R423" s="41">
        <f>O423-Q423</f>
        <v>0</v>
      </c>
      <c r="S423" s="67"/>
      <c r="T423" s="33" t="s">
        <v>527</v>
      </c>
      <c r="U423" s="57">
        <v>3500</v>
      </c>
      <c r="V423" s="57">
        <f>U423+O423</f>
        <v>63200</v>
      </c>
      <c r="W423" s="57">
        <f>V423/0.7</f>
        <v>90285.71428571429</v>
      </c>
      <c r="X423" s="58">
        <f>W423/0.875</f>
        <v>103183.67346938777</v>
      </c>
      <c r="Y423" s="59">
        <f>(X423-W423)/X423</f>
        <v>0.12500000000000006</v>
      </c>
      <c r="Z423" s="58">
        <f>(ROUNDUP((X423/100),0))*100</f>
        <v>103200</v>
      </c>
      <c r="AA423" s="58"/>
      <c r="AB423" s="58"/>
      <c r="AC423" s="180"/>
      <c r="AD423" s="180"/>
      <c r="AE423" s="176"/>
      <c r="AF423" s="176"/>
      <c r="AG423" s="176"/>
      <c r="AH423" s="176"/>
      <c r="AI423" s="85"/>
    </row>
    <row r="424" spans="1:35" ht="14.45" customHeight="1" x14ac:dyDescent="0.2">
      <c r="A424" s="47">
        <v>15</v>
      </c>
      <c r="B424" s="48" t="str">
        <f>REPLACE(E424,1,3, )</f>
        <v xml:space="preserve"> 154</v>
      </c>
      <c r="C424" s="32" t="s">
        <v>120</v>
      </c>
      <c r="D424" s="49">
        <f>IF(E424=C424,0,1)</f>
        <v>0</v>
      </c>
      <c r="E424" s="47" t="s">
        <v>120</v>
      </c>
      <c r="F424" s="30" t="str">
        <f>REPLACE(E424,4,4, )</f>
        <v>SSG</v>
      </c>
      <c r="G424" s="30" t="s">
        <v>91</v>
      </c>
      <c r="H424" s="34" t="s">
        <v>92</v>
      </c>
      <c r="I424" s="30" t="s">
        <v>116</v>
      </c>
      <c r="J424" s="51">
        <f>M424</f>
        <v>70000</v>
      </c>
      <c r="K424" s="68">
        <f>J424-M424</f>
        <v>0</v>
      </c>
      <c r="L424" s="60" t="s">
        <v>97</v>
      </c>
      <c r="M424" s="62">
        <v>70000</v>
      </c>
      <c r="N424" s="53">
        <f>2000+200+350+600+800</f>
        <v>3950</v>
      </c>
      <c r="O424" s="55">
        <f>M424+N424</f>
        <v>73950</v>
      </c>
      <c r="P424" s="47">
        <v>15</v>
      </c>
      <c r="Q424" s="56">
        <v>73950</v>
      </c>
      <c r="R424" s="41">
        <f>O424-Q424</f>
        <v>0</v>
      </c>
      <c r="S424" s="67"/>
      <c r="T424" s="33" t="s">
        <v>98</v>
      </c>
      <c r="U424" s="57">
        <v>1000</v>
      </c>
      <c r="V424" s="57">
        <f>U424+O424</f>
        <v>74950</v>
      </c>
      <c r="W424" s="57">
        <f>V424/0.7</f>
        <v>107071.42857142858</v>
      </c>
      <c r="X424" s="58">
        <f>W424/0.875</f>
        <v>122367.34693877552</v>
      </c>
      <c r="Y424" s="59">
        <f>(X424-W424)/X424</f>
        <v>0.12499999999999999</v>
      </c>
      <c r="Z424" s="58">
        <f>(ROUNDUP((X424/100),0))*100</f>
        <v>122400</v>
      </c>
      <c r="AA424" s="178"/>
      <c r="AB424" s="178"/>
      <c r="AC424" s="177"/>
      <c r="AD424" s="177"/>
      <c r="AE424" s="179"/>
      <c r="AF424" s="179"/>
      <c r="AG424" s="179"/>
      <c r="AH424" s="179"/>
      <c r="AI424" s="85"/>
    </row>
    <row r="425" spans="1:35" ht="14.45" customHeight="1" x14ac:dyDescent="0.2">
      <c r="A425" s="47">
        <v>13</v>
      </c>
      <c r="B425" s="48" t="str">
        <f>REPLACE(E425,1,3, )</f>
        <v xml:space="preserve"> 209</v>
      </c>
      <c r="C425" s="32" t="s">
        <v>118</v>
      </c>
      <c r="D425" s="49">
        <f>IF(E425=C425,0,1)</f>
        <v>0</v>
      </c>
      <c r="E425" s="47" t="s">
        <v>118</v>
      </c>
      <c r="F425" s="30" t="str">
        <f>REPLACE(E425,4,4, )</f>
        <v>SSG</v>
      </c>
      <c r="G425" s="30" t="s">
        <v>91</v>
      </c>
      <c r="H425" s="34" t="s">
        <v>92</v>
      </c>
      <c r="I425" s="30" t="s">
        <v>93</v>
      </c>
      <c r="J425" s="51"/>
      <c r="K425" s="52">
        <f>J425-M425</f>
        <v>0</v>
      </c>
      <c r="L425" s="49"/>
      <c r="M425" s="53">
        <f>J425-N425</f>
        <v>0</v>
      </c>
      <c r="N425" s="53"/>
      <c r="O425" s="55">
        <f>M425+N425</f>
        <v>0</v>
      </c>
      <c r="P425" s="47">
        <v>13</v>
      </c>
      <c r="Q425" s="41"/>
      <c r="R425" s="41"/>
      <c r="S425" s="67"/>
      <c r="T425" s="33"/>
      <c r="U425" s="57"/>
      <c r="V425" s="57">
        <f>U425+O425</f>
        <v>0</v>
      </c>
      <c r="W425" s="57">
        <f>V425/0.7</f>
        <v>0</v>
      </c>
      <c r="X425" s="58">
        <f>W425/0.875</f>
        <v>0</v>
      </c>
      <c r="Y425" s="59" t="e">
        <f>(X425-W425)/X425</f>
        <v>#DIV/0!</v>
      </c>
      <c r="Z425" s="58">
        <f>(ROUNDUP((X425/100),0))*100</f>
        <v>0</v>
      </c>
      <c r="AA425" s="178"/>
      <c r="AB425" s="178"/>
      <c r="AC425" s="177"/>
      <c r="AD425" s="177"/>
      <c r="AE425" s="179"/>
      <c r="AF425" s="179"/>
      <c r="AG425" s="179"/>
      <c r="AH425" s="179"/>
      <c r="AI425" s="85"/>
    </row>
    <row r="426" spans="1:35" ht="14.45" customHeight="1" x14ac:dyDescent="0.2">
      <c r="A426" s="47">
        <v>37</v>
      </c>
      <c r="B426" s="48" t="str">
        <f>REPLACE(E426,1,3, )</f>
        <v xml:space="preserve"> 332</v>
      </c>
      <c r="C426" s="70" t="s">
        <v>151</v>
      </c>
      <c r="D426" s="49">
        <f>IF(E426=C426,0,1)</f>
        <v>0</v>
      </c>
      <c r="E426" s="47" t="s">
        <v>151</v>
      </c>
      <c r="F426" s="30" t="str">
        <f>REPLACE(E426,4,4, )</f>
        <v>SSG</v>
      </c>
      <c r="G426" s="30" t="s">
        <v>91</v>
      </c>
      <c r="H426" s="34" t="s">
        <v>92</v>
      </c>
      <c r="I426" s="30" t="s">
        <v>93</v>
      </c>
      <c r="J426" s="51"/>
      <c r="K426" s="52">
        <f>J426-M426</f>
        <v>0</v>
      </c>
      <c r="L426" s="49"/>
      <c r="M426" s="53">
        <f>J426-N426</f>
        <v>0</v>
      </c>
      <c r="N426" s="53"/>
      <c r="O426" s="55">
        <f>M426+N426</f>
        <v>0</v>
      </c>
      <c r="P426" s="47">
        <v>37</v>
      </c>
      <c r="Q426" s="41"/>
      <c r="R426" s="41"/>
      <c r="S426" s="67"/>
      <c r="T426" s="33"/>
      <c r="U426" s="57"/>
      <c r="V426" s="57">
        <f>U426+O426</f>
        <v>0</v>
      </c>
      <c r="W426" s="57">
        <f>V426/0.7</f>
        <v>0</v>
      </c>
      <c r="X426" s="58">
        <f>W426/0.875</f>
        <v>0</v>
      </c>
      <c r="Y426" s="59" t="e">
        <f>(X426-W426)/X426</f>
        <v>#DIV/0!</v>
      </c>
      <c r="Z426" s="58">
        <f>(ROUNDUP((X426/100),0))*100</f>
        <v>0</v>
      </c>
      <c r="AA426" s="178"/>
      <c r="AB426" s="178"/>
      <c r="AC426" s="177"/>
      <c r="AD426" s="177"/>
      <c r="AE426" s="179"/>
      <c r="AF426" s="179"/>
      <c r="AG426" s="179"/>
      <c r="AH426" s="179"/>
      <c r="AI426" s="85"/>
    </row>
    <row r="427" spans="1:35" s="91" customFormat="1" ht="14.45" customHeight="1" x14ac:dyDescent="0.2">
      <c r="A427" s="47">
        <v>16</v>
      </c>
      <c r="B427" s="48" t="str">
        <f>REPLACE(E427,1,3, )</f>
        <v xml:space="preserve"> 362</v>
      </c>
      <c r="C427" s="32" t="s">
        <v>121</v>
      </c>
      <c r="D427" s="49">
        <f>IF(E427=C427,0,1)</f>
        <v>0</v>
      </c>
      <c r="E427" s="47" t="s">
        <v>121</v>
      </c>
      <c r="F427" s="30" t="str">
        <f>REPLACE(E427,4,4, )</f>
        <v>SSG</v>
      </c>
      <c r="G427" s="30" t="s">
        <v>91</v>
      </c>
      <c r="H427" s="34" t="s">
        <v>92</v>
      </c>
      <c r="I427" s="30" t="s">
        <v>93</v>
      </c>
      <c r="J427" s="51">
        <v>65000</v>
      </c>
      <c r="K427" s="52">
        <f>J427-M427</f>
        <v>3950</v>
      </c>
      <c r="L427" s="49" t="s">
        <v>94</v>
      </c>
      <c r="M427" s="53">
        <f>J427-N427</f>
        <v>61050</v>
      </c>
      <c r="N427" s="53">
        <f>2000+200+350+600+800</f>
        <v>3950</v>
      </c>
      <c r="O427" s="55">
        <f>M427+N427</f>
        <v>65000</v>
      </c>
      <c r="P427" s="47">
        <v>16</v>
      </c>
      <c r="Q427" s="56">
        <v>65000</v>
      </c>
      <c r="R427" s="41">
        <f>O427-Q427</f>
        <v>0</v>
      </c>
      <c r="S427" s="67"/>
      <c r="T427" s="33"/>
      <c r="U427" s="57">
        <v>1000</v>
      </c>
      <c r="V427" s="57">
        <f>U427+O427</f>
        <v>66000</v>
      </c>
      <c r="W427" s="57">
        <f>V427/0.7</f>
        <v>94285.71428571429</v>
      </c>
      <c r="X427" s="58">
        <f>W427/0.875</f>
        <v>107755.10204081633</v>
      </c>
      <c r="Y427" s="59">
        <f>(X427-W427)/X427</f>
        <v>0.125</v>
      </c>
      <c r="Z427" s="58">
        <f>(ROUNDUP((X427/100),0))*100</f>
        <v>107800</v>
      </c>
      <c r="AA427" s="178"/>
      <c r="AB427" s="178"/>
      <c r="AC427" s="177"/>
      <c r="AD427" s="177"/>
      <c r="AE427" s="179"/>
      <c r="AF427" s="179"/>
      <c r="AG427" s="179"/>
      <c r="AH427" s="179"/>
    </row>
    <row r="428" spans="1:35" s="91" customFormat="1" ht="14.45" customHeight="1" x14ac:dyDescent="0.2">
      <c r="A428" s="47">
        <v>2</v>
      </c>
      <c r="B428" s="48" t="str">
        <f>REPLACE(E428,1,3, )</f>
        <v xml:space="preserve"> 537</v>
      </c>
      <c r="C428" s="32" t="s">
        <v>90</v>
      </c>
      <c r="D428" s="49">
        <f>IF(E428=C428,0,1)</f>
        <v>0</v>
      </c>
      <c r="E428" s="47" t="s">
        <v>90</v>
      </c>
      <c r="F428" s="30" t="str">
        <f>REPLACE(E428,4,4, )</f>
        <v>SSG</v>
      </c>
      <c r="G428" s="30" t="s">
        <v>91</v>
      </c>
      <c r="H428" s="34" t="s">
        <v>92</v>
      </c>
      <c r="I428" s="30" t="s">
        <v>93</v>
      </c>
      <c r="J428" s="51">
        <v>65000</v>
      </c>
      <c r="K428" s="52">
        <f>J428-M428</f>
        <v>3950</v>
      </c>
      <c r="L428" s="49" t="s">
        <v>94</v>
      </c>
      <c r="M428" s="53">
        <f>J428-N428</f>
        <v>61050</v>
      </c>
      <c r="N428" s="53">
        <f>2000+200+350+600+800</f>
        <v>3950</v>
      </c>
      <c r="O428" s="55">
        <f>M428+N428</f>
        <v>65000</v>
      </c>
      <c r="P428" s="47">
        <v>2</v>
      </c>
      <c r="Q428" s="56">
        <v>65000</v>
      </c>
      <c r="R428" s="41">
        <f>O428-Q428</f>
        <v>0</v>
      </c>
      <c r="S428" s="42"/>
      <c r="T428" s="49"/>
      <c r="U428" s="57">
        <v>1000</v>
      </c>
      <c r="V428" s="57">
        <f>U428+O428</f>
        <v>66000</v>
      </c>
      <c r="W428" s="57">
        <f>V428/0.7</f>
        <v>94285.71428571429</v>
      </c>
      <c r="X428" s="58">
        <f>W428/0.875</f>
        <v>107755.10204081633</v>
      </c>
      <c r="Y428" s="59">
        <f>(X428-W428)/X428</f>
        <v>0.125</v>
      </c>
      <c r="Z428" s="58">
        <f>(ROUNDUP((X428/100),0))*100</f>
        <v>107800</v>
      </c>
      <c r="AA428" s="178"/>
      <c r="AB428" s="178"/>
      <c r="AC428" s="177"/>
      <c r="AD428" s="177"/>
      <c r="AE428" s="179"/>
      <c r="AF428" s="179"/>
      <c r="AG428" s="179"/>
      <c r="AH428" s="179"/>
    </row>
    <row r="429" spans="1:35" ht="14.45" customHeight="1" x14ac:dyDescent="0.2">
      <c r="A429" s="47">
        <v>25</v>
      </c>
      <c r="B429" s="48" t="str">
        <f>REPLACE(E429,1,3, )</f>
        <v xml:space="preserve"> 731</v>
      </c>
      <c r="C429" s="32" t="s">
        <v>135</v>
      </c>
      <c r="D429" s="49">
        <f>IF(E429=C429,0,1)</f>
        <v>0</v>
      </c>
      <c r="E429" s="47" t="s">
        <v>135</v>
      </c>
      <c r="F429" s="30" t="str">
        <f>REPLACE(E429,4,4, )</f>
        <v>SSG</v>
      </c>
      <c r="G429" s="30" t="s">
        <v>91</v>
      </c>
      <c r="H429" s="34" t="s">
        <v>92</v>
      </c>
      <c r="I429" s="30" t="s">
        <v>93</v>
      </c>
      <c r="J429" s="51">
        <v>65000</v>
      </c>
      <c r="K429" s="52">
        <f>J429-M429</f>
        <v>3950</v>
      </c>
      <c r="L429" s="49" t="s">
        <v>94</v>
      </c>
      <c r="M429" s="53">
        <f>J429-N429</f>
        <v>61050</v>
      </c>
      <c r="N429" s="53">
        <f>2000+200+350+600+800</f>
        <v>3950</v>
      </c>
      <c r="O429" s="55">
        <f>M429+N429</f>
        <v>65000</v>
      </c>
      <c r="P429" s="47">
        <v>25</v>
      </c>
      <c r="Q429" s="56">
        <v>65000</v>
      </c>
      <c r="R429" s="41">
        <f>O429-Q429</f>
        <v>0</v>
      </c>
      <c r="S429" s="67"/>
      <c r="T429" s="33"/>
      <c r="U429" s="57">
        <v>1000</v>
      </c>
      <c r="V429" s="57">
        <f>U429+O429</f>
        <v>66000</v>
      </c>
      <c r="W429" s="57">
        <f>V429/0.7</f>
        <v>94285.71428571429</v>
      </c>
      <c r="X429" s="58">
        <f>W429/0.875</f>
        <v>107755.10204081633</v>
      </c>
      <c r="Y429" s="59">
        <f>(X429-W429)/X429</f>
        <v>0.125</v>
      </c>
      <c r="Z429" s="58">
        <f>(ROUNDUP((X429/100),0))*100</f>
        <v>107800</v>
      </c>
      <c r="AA429" s="178"/>
      <c r="AB429" s="178"/>
      <c r="AC429" s="177"/>
      <c r="AD429" s="177"/>
      <c r="AE429" s="179"/>
      <c r="AF429" s="179"/>
      <c r="AG429" s="179"/>
      <c r="AH429" s="179"/>
      <c r="AI429" s="85"/>
    </row>
    <row r="430" spans="1:35" ht="14.45" customHeight="1" x14ac:dyDescent="0.2">
      <c r="A430" s="47">
        <v>8</v>
      </c>
      <c r="B430" s="48" t="str">
        <f>REPLACE(E430,1,3, )</f>
        <v xml:space="preserve"> 772</v>
      </c>
      <c r="C430" s="32" t="s">
        <v>108</v>
      </c>
      <c r="D430" s="49">
        <f>IF(E430=C430,0,1)</f>
        <v>0</v>
      </c>
      <c r="E430" s="47" t="s">
        <v>108</v>
      </c>
      <c r="F430" s="30" t="str">
        <f>REPLACE(E430,4,4, )</f>
        <v>SSG</v>
      </c>
      <c r="G430" s="30" t="s">
        <v>91</v>
      </c>
      <c r="H430" s="34" t="s">
        <v>92</v>
      </c>
      <c r="I430" s="30" t="s">
        <v>93</v>
      </c>
      <c r="J430" s="66"/>
      <c r="K430" s="52">
        <f>J430-M430</f>
        <v>0</v>
      </c>
      <c r="L430" s="47"/>
      <c r="M430" s="53">
        <f>J430-N430</f>
        <v>0</v>
      </c>
      <c r="N430" s="47"/>
      <c r="O430" s="55">
        <f>M430+N430</f>
        <v>0</v>
      </c>
      <c r="P430" s="47">
        <v>8</v>
      </c>
      <c r="Q430" s="41"/>
      <c r="R430" s="41"/>
      <c r="S430" s="42"/>
      <c r="T430" s="49"/>
      <c r="U430" s="57"/>
      <c r="V430" s="57">
        <f>U430+O430</f>
        <v>0</v>
      </c>
      <c r="W430" s="57">
        <f>V430/0.7</f>
        <v>0</v>
      </c>
      <c r="X430" s="58">
        <f>W430/0.875</f>
        <v>0</v>
      </c>
      <c r="Y430" s="59" t="e">
        <f>(X430-W430)/X430</f>
        <v>#DIV/0!</v>
      </c>
      <c r="Z430" s="58">
        <f>(ROUNDUP((X430/100),0))*100</f>
        <v>0</v>
      </c>
      <c r="AA430" s="178"/>
      <c r="AB430" s="178"/>
      <c r="AC430" s="177"/>
      <c r="AD430" s="177"/>
      <c r="AE430" s="179"/>
      <c r="AF430" s="179"/>
      <c r="AG430" s="179"/>
      <c r="AH430" s="179"/>
      <c r="AI430" s="85"/>
    </row>
    <row r="431" spans="1:35" ht="14.45" customHeight="1" x14ac:dyDescent="0.2">
      <c r="A431" s="47">
        <v>29</v>
      </c>
      <c r="B431" s="48" t="str">
        <f>REPLACE(E431,1,3, )</f>
        <v xml:space="preserve"> 781</v>
      </c>
      <c r="C431" s="50" t="s">
        <v>139</v>
      </c>
      <c r="D431" s="49">
        <f>IF(E431=C431,0,1)</f>
        <v>0</v>
      </c>
      <c r="E431" s="47" t="s">
        <v>139</v>
      </c>
      <c r="F431" s="30" t="str">
        <f>REPLACE(E431,4,4, )</f>
        <v>SSG</v>
      </c>
      <c r="G431" s="30" t="s">
        <v>91</v>
      </c>
      <c r="H431" s="34" t="s">
        <v>92</v>
      </c>
      <c r="I431" s="30" t="s">
        <v>116</v>
      </c>
      <c r="J431" s="51">
        <f>M431</f>
        <v>68500</v>
      </c>
      <c r="K431" s="68">
        <f>J431-M431</f>
        <v>0</v>
      </c>
      <c r="L431" s="60" t="s">
        <v>97</v>
      </c>
      <c r="M431" s="62">
        <v>68500</v>
      </c>
      <c r="N431" s="53">
        <f>2000+200+350+600+800</f>
        <v>3950</v>
      </c>
      <c r="O431" s="55">
        <f>M431+N431</f>
        <v>72450</v>
      </c>
      <c r="P431" s="47">
        <v>29</v>
      </c>
      <c r="Q431" s="56">
        <v>72450</v>
      </c>
      <c r="R431" s="41">
        <f>O431-Q431</f>
        <v>0</v>
      </c>
      <c r="S431" s="67"/>
      <c r="T431" s="33" t="s">
        <v>98</v>
      </c>
      <c r="U431" s="57">
        <v>1000</v>
      </c>
      <c r="V431" s="57">
        <f>U431+O431</f>
        <v>73450</v>
      </c>
      <c r="W431" s="57">
        <f>V431/0.7</f>
        <v>104928.57142857143</v>
      </c>
      <c r="X431" s="58">
        <f>W431/0.875</f>
        <v>119918.36734693879</v>
      </c>
      <c r="Y431" s="59">
        <f>(X431-W431)/X431</f>
        <v>0.12500000000000003</v>
      </c>
      <c r="Z431" s="58">
        <f>(ROUNDUP((X431/100),0))*100</f>
        <v>120000</v>
      </c>
      <c r="AA431" s="178"/>
      <c r="AB431" s="178"/>
      <c r="AC431" s="177"/>
      <c r="AD431" s="177"/>
      <c r="AE431" s="179"/>
      <c r="AF431" s="179"/>
      <c r="AG431" s="179"/>
      <c r="AH431" s="179"/>
      <c r="AI431" s="85"/>
    </row>
    <row r="432" spans="1:35" ht="14.45" customHeight="1" x14ac:dyDescent="0.2">
      <c r="A432" s="47">
        <v>476</v>
      </c>
      <c r="B432" s="48" t="str">
        <f>REPLACE(E432,1,3, )</f>
        <v xml:space="preserve"> 277</v>
      </c>
      <c r="C432" s="32" t="s">
        <v>948</v>
      </c>
      <c r="D432" s="49">
        <f>IF(E432=C432,0,1)</f>
        <v>0</v>
      </c>
      <c r="E432" s="47" t="s">
        <v>948</v>
      </c>
      <c r="F432" s="30" t="str">
        <f>REPLACE(E432,4,4, )</f>
        <v>SSI</v>
      </c>
      <c r="G432" s="30" t="s">
        <v>91</v>
      </c>
      <c r="H432" s="71" t="s">
        <v>910</v>
      </c>
      <c r="I432" s="30" t="s">
        <v>949</v>
      </c>
      <c r="J432" s="51">
        <v>60000</v>
      </c>
      <c r="K432" s="52">
        <f>J432-M432</f>
        <v>6650</v>
      </c>
      <c r="L432" s="49" t="s">
        <v>94</v>
      </c>
      <c r="M432" s="53">
        <f>J432-N432</f>
        <v>53350</v>
      </c>
      <c r="N432" s="53">
        <f>2000+200+600+250+3600</f>
        <v>6650</v>
      </c>
      <c r="O432" s="55">
        <f>M432+N432</f>
        <v>60000</v>
      </c>
      <c r="P432" s="47">
        <v>476</v>
      </c>
      <c r="Q432" s="56">
        <v>60000</v>
      </c>
      <c r="R432" s="41">
        <f>O432-Q432</f>
        <v>0</v>
      </c>
      <c r="S432" s="67"/>
      <c r="T432" s="33" t="s">
        <v>950</v>
      </c>
      <c r="U432" s="57"/>
      <c r="V432" s="57">
        <f>U432+O432</f>
        <v>60000</v>
      </c>
      <c r="W432" s="57">
        <f>V432/0.7</f>
        <v>85714.285714285725</v>
      </c>
      <c r="X432" s="58">
        <f>W432/0.875</f>
        <v>97959.183673469393</v>
      </c>
      <c r="Y432" s="59">
        <f>(X432-W432)/X432</f>
        <v>0.12499999999999994</v>
      </c>
      <c r="Z432" s="58">
        <f>(ROUNDUP((X432/100),0))*100</f>
        <v>98000</v>
      </c>
      <c r="AA432" s="178"/>
      <c r="AB432" s="178"/>
      <c r="AC432" s="177"/>
      <c r="AD432" s="177"/>
      <c r="AE432" s="179"/>
      <c r="AF432" s="179"/>
      <c r="AG432" s="179"/>
      <c r="AH432" s="179"/>
      <c r="AI432" s="85"/>
    </row>
    <row r="433" spans="1:35" s="91" customFormat="1" ht="14.45" customHeight="1" x14ac:dyDescent="0.2">
      <c r="A433" s="47">
        <v>481</v>
      </c>
      <c r="B433" s="48" t="str">
        <f>REPLACE(E433,1,3, )</f>
        <v xml:space="preserve"> 117</v>
      </c>
      <c r="C433" s="32" t="s">
        <v>957</v>
      </c>
      <c r="D433" s="49">
        <f>IF(E433=C433,0,1)</f>
        <v>0</v>
      </c>
      <c r="E433" s="48" t="s">
        <v>957</v>
      </c>
      <c r="F433" s="30" t="str">
        <f>REPLACE(E433,4,4, )</f>
        <v>SSN</v>
      </c>
      <c r="G433" s="33" t="s">
        <v>34</v>
      </c>
      <c r="H433" s="71" t="s">
        <v>958</v>
      </c>
      <c r="I433" s="33" t="s">
        <v>266</v>
      </c>
      <c r="J433" s="51">
        <v>68500</v>
      </c>
      <c r="K433" s="52">
        <f>J433-M433</f>
        <v>6150</v>
      </c>
      <c r="L433" s="49" t="s">
        <v>94</v>
      </c>
      <c r="M433" s="53">
        <f>J433-N433</f>
        <v>62350</v>
      </c>
      <c r="N433" s="54">
        <v>6150</v>
      </c>
      <c r="O433" s="55">
        <f>M433+N433</f>
        <v>68500</v>
      </c>
      <c r="P433" s="47">
        <v>481</v>
      </c>
      <c r="Q433" s="56">
        <v>68500</v>
      </c>
      <c r="R433" s="41">
        <f>O433-Q433</f>
        <v>0</v>
      </c>
      <c r="S433" s="67"/>
      <c r="T433" s="33" t="s">
        <v>959</v>
      </c>
      <c r="U433" s="57">
        <v>1000</v>
      </c>
      <c r="V433" s="57">
        <f>U433+O433</f>
        <v>69500</v>
      </c>
      <c r="W433" s="57">
        <f>V433/0.7</f>
        <v>99285.71428571429</v>
      </c>
      <c r="X433" s="58">
        <f>W433/0.875</f>
        <v>113469.38775510204</v>
      </c>
      <c r="Y433" s="59">
        <f>(X433-W433)/X433</f>
        <v>0.12499999999999997</v>
      </c>
      <c r="Z433" s="58">
        <f>(ROUNDUP((X433/100),0))*100</f>
        <v>113500</v>
      </c>
      <c r="AA433" s="58"/>
      <c r="AB433" s="58"/>
      <c r="AC433" s="180"/>
      <c r="AD433" s="180"/>
      <c r="AE433" s="176"/>
      <c r="AF433" s="176"/>
      <c r="AG433" s="176"/>
      <c r="AH433" s="176"/>
    </row>
    <row r="434" spans="1:35" ht="14.45" customHeight="1" x14ac:dyDescent="0.2">
      <c r="A434" s="47">
        <v>500</v>
      </c>
      <c r="B434" s="48" t="str">
        <f>REPLACE(E434,1,3, )</f>
        <v xml:space="preserve"> 423</v>
      </c>
      <c r="C434" s="32" t="s">
        <v>993</v>
      </c>
      <c r="D434" s="49">
        <f>IF(E434=C434,0,1)</f>
        <v>0</v>
      </c>
      <c r="E434" s="48" t="s">
        <v>993</v>
      </c>
      <c r="F434" s="30" t="str">
        <f>REPLACE(E434,4,4, )</f>
        <v>SSN</v>
      </c>
      <c r="G434" s="33" t="s">
        <v>34</v>
      </c>
      <c r="H434" s="71" t="s">
        <v>986</v>
      </c>
      <c r="I434" s="33" t="s">
        <v>266</v>
      </c>
      <c r="J434" s="51">
        <v>61650</v>
      </c>
      <c r="K434" s="52">
        <f>J434-M434</f>
        <v>4450</v>
      </c>
      <c r="L434" s="49" t="s">
        <v>94</v>
      </c>
      <c r="M434" s="53">
        <f>J434-N434</f>
        <v>57200</v>
      </c>
      <c r="N434" s="54">
        <f>2000+200+350+600+500+800</f>
        <v>4450</v>
      </c>
      <c r="O434" s="55">
        <f>M434+N434</f>
        <v>61650</v>
      </c>
      <c r="P434" s="47">
        <v>500</v>
      </c>
      <c r="Q434" s="56">
        <v>61650</v>
      </c>
      <c r="R434" s="41">
        <f>O434-Q434</f>
        <v>0</v>
      </c>
      <c r="S434" s="67"/>
      <c r="T434" s="33" t="s">
        <v>994</v>
      </c>
      <c r="U434" s="57">
        <v>2000</v>
      </c>
      <c r="V434" s="57">
        <f>U434+O434</f>
        <v>63650</v>
      </c>
      <c r="W434" s="57">
        <f>V434/0.7</f>
        <v>90928.571428571435</v>
      </c>
      <c r="X434" s="58">
        <f>W434/0.875</f>
        <v>103918.36734693879</v>
      </c>
      <c r="Y434" s="59">
        <f>(X434-W434)/X434</f>
        <v>0.12500000000000003</v>
      </c>
      <c r="Z434" s="58">
        <f>(ROUNDUP((X434/100),0))*100</f>
        <v>104000</v>
      </c>
      <c r="AA434" s="58"/>
      <c r="AB434" s="58"/>
      <c r="AC434" s="180"/>
      <c r="AD434" s="180"/>
      <c r="AE434" s="176"/>
      <c r="AF434" s="176"/>
      <c r="AG434" s="176"/>
      <c r="AH434" s="176"/>
      <c r="AI434" s="85"/>
    </row>
    <row r="435" spans="1:35" s="91" customFormat="1" ht="14.45" customHeight="1" x14ac:dyDescent="0.2">
      <c r="A435" s="47">
        <v>213</v>
      </c>
      <c r="B435" s="48" t="str">
        <f>REPLACE(E435,1,3, )</f>
        <v xml:space="preserve"> 207</v>
      </c>
      <c r="C435" s="70" t="s">
        <v>485</v>
      </c>
      <c r="D435" s="49">
        <f>IF(E435=C435,0,1)</f>
        <v>0</v>
      </c>
      <c r="E435" s="49" t="s">
        <v>485</v>
      </c>
      <c r="F435" s="30" t="str">
        <f>REPLACE(E435,4,4, )</f>
        <v>SSO</v>
      </c>
      <c r="G435" s="33" t="s">
        <v>91</v>
      </c>
      <c r="H435" s="71" t="s">
        <v>441</v>
      </c>
      <c r="I435" s="33" t="s">
        <v>473</v>
      </c>
      <c r="J435" s="51">
        <v>80000</v>
      </c>
      <c r="K435" s="52">
        <f>J435-M435</f>
        <v>6900</v>
      </c>
      <c r="L435" s="49" t="s">
        <v>94</v>
      </c>
      <c r="M435" s="53">
        <f>J435-N435</f>
        <v>73100</v>
      </c>
      <c r="N435" s="53">
        <f>2000+300+600+1000+3000</f>
        <v>6900</v>
      </c>
      <c r="O435" s="55">
        <f>M435+N435</f>
        <v>80000</v>
      </c>
      <c r="P435" s="47">
        <v>213</v>
      </c>
      <c r="Q435" s="56">
        <v>80000</v>
      </c>
      <c r="R435" s="41">
        <f>O435-Q435</f>
        <v>0</v>
      </c>
      <c r="S435" s="67"/>
      <c r="T435" s="33" t="s">
        <v>474</v>
      </c>
      <c r="U435" s="57"/>
      <c r="V435" s="57">
        <f>U435+O435</f>
        <v>80000</v>
      </c>
      <c r="W435" s="57">
        <f>V435/0.7</f>
        <v>114285.71428571429</v>
      </c>
      <c r="X435" s="58">
        <f>W435/0.875</f>
        <v>130612.24489795919</v>
      </c>
      <c r="Y435" s="59">
        <f>(X435-W435)/X435</f>
        <v>0.12499999999999999</v>
      </c>
      <c r="Z435" s="58">
        <f>(ROUNDUP((X435/100),0))*100</f>
        <v>130700</v>
      </c>
      <c r="AA435" s="178"/>
      <c r="AB435" s="178"/>
      <c r="AC435" s="177"/>
      <c r="AD435" s="177"/>
      <c r="AE435" s="179"/>
      <c r="AF435" s="179"/>
      <c r="AG435" s="179"/>
      <c r="AH435" s="179"/>
    </row>
    <row r="436" spans="1:35" ht="14.45" customHeight="1" x14ac:dyDescent="0.2">
      <c r="A436" s="47">
        <v>214</v>
      </c>
      <c r="B436" s="48" t="str">
        <f>REPLACE(E436,1,3, )</f>
        <v xml:space="preserve"> 403</v>
      </c>
      <c r="C436" s="70" t="s">
        <v>486</v>
      </c>
      <c r="D436" s="49">
        <f>IF(E436=C436,0,1)</f>
        <v>0</v>
      </c>
      <c r="E436" s="49" t="s">
        <v>486</v>
      </c>
      <c r="F436" s="30" t="str">
        <f>REPLACE(E436,4,4, )</f>
        <v>SSO</v>
      </c>
      <c r="G436" s="33" t="s">
        <v>91</v>
      </c>
      <c r="H436" s="71" t="s">
        <v>441</v>
      </c>
      <c r="I436" s="33" t="s">
        <v>473</v>
      </c>
      <c r="J436" s="51">
        <v>82000</v>
      </c>
      <c r="K436" s="52">
        <f>J436-M436</f>
        <v>6550</v>
      </c>
      <c r="L436" s="49" t="s">
        <v>94</v>
      </c>
      <c r="M436" s="53">
        <f>J436-N436</f>
        <v>75450</v>
      </c>
      <c r="N436" s="53">
        <f>2000+300+600+650+3000</f>
        <v>6550</v>
      </c>
      <c r="O436" s="55">
        <f>M436+N436</f>
        <v>82000</v>
      </c>
      <c r="P436" s="47">
        <v>214</v>
      </c>
      <c r="Q436" s="56">
        <v>82000</v>
      </c>
      <c r="R436" s="41">
        <f>O436-Q436</f>
        <v>0</v>
      </c>
      <c r="S436" s="67"/>
      <c r="T436" s="33" t="s">
        <v>487</v>
      </c>
      <c r="U436" s="57"/>
      <c r="V436" s="57">
        <f>U436+O436</f>
        <v>82000</v>
      </c>
      <c r="W436" s="57">
        <f>V436/0.7</f>
        <v>117142.85714285714</v>
      </c>
      <c r="X436" s="58">
        <f>W436/0.875</f>
        <v>133877.55102040817</v>
      </c>
      <c r="Y436" s="59">
        <f>(X436-W436)/X436</f>
        <v>0.125</v>
      </c>
      <c r="Z436" s="58">
        <f>(ROUNDUP((X436/100),0))*100</f>
        <v>133900</v>
      </c>
      <c r="AA436" s="178" t="s">
        <v>1780</v>
      </c>
      <c r="AB436" s="224">
        <v>43445</v>
      </c>
      <c r="AC436" s="177"/>
      <c r="AD436" s="177"/>
      <c r="AE436" s="179"/>
      <c r="AF436" s="179"/>
      <c r="AG436" s="179"/>
      <c r="AH436" s="179"/>
      <c r="AI436" s="85"/>
    </row>
    <row r="437" spans="1:35" ht="14.45" customHeight="1" x14ac:dyDescent="0.2">
      <c r="A437" s="47">
        <v>207</v>
      </c>
      <c r="B437" s="48" t="str">
        <f>REPLACE(E437,1,3, )</f>
        <v xml:space="preserve"> 913</v>
      </c>
      <c r="C437" s="70" t="s">
        <v>472</v>
      </c>
      <c r="D437" s="49">
        <f>IF(E437=C437,0,1)</f>
        <v>0</v>
      </c>
      <c r="E437" s="49" t="s">
        <v>472</v>
      </c>
      <c r="F437" s="30" t="str">
        <f>REPLACE(E437,4,4, )</f>
        <v>SSO</v>
      </c>
      <c r="G437" s="33" t="s">
        <v>91</v>
      </c>
      <c r="H437" s="71" t="s">
        <v>441</v>
      </c>
      <c r="I437" s="33" t="s">
        <v>473</v>
      </c>
      <c r="J437" s="51">
        <v>75000</v>
      </c>
      <c r="K437" s="52">
        <f>J437-M437</f>
        <v>6900</v>
      </c>
      <c r="L437" s="49" t="s">
        <v>94</v>
      </c>
      <c r="M437" s="53">
        <f>J437-N437</f>
        <v>68100</v>
      </c>
      <c r="N437" s="53">
        <f>2000+300+600+1000+3000</f>
        <v>6900</v>
      </c>
      <c r="O437" s="55">
        <f>M437+N437</f>
        <v>75000</v>
      </c>
      <c r="P437" s="47">
        <v>207</v>
      </c>
      <c r="Q437" s="56">
        <v>75000</v>
      </c>
      <c r="R437" s="41">
        <f>O437-Q437</f>
        <v>0</v>
      </c>
      <c r="S437" s="67"/>
      <c r="T437" s="33" t="s">
        <v>474</v>
      </c>
      <c r="U437" s="57"/>
      <c r="V437" s="57">
        <f>U437+O437</f>
        <v>75000</v>
      </c>
      <c r="W437" s="57">
        <f>V437/0.7</f>
        <v>107142.85714285714</v>
      </c>
      <c r="X437" s="58">
        <f>W437/0.875</f>
        <v>122448.97959183673</v>
      </c>
      <c r="Y437" s="59">
        <f>(X437-W437)/X437</f>
        <v>0.12499999999999996</v>
      </c>
      <c r="Z437" s="58">
        <f>(ROUNDUP((X437/100),0))*100</f>
        <v>122500</v>
      </c>
      <c r="AA437" s="178" t="s">
        <v>1780</v>
      </c>
      <c r="AB437" s="224">
        <v>43445</v>
      </c>
      <c r="AC437" s="177"/>
      <c r="AD437" s="177"/>
      <c r="AE437" s="179"/>
      <c r="AF437" s="179"/>
      <c r="AG437" s="179"/>
      <c r="AH437" s="179"/>
      <c r="AI437" s="85"/>
    </row>
    <row r="438" spans="1:35" s="91" customFormat="1" ht="14.45" customHeight="1" x14ac:dyDescent="0.2">
      <c r="A438" s="47">
        <v>210</v>
      </c>
      <c r="B438" s="48" t="str">
        <f>REPLACE(E438,1,3, )</f>
        <v xml:space="preserve"> 949</v>
      </c>
      <c r="C438" s="70" t="s">
        <v>479</v>
      </c>
      <c r="D438" s="49">
        <f>IF(E438=C438,0,1)</f>
        <v>0</v>
      </c>
      <c r="E438" s="49" t="s">
        <v>479</v>
      </c>
      <c r="F438" s="30" t="str">
        <f>REPLACE(E438,4,4, )</f>
        <v>SSO</v>
      </c>
      <c r="G438" s="33" t="s">
        <v>91</v>
      </c>
      <c r="H438" s="71" t="s">
        <v>441</v>
      </c>
      <c r="I438" s="33" t="s">
        <v>473</v>
      </c>
      <c r="J438" s="51">
        <v>82000</v>
      </c>
      <c r="K438" s="52">
        <f>J438-M438</f>
        <v>5900</v>
      </c>
      <c r="L438" s="49" t="s">
        <v>94</v>
      </c>
      <c r="M438" s="53">
        <f>J438-N438</f>
        <v>76100</v>
      </c>
      <c r="N438" s="53">
        <f>2000+300+600+3000</f>
        <v>5900</v>
      </c>
      <c r="O438" s="55">
        <f>M438+N438</f>
        <v>82000</v>
      </c>
      <c r="P438" s="47">
        <v>210</v>
      </c>
      <c r="Q438" s="56">
        <v>82000</v>
      </c>
      <c r="R438" s="41">
        <f>O438-Q438</f>
        <v>0</v>
      </c>
      <c r="S438" s="67"/>
      <c r="T438" s="33" t="s">
        <v>480</v>
      </c>
      <c r="U438" s="57"/>
      <c r="V438" s="57">
        <f>U438+O438</f>
        <v>82000</v>
      </c>
      <c r="W438" s="57">
        <f>V438/0.7</f>
        <v>117142.85714285714</v>
      </c>
      <c r="X438" s="58">
        <f>W438/0.875</f>
        <v>133877.55102040817</v>
      </c>
      <c r="Y438" s="59">
        <f>(X438-W438)/X438</f>
        <v>0.125</v>
      </c>
      <c r="Z438" s="58">
        <f>(ROUNDUP((X438/100),0))*100</f>
        <v>133900</v>
      </c>
      <c r="AA438" s="178" t="s">
        <v>1790</v>
      </c>
      <c r="AB438" s="224">
        <v>43445</v>
      </c>
      <c r="AC438" s="177"/>
      <c r="AD438" s="177"/>
      <c r="AE438" s="179"/>
      <c r="AF438" s="179"/>
      <c r="AG438" s="179"/>
      <c r="AH438" s="179"/>
    </row>
    <row r="439" spans="1:35" ht="14.45" customHeight="1" x14ac:dyDescent="0.2">
      <c r="A439" s="47">
        <v>128</v>
      </c>
      <c r="B439" s="48" t="str">
        <f>REPLACE(E439,1,3, )</f>
        <v xml:space="preserve"> 254</v>
      </c>
      <c r="C439" s="70" t="s">
        <v>322</v>
      </c>
      <c r="D439" s="49">
        <f>IF(E439=C439,0,1)</f>
        <v>0</v>
      </c>
      <c r="E439" s="49" t="s">
        <v>322</v>
      </c>
      <c r="F439" s="30" t="str">
        <f>REPLACE(E439,4,4, )</f>
        <v>SSP</v>
      </c>
      <c r="G439" s="33" t="s">
        <v>91</v>
      </c>
      <c r="H439" s="34" t="s">
        <v>319</v>
      </c>
      <c r="I439" s="33" t="s">
        <v>323</v>
      </c>
      <c r="J439" s="51">
        <f>M439</f>
        <v>88000</v>
      </c>
      <c r="K439" s="52">
        <f>J439-M439</f>
        <v>0</v>
      </c>
      <c r="L439" s="60" t="s">
        <v>97</v>
      </c>
      <c r="M439" s="62">
        <v>88000</v>
      </c>
      <c r="N439" s="53">
        <f>2000+200+350+600+3000</f>
        <v>6150</v>
      </c>
      <c r="O439" s="55">
        <f>M439+N439</f>
        <v>94150</v>
      </c>
      <c r="P439" s="47">
        <v>128</v>
      </c>
      <c r="Q439" s="56">
        <v>94150</v>
      </c>
      <c r="R439" s="41">
        <f>O439-Q439</f>
        <v>0</v>
      </c>
      <c r="S439" s="67"/>
      <c r="T439" s="33" t="s">
        <v>313</v>
      </c>
      <c r="U439" s="57"/>
      <c r="V439" s="57">
        <f>U439+O439</f>
        <v>94150</v>
      </c>
      <c r="W439" s="57">
        <f>V439/0.7</f>
        <v>134500</v>
      </c>
      <c r="X439" s="58">
        <f>W439/0.875</f>
        <v>153714.28571428571</v>
      </c>
      <c r="Y439" s="59">
        <f>(X439-W439)/X439</f>
        <v>0.12499999999999997</v>
      </c>
      <c r="Z439" s="58">
        <f>(ROUNDUP((X439/100),0))*100</f>
        <v>153800</v>
      </c>
      <c r="AA439" s="178" t="s">
        <v>1780</v>
      </c>
      <c r="AB439" s="224">
        <v>43432</v>
      </c>
      <c r="AC439" s="177"/>
      <c r="AD439" s="177"/>
      <c r="AE439" s="179"/>
      <c r="AF439" s="179"/>
      <c r="AG439" s="179"/>
      <c r="AH439" s="179"/>
      <c r="AI439" s="85"/>
    </row>
    <row r="440" spans="1:35" s="91" customFormat="1" ht="14.45" customHeight="1" x14ac:dyDescent="0.2">
      <c r="A440" s="47">
        <v>345</v>
      </c>
      <c r="B440" s="48" t="str">
        <f>REPLACE(E440,1,3, )</f>
        <v xml:space="preserve"> 399</v>
      </c>
      <c r="C440" s="70" t="s">
        <v>712</v>
      </c>
      <c r="D440" s="49">
        <f>IF(E440=C440,0,1)</f>
        <v>0</v>
      </c>
      <c r="E440" s="49" t="s">
        <v>712</v>
      </c>
      <c r="F440" s="30" t="str">
        <f>REPLACE(E440,4,4, )</f>
        <v>SSP</v>
      </c>
      <c r="G440" s="33" t="s">
        <v>91</v>
      </c>
      <c r="H440" s="71" t="s">
        <v>335</v>
      </c>
      <c r="I440" s="33" t="s">
        <v>323</v>
      </c>
      <c r="J440" s="51">
        <f>M440</f>
        <v>88000</v>
      </c>
      <c r="K440" s="52">
        <f>J440-M440</f>
        <v>0</v>
      </c>
      <c r="L440" s="60" t="s">
        <v>97</v>
      </c>
      <c r="M440" s="62">
        <v>88000</v>
      </c>
      <c r="N440" s="53">
        <f>2000+200+350+600+3000</f>
        <v>6150</v>
      </c>
      <c r="O440" s="55">
        <f>M440+N440</f>
        <v>94150</v>
      </c>
      <c r="P440" s="47">
        <v>345</v>
      </c>
      <c r="Q440" s="56">
        <v>94150</v>
      </c>
      <c r="R440" s="41">
        <f>O440-Q440</f>
        <v>0</v>
      </c>
      <c r="S440" s="67"/>
      <c r="T440" s="33" t="s">
        <v>313</v>
      </c>
      <c r="U440" s="57"/>
      <c r="V440" s="57">
        <f>U440+O440</f>
        <v>94150</v>
      </c>
      <c r="W440" s="57">
        <f>V440/0.7</f>
        <v>134500</v>
      </c>
      <c r="X440" s="58">
        <f>W440/0.875</f>
        <v>153714.28571428571</v>
      </c>
      <c r="Y440" s="59">
        <f>(X440-W440)/X440</f>
        <v>0.12499999999999997</v>
      </c>
      <c r="Z440" s="58">
        <f>(ROUNDUP((X440/100),0))*100</f>
        <v>153800</v>
      </c>
      <c r="AA440" s="178" t="s">
        <v>1780</v>
      </c>
      <c r="AB440" s="224">
        <v>43432</v>
      </c>
      <c r="AC440" s="177"/>
      <c r="AD440" s="177"/>
      <c r="AE440" s="179"/>
      <c r="AF440" s="179"/>
      <c r="AG440" s="179"/>
      <c r="AH440" s="179"/>
    </row>
    <row r="441" spans="1:35" s="91" customFormat="1" ht="14.45" customHeight="1" x14ac:dyDescent="0.2">
      <c r="A441" s="47">
        <v>370</v>
      </c>
      <c r="B441" s="48" t="str">
        <f>REPLACE(E441,1,3, )</f>
        <v xml:space="preserve"> 547</v>
      </c>
      <c r="C441" s="70" t="s">
        <v>760</v>
      </c>
      <c r="D441" s="49">
        <f>IF(E441=C441,0,1)</f>
        <v>0</v>
      </c>
      <c r="E441" s="49" t="s">
        <v>760</v>
      </c>
      <c r="F441" s="30" t="str">
        <f>REPLACE(E441,4,4, )</f>
        <v>SSP</v>
      </c>
      <c r="G441" s="33" t="s">
        <v>91</v>
      </c>
      <c r="H441" s="34" t="s">
        <v>722</v>
      </c>
      <c r="I441" s="33" t="s">
        <v>323</v>
      </c>
      <c r="J441" s="51">
        <f>M441</f>
        <v>80000</v>
      </c>
      <c r="K441" s="52">
        <f>J441-M441</f>
        <v>0</v>
      </c>
      <c r="L441" s="60" t="s">
        <v>97</v>
      </c>
      <c r="M441" s="62">
        <v>80000</v>
      </c>
      <c r="N441" s="53">
        <f>2000+200+600+750+3000</f>
        <v>6550</v>
      </c>
      <c r="O441" s="55">
        <f>M441+N441</f>
        <v>86550</v>
      </c>
      <c r="P441" s="47">
        <v>370</v>
      </c>
      <c r="Q441" s="56">
        <v>86550</v>
      </c>
      <c r="R441" s="41">
        <f>O441-Q441</f>
        <v>0</v>
      </c>
      <c r="S441" s="67"/>
      <c r="T441" s="33" t="s">
        <v>754</v>
      </c>
      <c r="U441" s="57"/>
      <c r="V441" s="57">
        <f>U441+O441</f>
        <v>86550</v>
      </c>
      <c r="W441" s="57">
        <f>V441/0.7</f>
        <v>123642.85714285714</v>
      </c>
      <c r="X441" s="58">
        <f>W441/0.875</f>
        <v>141306.12244897959</v>
      </c>
      <c r="Y441" s="59">
        <f>(X441-W441)/X441</f>
        <v>0.12499999999999994</v>
      </c>
      <c r="Z441" s="58">
        <f>(ROUNDUP((X441/100),0))*100</f>
        <v>141400</v>
      </c>
      <c r="AA441" s="178" t="s">
        <v>1780</v>
      </c>
      <c r="AB441" s="224">
        <v>43432</v>
      </c>
      <c r="AC441" s="177"/>
      <c r="AD441" s="177"/>
      <c r="AE441" s="179"/>
      <c r="AF441" s="179"/>
      <c r="AG441" s="179"/>
      <c r="AH441" s="179"/>
    </row>
    <row r="442" spans="1:35" ht="14.45" customHeight="1" x14ac:dyDescent="0.2">
      <c r="A442" s="47">
        <v>136</v>
      </c>
      <c r="B442" s="48" t="str">
        <f>REPLACE(E442,1,3, )</f>
        <v xml:space="preserve"> 555</v>
      </c>
      <c r="C442" s="32" t="s">
        <v>334</v>
      </c>
      <c r="D442" s="49">
        <f>IF(E442=C442,0,1)</f>
        <v>0</v>
      </c>
      <c r="E442" s="49" t="s">
        <v>334</v>
      </c>
      <c r="F442" s="30" t="str">
        <f>REPLACE(E442,4,4, )</f>
        <v>SSP</v>
      </c>
      <c r="G442" s="33" t="s">
        <v>91</v>
      </c>
      <c r="H442" s="71" t="s">
        <v>335</v>
      </c>
      <c r="I442" s="33" t="s">
        <v>323</v>
      </c>
      <c r="J442" s="51">
        <f>M442</f>
        <v>88000</v>
      </c>
      <c r="K442" s="52">
        <f>J442-M442</f>
        <v>0</v>
      </c>
      <c r="L442" s="60" t="s">
        <v>97</v>
      </c>
      <c r="M442" s="62">
        <v>88000</v>
      </c>
      <c r="N442" s="53">
        <f>2000+200+350+600+3000</f>
        <v>6150</v>
      </c>
      <c r="O442" s="55">
        <f>M442+N442</f>
        <v>94150</v>
      </c>
      <c r="P442" s="47">
        <v>136</v>
      </c>
      <c r="Q442" s="56">
        <v>94150</v>
      </c>
      <c r="R442" s="41">
        <f>O442-Q442</f>
        <v>0</v>
      </c>
      <c r="S442" s="67"/>
      <c r="T442" s="33" t="s">
        <v>313</v>
      </c>
      <c r="U442" s="57"/>
      <c r="V442" s="57">
        <f>U442+O442</f>
        <v>94150</v>
      </c>
      <c r="W442" s="57">
        <f>V442/0.7</f>
        <v>134500</v>
      </c>
      <c r="X442" s="58">
        <f>W442/0.875</f>
        <v>153714.28571428571</v>
      </c>
      <c r="Y442" s="59">
        <f>(X442-W442)/X442</f>
        <v>0.12499999999999997</v>
      </c>
      <c r="Z442" s="58">
        <f>(ROUNDUP((X442/100),0))*100</f>
        <v>153800</v>
      </c>
      <c r="AA442" s="178" t="s">
        <v>1780</v>
      </c>
      <c r="AB442" s="224">
        <v>43432</v>
      </c>
      <c r="AC442" s="177"/>
      <c r="AD442" s="177"/>
      <c r="AE442" s="179"/>
      <c r="AF442" s="179"/>
      <c r="AG442" s="179"/>
      <c r="AH442" s="179"/>
      <c r="AI442" s="85"/>
    </row>
    <row r="443" spans="1:35" ht="14.45" customHeight="1" x14ac:dyDescent="0.2">
      <c r="A443" s="47">
        <v>137</v>
      </c>
      <c r="B443" s="48" t="str">
        <f>REPLACE(E443,1,3, )</f>
        <v xml:space="preserve"> 742</v>
      </c>
      <c r="C443" s="32" t="s">
        <v>336</v>
      </c>
      <c r="D443" s="49">
        <f>IF(E443=C443,0,1)</f>
        <v>0</v>
      </c>
      <c r="E443" s="49" t="s">
        <v>336</v>
      </c>
      <c r="F443" s="30" t="str">
        <f>REPLACE(E443,4,4, )</f>
        <v>SSP</v>
      </c>
      <c r="G443" s="33" t="s">
        <v>91</v>
      </c>
      <c r="H443" s="34" t="s">
        <v>319</v>
      </c>
      <c r="I443" s="33" t="s">
        <v>323</v>
      </c>
      <c r="J443" s="51">
        <v>104000</v>
      </c>
      <c r="K443" s="52">
        <f>J443-M443</f>
        <v>3900</v>
      </c>
      <c r="L443" s="49" t="s">
        <v>94</v>
      </c>
      <c r="M443" s="53">
        <f>J443-N443</f>
        <v>100100</v>
      </c>
      <c r="N443" s="53">
        <f>2000+200+350+600+750</f>
        <v>3900</v>
      </c>
      <c r="O443" s="55">
        <f>M443+N443</f>
        <v>104000</v>
      </c>
      <c r="P443" s="47">
        <v>137</v>
      </c>
      <c r="Q443" s="56">
        <v>104000</v>
      </c>
      <c r="R443" s="41">
        <f>O443-Q443</f>
        <v>0</v>
      </c>
      <c r="S443" s="67"/>
      <c r="T443" s="33" t="s">
        <v>327</v>
      </c>
      <c r="U443" s="57"/>
      <c r="V443" s="57">
        <f>U443+O443</f>
        <v>104000</v>
      </c>
      <c r="W443" s="57">
        <f>V443/0.7</f>
        <v>148571.42857142858</v>
      </c>
      <c r="X443" s="58">
        <f>W443/0.875</f>
        <v>169795.91836734695</v>
      </c>
      <c r="Y443" s="59">
        <f>(X443-W443)/X443</f>
        <v>0.12500000000000003</v>
      </c>
      <c r="Z443" s="58">
        <f>(ROUNDUP((X443/100),0))*100</f>
        <v>169800</v>
      </c>
      <c r="AA443" s="178" t="s">
        <v>1780</v>
      </c>
      <c r="AB443" s="224">
        <v>43441</v>
      </c>
      <c r="AC443" s="177"/>
      <c r="AD443" s="177"/>
      <c r="AE443" s="179"/>
      <c r="AF443" s="179"/>
      <c r="AG443" s="179"/>
      <c r="AH443" s="179"/>
      <c r="AI443" s="85"/>
    </row>
    <row r="444" spans="1:35" ht="14.45" customHeight="1" x14ac:dyDescent="0.2">
      <c r="A444" s="47">
        <v>365</v>
      </c>
      <c r="B444" s="48" t="str">
        <f>REPLACE(E444,1,3, )</f>
        <v xml:space="preserve"> 878</v>
      </c>
      <c r="C444" s="70" t="s">
        <v>753</v>
      </c>
      <c r="D444" s="49">
        <f>IF(E444=C444,0,1)</f>
        <v>0</v>
      </c>
      <c r="E444" s="48" t="s">
        <v>753</v>
      </c>
      <c r="F444" s="30" t="str">
        <f>REPLACE(E444,4,4, )</f>
        <v>SSP</v>
      </c>
      <c r="G444" s="33" t="s">
        <v>34</v>
      </c>
      <c r="H444" s="34" t="s">
        <v>722</v>
      </c>
      <c r="I444" s="33" t="s">
        <v>323</v>
      </c>
      <c r="J444" s="51">
        <f>M444</f>
        <v>80000</v>
      </c>
      <c r="K444" s="52">
        <f>J444-M444</f>
        <v>0</v>
      </c>
      <c r="L444" s="60" t="s">
        <v>97</v>
      </c>
      <c r="M444" s="61">
        <v>80000</v>
      </c>
      <c r="N444" s="54">
        <f>2000+200+600+750+3000</f>
        <v>6550</v>
      </c>
      <c r="O444" s="55">
        <f>M444+N444</f>
        <v>86550</v>
      </c>
      <c r="P444" s="47">
        <v>365</v>
      </c>
      <c r="Q444" s="56">
        <v>86550</v>
      </c>
      <c r="R444" s="41">
        <f>O444-Q444</f>
        <v>0</v>
      </c>
      <c r="S444" s="67"/>
      <c r="T444" s="33" t="s">
        <v>754</v>
      </c>
      <c r="U444" s="57">
        <v>2000</v>
      </c>
      <c r="V444" s="57">
        <f>U444+O444</f>
        <v>88550</v>
      </c>
      <c r="W444" s="57">
        <f>V444/0.7</f>
        <v>126500.00000000001</v>
      </c>
      <c r="X444" s="58">
        <f>W444/0.875</f>
        <v>144571.42857142858</v>
      </c>
      <c r="Y444" s="59">
        <f>(X444-W444)/X444</f>
        <v>0.12499999999999994</v>
      </c>
      <c r="Z444" s="58">
        <f>(ROUNDUP((X444/100),0))*100</f>
        <v>144600</v>
      </c>
      <c r="AA444" s="58"/>
      <c r="AB444" s="58"/>
      <c r="AC444" s="180"/>
      <c r="AD444" s="180"/>
      <c r="AE444" s="176"/>
      <c r="AF444" s="176"/>
      <c r="AG444" s="176"/>
      <c r="AH444" s="176"/>
      <c r="AI444" s="85"/>
    </row>
    <row r="445" spans="1:35" ht="14.45" customHeight="1" x14ac:dyDescent="0.2">
      <c r="A445" s="47">
        <v>135</v>
      </c>
      <c r="B445" s="48" t="str">
        <f>REPLACE(E445,1,3, )</f>
        <v xml:space="preserve"> 989</v>
      </c>
      <c r="C445" s="70" t="s">
        <v>333</v>
      </c>
      <c r="D445" s="49">
        <f>IF(E445=C445,0,1)</f>
        <v>0</v>
      </c>
      <c r="E445" s="49" t="s">
        <v>333</v>
      </c>
      <c r="F445" s="30" t="str">
        <f>REPLACE(E445,4,4, )</f>
        <v>SSP</v>
      </c>
      <c r="G445" s="33" t="s">
        <v>91</v>
      </c>
      <c r="H445" s="34" t="s">
        <v>319</v>
      </c>
      <c r="I445" s="33" t="s">
        <v>323</v>
      </c>
      <c r="J445" s="51">
        <f>M445</f>
        <v>82500</v>
      </c>
      <c r="K445" s="52">
        <f>J445-M445</f>
        <v>0</v>
      </c>
      <c r="L445" s="60" t="s">
        <v>97</v>
      </c>
      <c r="M445" s="62">
        <v>82500</v>
      </c>
      <c r="N445" s="53">
        <f>2000+200+350+600+3000</f>
        <v>6150</v>
      </c>
      <c r="O445" s="55">
        <f>M445+N445</f>
        <v>88650</v>
      </c>
      <c r="P445" s="47">
        <v>135</v>
      </c>
      <c r="Q445" s="56">
        <v>88650</v>
      </c>
      <c r="R445" s="41">
        <f>O445-Q445</f>
        <v>0</v>
      </c>
      <c r="S445" s="67"/>
      <c r="T445" s="33" t="s">
        <v>313</v>
      </c>
      <c r="U445" s="57"/>
      <c r="V445" s="57">
        <f>U445+O445</f>
        <v>88650</v>
      </c>
      <c r="W445" s="57">
        <f>V445/0.7</f>
        <v>126642.85714285714</v>
      </c>
      <c r="X445" s="58">
        <f>W445/0.875</f>
        <v>144734.69387755104</v>
      </c>
      <c r="Y445" s="59">
        <f>(X445-W445)/X445</f>
        <v>0.12500000000000008</v>
      </c>
      <c r="Z445" s="58">
        <f>(ROUNDUP((X445/100),0))*100</f>
        <v>144800</v>
      </c>
      <c r="AA445" s="178" t="s">
        <v>1780</v>
      </c>
      <c r="AB445" s="224">
        <v>43432</v>
      </c>
      <c r="AC445" s="177"/>
      <c r="AD445" s="177"/>
      <c r="AE445" s="179"/>
      <c r="AF445" s="179"/>
      <c r="AG445" s="179"/>
      <c r="AH445" s="179"/>
      <c r="AI445" s="85"/>
    </row>
    <row r="446" spans="1:35" ht="14.45" customHeight="1" x14ac:dyDescent="0.2">
      <c r="A446" s="47">
        <v>6</v>
      </c>
      <c r="B446" s="48" t="str">
        <f>REPLACE(E446,1,3, )</f>
        <v xml:space="preserve"> 185</v>
      </c>
      <c r="C446" s="32" t="s">
        <v>103</v>
      </c>
      <c r="D446" s="49">
        <f>IF(E446=C446,0,1)</f>
        <v>0</v>
      </c>
      <c r="E446" s="47" t="s">
        <v>103</v>
      </c>
      <c r="F446" s="30" t="str">
        <f>REPLACE(E446,4,4, )</f>
        <v>SSR</v>
      </c>
      <c r="G446" s="30" t="s">
        <v>91</v>
      </c>
      <c r="H446" s="34" t="s">
        <v>92</v>
      </c>
      <c r="I446" s="30" t="s">
        <v>102</v>
      </c>
      <c r="J446" s="51">
        <f>M446</f>
        <v>63000</v>
      </c>
      <c r="K446" s="52">
        <f>J446-M446</f>
        <v>0</v>
      </c>
      <c r="L446" s="60" t="s">
        <v>97</v>
      </c>
      <c r="M446" s="62">
        <v>63000</v>
      </c>
      <c r="N446" s="53">
        <f>2000+200+350+600+800</f>
        <v>3950</v>
      </c>
      <c r="O446" s="55">
        <f>M446+N446</f>
        <v>66950</v>
      </c>
      <c r="P446" s="47">
        <v>6</v>
      </c>
      <c r="Q446" s="56">
        <v>66950</v>
      </c>
      <c r="R446" s="41">
        <f>O446-Q446</f>
        <v>0</v>
      </c>
      <c r="S446" s="42"/>
      <c r="T446" s="49" t="s">
        <v>98</v>
      </c>
      <c r="U446" s="57">
        <v>1000</v>
      </c>
      <c r="V446" s="57">
        <f>U446+O446</f>
        <v>67950</v>
      </c>
      <c r="W446" s="57">
        <f>V446/0.7</f>
        <v>97071.42857142858</v>
      </c>
      <c r="X446" s="58">
        <f>W446/0.875</f>
        <v>110938.7755102041</v>
      </c>
      <c r="Y446" s="59">
        <f>(X446-W446)/X446</f>
        <v>0.12500000000000006</v>
      </c>
      <c r="Z446" s="58">
        <f>(ROUNDUP((X446/100),0))*100</f>
        <v>111000</v>
      </c>
      <c r="AA446" s="178"/>
      <c r="AB446" s="178"/>
      <c r="AC446" s="177"/>
      <c r="AD446" s="177"/>
      <c r="AE446" s="179"/>
      <c r="AF446" s="179"/>
      <c r="AG446" s="179"/>
      <c r="AH446" s="179"/>
      <c r="AI446" s="85"/>
    </row>
    <row r="447" spans="1:35" ht="14.45" customHeight="1" x14ac:dyDescent="0.2">
      <c r="A447" s="47">
        <v>5</v>
      </c>
      <c r="B447" s="48" t="str">
        <f>REPLACE(E447,1,3, )</f>
        <v xml:space="preserve"> 236</v>
      </c>
      <c r="C447" s="32" t="s">
        <v>101</v>
      </c>
      <c r="D447" s="49">
        <f>IF(E447=C447,0,1)</f>
        <v>0</v>
      </c>
      <c r="E447" s="47" t="s">
        <v>101</v>
      </c>
      <c r="F447" s="30" t="str">
        <f>REPLACE(E447,4,4, )</f>
        <v>SSR</v>
      </c>
      <c r="G447" s="30" t="s">
        <v>91</v>
      </c>
      <c r="H447" s="34" t="s">
        <v>92</v>
      </c>
      <c r="I447" s="30" t="s">
        <v>102</v>
      </c>
      <c r="J447" s="51">
        <f>M447</f>
        <v>68000</v>
      </c>
      <c r="K447" s="52">
        <f>J447-M447</f>
        <v>0</v>
      </c>
      <c r="L447" s="60" t="s">
        <v>97</v>
      </c>
      <c r="M447" s="62">
        <v>68000</v>
      </c>
      <c r="N447" s="53">
        <f>2000+200+350+600+800</f>
        <v>3950</v>
      </c>
      <c r="O447" s="55">
        <f>M447+N447</f>
        <v>71950</v>
      </c>
      <c r="P447" s="47">
        <v>5</v>
      </c>
      <c r="Q447" s="56">
        <v>71950</v>
      </c>
      <c r="R447" s="41">
        <f>O447-Q447</f>
        <v>0</v>
      </c>
      <c r="S447" s="42"/>
      <c r="T447" s="49" t="s">
        <v>98</v>
      </c>
      <c r="U447" s="57">
        <v>1000</v>
      </c>
      <c r="V447" s="57">
        <f>U447+O447</f>
        <v>72950</v>
      </c>
      <c r="W447" s="57">
        <f>V447/0.7</f>
        <v>104214.28571428572</v>
      </c>
      <c r="X447" s="58">
        <f>W447/0.875</f>
        <v>119102.04081632654</v>
      </c>
      <c r="Y447" s="59">
        <f>(X447-W447)/X447</f>
        <v>0.12499999999999997</v>
      </c>
      <c r="Z447" s="58">
        <f>(ROUNDUP((X447/100),0))*100</f>
        <v>119200</v>
      </c>
      <c r="AA447" s="178"/>
      <c r="AB447" s="178"/>
      <c r="AC447" s="177"/>
      <c r="AD447" s="177"/>
      <c r="AE447" s="179"/>
      <c r="AF447" s="179"/>
      <c r="AG447" s="179"/>
      <c r="AH447" s="179"/>
      <c r="AI447" s="85"/>
    </row>
    <row r="448" spans="1:35" s="91" customFormat="1" ht="14.45" customHeight="1" x14ac:dyDescent="0.2">
      <c r="A448" s="47">
        <v>14</v>
      </c>
      <c r="B448" s="48" t="str">
        <f>REPLACE(E448,1,3, )</f>
        <v xml:space="preserve"> 968</v>
      </c>
      <c r="C448" s="32" t="s">
        <v>119</v>
      </c>
      <c r="D448" s="49">
        <f>IF(E448=C448,0,1)</f>
        <v>0</v>
      </c>
      <c r="E448" s="47" t="s">
        <v>119</v>
      </c>
      <c r="F448" s="30" t="str">
        <f>REPLACE(E448,4,4, )</f>
        <v>SSR</v>
      </c>
      <c r="G448" s="30" t="s">
        <v>91</v>
      </c>
      <c r="H448" s="34" t="s">
        <v>92</v>
      </c>
      <c r="I448" s="30" t="s">
        <v>102</v>
      </c>
      <c r="J448" s="51">
        <f>M448</f>
        <v>73000</v>
      </c>
      <c r="K448" s="52">
        <f>J448-M448</f>
        <v>0</v>
      </c>
      <c r="L448" s="60" t="s">
        <v>97</v>
      </c>
      <c r="M448" s="62">
        <v>73000</v>
      </c>
      <c r="N448" s="53">
        <f>2000+200+350+600+800</f>
        <v>3950</v>
      </c>
      <c r="O448" s="55">
        <f>M448+N448</f>
        <v>76950</v>
      </c>
      <c r="P448" s="47">
        <v>14</v>
      </c>
      <c r="Q448" s="56">
        <v>76950</v>
      </c>
      <c r="R448" s="41">
        <f>O448-Q448</f>
        <v>0</v>
      </c>
      <c r="S448" s="67"/>
      <c r="T448" s="49" t="s">
        <v>98</v>
      </c>
      <c r="U448" s="57">
        <v>1000</v>
      </c>
      <c r="V448" s="57">
        <f>U448+O448</f>
        <v>77950</v>
      </c>
      <c r="W448" s="57">
        <f>V448/0.7</f>
        <v>111357.14285714287</v>
      </c>
      <c r="X448" s="58">
        <f>W448/0.875</f>
        <v>127265.30612244899</v>
      </c>
      <c r="Y448" s="59">
        <f>(X448-W448)/X448</f>
        <v>0.125</v>
      </c>
      <c r="Z448" s="58">
        <f>(ROUNDUP((X448/100),0))*100</f>
        <v>127300</v>
      </c>
      <c r="AA448" s="178"/>
      <c r="AB448" s="178"/>
      <c r="AC448" s="177"/>
      <c r="AD448" s="177"/>
      <c r="AE448" s="179"/>
      <c r="AF448" s="179"/>
      <c r="AG448" s="179"/>
      <c r="AH448" s="179"/>
    </row>
    <row r="449" spans="1:35" ht="14.45" customHeight="1" x14ac:dyDescent="0.2">
      <c r="A449" s="47">
        <v>97</v>
      </c>
      <c r="B449" s="48" t="str">
        <f>REPLACE(E449,1,3, )</f>
        <v xml:space="preserve"> 793</v>
      </c>
      <c r="C449" s="70" t="s">
        <v>255</v>
      </c>
      <c r="D449" s="49">
        <f>IF(E449=C449,0,1)</f>
        <v>0</v>
      </c>
      <c r="E449" s="49" t="s">
        <v>255</v>
      </c>
      <c r="F449" s="30" t="str">
        <f>REPLACE(E449,4,4, )</f>
        <v>STA</v>
      </c>
      <c r="G449" s="33" t="s">
        <v>91</v>
      </c>
      <c r="H449" s="71" t="s">
        <v>256</v>
      </c>
      <c r="I449" s="33" t="s">
        <v>257</v>
      </c>
      <c r="J449" s="51">
        <f>M449</f>
        <v>66000</v>
      </c>
      <c r="K449" s="52">
        <f>J449-M449</f>
        <v>0</v>
      </c>
      <c r="L449" s="60" t="s">
        <v>97</v>
      </c>
      <c r="M449" s="62">
        <v>66000</v>
      </c>
      <c r="N449" s="53">
        <f>2000+200+350+300+800+600</f>
        <v>4250</v>
      </c>
      <c r="O449" s="55">
        <f>M449+N449</f>
        <v>70250</v>
      </c>
      <c r="P449" s="47">
        <v>97</v>
      </c>
      <c r="Q449" s="56">
        <v>70250</v>
      </c>
      <c r="R449" s="41">
        <f>O449-Q449</f>
        <v>0</v>
      </c>
      <c r="S449" s="67"/>
      <c r="T449" s="33" t="s">
        <v>258</v>
      </c>
      <c r="U449" s="57"/>
      <c r="V449" s="57">
        <f>U449+O449</f>
        <v>70250</v>
      </c>
      <c r="W449" s="57">
        <f>V449/0.7</f>
        <v>100357.14285714287</v>
      </c>
      <c r="X449" s="58">
        <f>W449/0.875</f>
        <v>114693.87755102043</v>
      </c>
      <c r="Y449" s="59">
        <f>(X449-W449)/X449</f>
        <v>0.12500000000000006</v>
      </c>
      <c r="Z449" s="58">
        <f>(ROUNDUP((X449/100),0))*100</f>
        <v>114700</v>
      </c>
      <c r="AA449" s="178"/>
      <c r="AB449" s="178"/>
      <c r="AC449" s="177"/>
      <c r="AD449" s="177"/>
      <c r="AE449" s="179"/>
      <c r="AF449" s="179"/>
      <c r="AG449" s="179"/>
      <c r="AH449" s="179"/>
      <c r="AI449" s="85"/>
    </row>
    <row r="450" spans="1:35" s="91" customFormat="1" ht="14.45" customHeight="1" x14ac:dyDescent="0.2">
      <c r="A450" s="47">
        <v>119</v>
      </c>
      <c r="B450" s="48" t="str">
        <f>REPLACE(E450,1,3, )</f>
        <v xml:space="preserve"> 817</v>
      </c>
      <c r="C450" s="70" t="s">
        <v>304</v>
      </c>
      <c r="D450" s="49">
        <f>IF(E450=C450,0,1)</f>
        <v>0</v>
      </c>
      <c r="E450" s="49" t="s">
        <v>304</v>
      </c>
      <c r="F450" s="30" t="str">
        <f>REPLACE(E450,4,4, )</f>
        <v>STA</v>
      </c>
      <c r="G450" s="33" t="s">
        <v>91</v>
      </c>
      <c r="H450" s="34" t="s">
        <v>85</v>
      </c>
      <c r="I450" s="33" t="s">
        <v>257</v>
      </c>
      <c r="J450" s="51">
        <f>M450</f>
        <v>52500</v>
      </c>
      <c r="K450" s="52">
        <f>J450-M450</f>
        <v>0</v>
      </c>
      <c r="L450" s="60" t="s">
        <v>97</v>
      </c>
      <c r="M450" s="62">
        <v>52500</v>
      </c>
      <c r="N450" s="53">
        <f>2000+200+250+300+800+600</f>
        <v>4150</v>
      </c>
      <c r="O450" s="55">
        <f>M450+N450</f>
        <v>56650</v>
      </c>
      <c r="P450" s="47">
        <v>119</v>
      </c>
      <c r="Q450" s="56">
        <v>56650</v>
      </c>
      <c r="R450" s="41">
        <f>O450-Q450</f>
        <v>0</v>
      </c>
      <c r="S450" s="67"/>
      <c r="T450" s="33" t="s">
        <v>258</v>
      </c>
      <c r="U450" s="57"/>
      <c r="V450" s="57">
        <f>U450+O450</f>
        <v>56650</v>
      </c>
      <c r="W450" s="57">
        <f>V450/0.7</f>
        <v>80928.571428571435</v>
      </c>
      <c r="X450" s="58">
        <f>W450/0.875</f>
        <v>92489.795918367352</v>
      </c>
      <c r="Y450" s="59">
        <f>(X450-W450)/X450</f>
        <v>0.12499999999999999</v>
      </c>
      <c r="Z450" s="58">
        <f>(ROUNDUP((X450/100),0))*100</f>
        <v>92500</v>
      </c>
      <c r="AA450" s="178"/>
      <c r="AB450" s="178"/>
      <c r="AC450" s="177"/>
      <c r="AD450" s="177"/>
      <c r="AE450" s="179"/>
      <c r="AF450" s="179"/>
      <c r="AG450" s="179"/>
      <c r="AH450" s="179"/>
    </row>
    <row r="451" spans="1:35" s="91" customFormat="1" ht="14.45" customHeight="1" x14ac:dyDescent="0.2">
      <c r="A451" s="47">
        <v>102</v>
      </c>
      <c r="B451" s="48" t="str">
        <f>REPLACE(E451,1,3, )</f>
        <v xml:space="preserve"> 983</v>
      </c>
      <c r="C451" s="70" t="s">
        <v>268</v>
      </c>
      <c r="D451" s="49">
        <f>IF(E451=C451,0,1)</f>
        <v>0</v>
      </c>
      <c r="E451" s="49" t="s">
        <v>268</v>
      </c>
      <c r="F451" s="30" t="str">
        <f>REPLACE(E451,4,4, )</f>
        <v>STA</v>
      </c>
      <c r="G451" s="33" t="s">
        <v>91</v>
      </c>
      <c r="H451" s="71" t="s">
        <v>261</v>
      </c>
      <c r="I451" s="33" t="s">
        <v>257</v>
      </c>
      <c r="J451" s="51">
        <f>M451</f>
        <v>71500</v>
      </c>
      <c r="K451" s="52">
        <f>J451-M451</f>
        <v>0</v>
      </c>
      <c r="L451" s="60" t="s">
        <v>97</v>
      </c>
      <c r="M451" s="62">
        <v>71500</v>
      </c>
      <c r="N451" s="53">
        <f>2000+200+350+600+300+3000</f>
        <v>6450</v>
      </c>
      <c r="O451" s="55">
        <f>M451+N451</f>
        <v>77950</v>
      </c>
      <c r="P451" s="47">
        <v>102</v>
      </c>
      <c r="Q451" s="56">
        <v>77950</v>
      </c>
      <c r="R451" s="41">
        <f>O451-Q451</f>
        <v>0</v>
      </c>
      <c r="S451" s="67"/>
      <c r="T451" s="33" t="s">
        <v>269</v>
      </c>
      <c r="U451" s="57"/>
      <c r="V451" s="57">
        <f>U451+O451</f>
        <v>77950</v>
      </c>
      <c r="W451" s="57">
        <f>V451/0.7</f>
        <v>111357.14285714287</v>
      </c>
      <c r="X451" s="58">
        <f>W451/0.875</f>
        <v>127265.30612244899</v>
      </c>
      <c r="Y451" s="59">
        <f>(X451-W451)/X451</f>
        <v>0.125</v>
      </c>
      <c r="Z451" s="58">
        <f>(ROUNDUP((X451/100),0))*100</f>
        <v>127300</v>
      </c>
      <c r="AA451" s="178"/>
      <c r="AB451" s="178"/>
      <c r="AC451" s="177"/>
      <c r="AD451" s="177"/>
      <c r="AE451" s="179"/>
      <c r="AF451" s="179"/>
      <c r="AG451" s="179"/>
      <c r="AH451" s="179"/>
    </row>
    <row r="452" spans="1:35" ht="14.45" customHeight="1" x14ac:dyDescent="0.2">
      <c r="A452" s="47">
        <v>165</v>
      </c>
      <c r="B452" s="48" t="str">
        <f>REPLACE(E452,1,3, )</f>
        <v xml:space="preserve"> 250</v>
      </c>
      <c r="C452" s="70" t="s">
        <v>388</v>
      </c>
      <c r="D452" s="49">
        <f>IF(E452=C452,0,1)</f>
        <v>0</v>
      </c>
      <c r="E452" s="30" t="s">
        <v>388</v>
      </c>
      <c r="F452" s="30" t="str">
        <f>REPLACE(E452,4,4, )</f>
        <v>STE</v>
      </c>
      <c r="G452" s="30" t="s">
        <v>91</v>
      </c>
      <c r="H452" s="71" t="s">
        <v>360</v>
      </c>
      <c r="I452" s="30" t="s">
        <v>389</v>
      </c>
      <c r="J452" s="51">
        <v>84000</v>
      </c>
      <c r="K452" s="52">
        <f>J452-M452</f>
        <v>7400</v>
      </c>
      <c r="L452" s="49"/>
      <c r="M452" s="53">
        <f>J452-N452</f>
        <v>76600</v>
      </c>
      <c r="N452" s="53">
        <f>2000+200+600+1000+3600</f>
        <v>7400</v>
      </c>
      <c r="O452" s="55">
        <f>M452+N452</f>
        <v>84000</v>
      </c>
      <c r="P452" s="47">
        <v>165</v>
      </c>
      <c r="Q452" s="56">
        <v>84000</v>
      </c>
      <c r="R452" s="41">
        <f>O452-Q452</f>
        <v>0</v>
      </c>
      <c r="S452" s="67"/>
      <c r="T452" s="33" t="s">
        <v>390</v>
      </c>
      <c r="U452" s="57"/>
      <c r="V452" s="57">
        <f>U452+O452</f>
        <v>84000</v>
      </c>
      <c r="W452" s="57">
        <f>V452/0.7</f>
        <v>120000.00000000001</v>
      </c>
      <c r="X452" s="58">
        <f>W452/0.875</f>
        <v>137142.85714285716</v>
      </c>
      <c r="Y452" s="59">
        <f>(X452-W452)/X452</f>
        <v>0.125</v>
      </c>
      <c r="Z452" s="58">
        <f>(ROUNDUP((X452/100),0))*100</f>
        <v>137200</v>
      </c>
      <c r="AA452" s="178"/>
      <c r="AB452" s="178"/>
      <c r="AC452" s="177"/>
      <c r="AD452" s="177"/>
      <c r="AE452" s="179"/>
      <c r="AF452" s="179"/>
      <c r="AG452" s="179"/>
      <c r="AH452" s="179"/>
      <c r="AI452" s="85"/>
    </row>
    <row r="453" spans="1:35" ht="14.45" customHeight="1" x14ac:dyDescent="0.2">
      <c r="A453" s="47">
        <v>122</v>
      </c>
      <c r="B453" s="48" t="str">
        <f>REPLACE(E453,1,3, )</f>
        <v xml:space="preserve"> 112</v>
      </c>
      <c r="C453" s="70" t="s">
        <v>308</v>
      </c>
      <c r="D453" s="49">
        <f>IF(E453=C453,0,1)</f>
        <v>0</v>
      </c>
      <c r="E453" s="47" t="s">
        <v>308</v>
      </c>
      <c r="F453" s="30" t="str">
        <f>REPLACE(E453,4,4, )</f>
        <v>STF</v>
      </c>
      <c r="G453" s="30" t="s">
        <v>91</v>
      </c>
      <c r="H453" s="34" t="s">
        <v>282</v>
      </c>
      <c r="I453" s="30" t="s">
        <v>300</v>
      </c>
      <c r="J453" s="51">
        <v>90000</v>
      </c>
      <c r="K453" s="52">
        <f>J453-M453</f>
        <v>7100</v>
      </c>
      <c r="L453" s="49" t="s">
        <v>94</v>
      </c>
      <c r="M453" s="53">
        <f>J453-N453</f>
        <v>82900</v>
      </c>
      <c r="N453" s="53">
        <f>2000+200+350+600+650+300+3000</f>
        <v>7100</v>
      </c>
      <c r="O453" s="55">
        <f>M453+N453</f>
        <v>90000</v>
      </c>
      <c r="P453" s="47">
        <v>122</v>
      </c>
      <c r="Q453" s="56">
        <v>90000</v>
      </c>
      <c r="R453" s="41">
        <f>O453-Q453</f>
        <v>0</v>
      </c>
      <c r="S453" s="67"/>
      <c r="T453" s="33"/>
      <c r="U453" s="57"/>
      <c r="V453" s="57">
        <f>U453+O453</f>
        <v>90000</v>
      </c>
      <c r="W453" s="57">
        <f>V453/0.7</f>
        <v>128571.42857142858</v>
      </c>
      <c r="X453" s="58">
        <f>W453/0.875</f>
        <v>146938.77551020408</v>
      </c>
      <c r="Y453" s="59">
        <f>(X453-W453)/X453</f>
        <v>0.12499999999999994</v>
      </c>
      <c r="Z453" s="58">
        <f>(ROUNDUP((X453/100),0))*100</f>
        <v>147000</v>
      </c>
      <c r="AA453" s="178"/>
      <c r="AB453" s="178"/>
      <c r="AC453" s="177"/>
      <c r="AD453" s="177"/>
      <c r="AE453" s="179"/>
      <c r="AF453" s="179"/>
      <c r="AG453" s="179"/>
      <c r="AH453" s="179"/>
      <c r="AI453" s="85"/>
    </row>
    <row r="454" spans="1:35" ht="14.45" customHeight="1" x14ac:dyDescent="0.2">
      <c r="A454" s="47">
        <v>116</v>
      </c>
      <c r="B454" s="48" t="str">
        <f>REPLACE(E454,1,3, )</f>
        <v xml:space="preserve"> 237</v>
      </c>
      <c r="C454" s="70" t="s">
        <v>299</v>
      </c>
      <c r="D454" s="49">
        <f>IF(E454=C454,0,1)</f>
        <v>0</v>
      </c>
      <c r="E454" s="47" t="s">
        <v>299</v>
      </c>
      <c r="F454" s="30" t="str">
        <f>REPLACE(E454,4,4, )</f>
        <v>STF</v>
      </c>
      <c r="G454" s="30" t="s">
        <v>91</v>
      </c>
      <c r="H454" s="71" t="s">
        <v>261</v>
      </c>
      <c r="I454" s="30" t="s">
        <v>300</v>
      </c>
      <c r="J454" s="51">
        <v>90000</v>
      </c>
      <c r="K454" s="52">
        <f>J454-M454</f>
        <v>6450</v>
      </c>
      <c r="L454" s="49" t="s">
        <v>94</v>
      </c>
      <c r="M454" s="53">
        <f>J454-N454</f>
        <v>83550</v>
      </c>
      <c r="N454" s="53">
        <f>2000+200+350+600+300+3000</f>
        <v>6450</v>
      </c>
      <c r="O454" s="55">
        <f>M454+N454</f>
        <v>90000</v>
      </c>
      <c r="P454" s="47">
        <v>116</v>
      </c>
      <c r="Q454" s="56">
        <v>90000</v>
      </c>
      <c r="R454" s="41">
        <f>O454-Q454</f>
        <v>0</v>
      </c>
      <c r="S454" s="67"/>
      <c r="T454" s="33"/>
      <c r="U454" s="57">
        <v>1000</v>
      </c>
      <c r="V454" s="57">
        <f>U454+O454</f>
        <v>91000</v>
      </c>
      <c r="W454" s="57">
        <f>V454/0.7</f>
        <v>130000.00000000001</v>
      </c>
      <c r="X454" s="58">
        <f>W454/0.875</f>
        <v>148571.42857142858</v>
      </c>
      <c r="Y454" s="59">
        <f>(X454-W454)/X454</f>
        <v>0.12499999999999994</v>
      </c>
      <c r="Z454" s="58">
        <f>(ROUNDUP((X454/100),0))*100</f>
        <v>148600</v>
      </c>
      <c r="AA454" s="178"/>
      <c r="AB454" s="178"/>
      <c r="AC454" s="177"/>
      <c r="AD454" s="177"/>
      <c r="AE454" s="179"/>
      <c r="AF454" s="179"/>
      <c r="AG454" s="179"/>
      <c r="AH454" s="179"/>
      <c r="AI454" s="85"/>
    </row>
    <row r="455" spans="1:35" s="91" customFormat="1" ht="14.45" customHeight="1" x14ac:dyDescent="0.2">
      <c r="A455" s="47">
        <v>108</v>
      </c>
      <c r="B455" s="48" t="str">
        <f>REPLACE(E455,1,3, )</f>
        <v xml:space="preserve"> 321</v>
      </c>
      <c r="C455" s="70" t="s">
        <v>280</v>
      </c>
      <c r="D455" s="49">
        <f>IF(E455=C455,0,1)</f>
        <v>1</v>
      </c>
      <c r="E455" s="49" t="s">
        <v>281</v>
      </c>
      <c r="F455" s="30" t="str">
        <f>REPLACE(E455,4,4, )</f>
        <v>STF</v>
      </c>
      <c r="G455" s="33" t="s">
        <v>91</v>
      </c>
      <c r="H455" s="71" t="s">
        <v>282</v>
      </c>
      <c r="I455" s="33"/>
      <c r="J455" s="51">
        <v>90000</v>
      </c>
      <c r="K455" s="52">
        <f>J455-M455</f>
        <v>6450</v>
      </c>
      <c r="L455" s="49" t="s">
        <v>94</v>
      </c>
      <c r="M455" s="53">
        <f>J455-N455</f>
        <v>83550</v>
      </c>
      <c r="N455" s="53">
        <f>2000+200+350+600+300+3000</f>
        <v>6450</v>
      </c>
      <c r="O455" s="55">
        <f>M455+N455</f>
        <v>90000</v>
      </c>
      <c r="P455" s="47">
        <v>108</v>
      </c>
      <c r="Q455" s="56">
        <v>90000</v>
      </c>
      <c r="R455" s="41">
        <f>O455-Q455</f>
        <v>0</v>
      </c>
      <c r="S455" s="67"/>
      <c r="T455" s="33"/>
      <c r="U455" s="57"/>
      <c r="V455" s="57">
        <f>U455+O455</f>
        <v>90000</v>
      </c>
      <c r="W455" s="57">
        <f>V455/0.7</f>
        <v>128571.42857142858</v>
      </c>
      <c r="X455" s="58">
        <f>W455/0.875</f>
        <v>146938.77551020408</v>
      </c>
      <c r="Y455" s="59">
        <f>(X455-W455)/X455</f>
        <v>0.12499999999999994</v>
      </c>
      <c r="Z455" s="58">
        <f>(ROUNDUP((X455/100),0))*100</f>
        <v>147000</v>
      </c>
      <c r="AA455" s="178"/>
      <c r="AB455" s="178"/>
      <c r="AC455" s="177"/>
      <c r="AD455" s="177"/>
      <c r="AE455" s="179"/>
      <c r="AF455" s="179"/>
      <c r="AG455" s="179"/>
      <c r="AH455" s="179"/>
    </row>
    <row r="456" spans="1:35" ht="14.45" customHeight="1" x14ac:dyDescent="0.2">
      <c r="A456" s="47">
        <v>426</v>
      </c>
      <c r="B456" s="48" t="str">
        <f>REPLACE(E456,1,3, )</f>
        <v xml:space="preserve"> 208</v>
      </c>
      <c r="C456" s="32" t="s">
        <v>856</v>
      </c>
      <c r="D456" s="49">
        <f>IF(E456=C456,0,1)</f>
        <v>0</v>
      </c>
      <c r="E456" s="49" t="s">
        <v>856</v>
      </c>
      <c r="F456" s="30" t="str">
        <f>REPLACE(E456,4,4, )</f>
        <v>STG</v>
      </c>
      <c r="G456" s="33" t="s">
        <v>91</v>
      </c>
      <c r="H456" s="71" t="s">
        <v>854</v>
      </c>
      <c r="I456" s="33" t="s">
        <v>534</v>
      </c>
      <c r="J456" s="51">
        <v>65000</v>
      </c>
      <c r="K456" s="52">
        <f>J456-M456</f>
        <v>6650</v>
      </c>
      <c r="L456" s="49" t="s">
        <v>94</v>
      </c>
      <c r="M456" s="53">
        <f>J456-N456</f>
        <v>58350</v>
      </c>
      <c r="N456" s="53">
        <f>2000+200+250+600+3600</f>
        <v>6650</v>
      </c>
      <c r="O456" s="55">
        <f>M456+N456</f>
        <v>65000</v>
      </c>
      <c r="P456" s="47">
        <v>426</v>
      </c>
      <c r="Q456" s="56">
        <v>65000</v>
      </c>
      <c r="R456" s="41">
        <f>O456-Q456</f>
        <v>0</v>
      </c>
      <c r="S456" s="67"/>
      <c r="T456" s="33" t="s">
        <v>857</v>
      </c>
      <c r="U456" s="57"/>
      <c r="V456" s="57">
        <f>U456+O456</f>
        <v>65000</v>
      </c>
      <c r="W456" s="57">
        <f>V456/0.7</f>
        <v>92857.14285714287</v>
      </c>
      <c r="X456" s="58">
        <f>W456/0.875</f>
        <v>106122.44897959185</v>
      </c>
      <c r="Y456" s="59">
        <f>(X456-W456)/X456</f>
        <v>0.12499999999999999</v>
      </c>
      <c r="Z456" s="58">
        <f>(ROUNDUP((X456/100),0))*100</f>
        <v>106200</v>
      </c>
      <c r="AA456" s="178"/>
      <c r="AB456" s="178"/>
      <c r="AC456" s="177"/>
      <c r="AD456" s="177"/>
      <c r="AE456" s="179"/>
      <c r="AF456" s="179"/>
      <c r="AG456" s="179"/>
      <c r="AH456" s="179"/>
      <c r="AI456" s="85"/>
    </row>
    <row r="457" spans="1:35" s="91" customFormat="1" ht="14.45" customHeight="1" x14ac:dyDescent="0.2">
      <c r="A457" s="47">
        <v>464</v>
      </c>
      <c r="B457" s="48" t="str">
        <f>REPLACE(E457,1,3, )</f>
        <v xml:space="preserve"> 487</v>
      </c>
      <c r="C457" s="32" t="s">
        <v>930</v>
      </c>
      <c r="D457" s="49">
        <f>IF(E457=C457,0,1)</f>
        <v>0</v>
      </c>
      <c r="E457" s="225" t="s">
        <v>930</v>
      </c>
      <c r="F457" s="30" t="str">
        <f>REPLACE(E457,4,4, )</f>
        <v>STG</v>
      </c>
      <c r="G457" s="33" t="s">
        <v>91</v>
      </c>
      <c r="H457" s="33" t="s">
        <v>931</v>
      </c>
      <c r="I457" s="33" t="s">
        <v>534</v>
      </c>
      <c r="J457" s="51">
        <v>133000</v>
      </c>
      <c r="K457" s="52">
        <f>J457-M457</f>
        <v>3050</v>
      </c>
      <c r="L457" s="49" t="s">
        <v>94</v>
      </c>
      <c r="M457" s="53">
        <f>J457-N457</f>
        <v>129950</v>
      </c>
      <c r="N457" s="53">
        <f>2000+200+250+600</f>
        <v>3050</v>
      </c>
      <c r="O457" s="55">
        <f>M457+N457</f>
        <v>133000</v>
      </c>
      <c r="P457" s="47">
        <v>464</v>
      </c>
      <c r="Q457" s="56">
        <v>133000</v>
      </c>
      <c r="R457" s="41">
        <f>O457-Q457</f>
        <v>0</v>
      </c>
      <c r="S457" s="67"/>
      <c r="T457" s="33" t="s">
        <v>932</v>
      </c>
      <c r="U457" s="57"/>
      <c r="V457" s="57">
        <f>U457+O457</f>
        <v>133000</v>
      </c>
      <c r="W457" s="57">
        <f>V457/0.7</f>
        <v>190000</v>
      </c>
      <c r="X457" s="58">
        <f>W457/0.875</f>
        <v>217142.85714285713</v>
      </c>
      <c r="Y457" s="59">
        <f>(X457-W457)/X457</f>
        <v>0.12499999999999994</v>
      </c>
      <c r="Z457" s="58">
        <f>(ROUNDUP((X457/100),0))*100</f>
        <v>217200</v>
      </c>
      <c r="AA457" s="178" t="s">
        <v>1780</v>
      </c>
      <c r="AB457" s="224">
        <v>43420</v>
      </c>
      <c r="AC457" s="177"/>
      <c r="AD457" s="177"/>
      <c r="AE457" s="179"/>
      <c r="AF457" s="179"/>
      <c r="AG457" s="179"/>
      <c r="AH457" s="179"/>
    </row>
    <row r="458" spans="1:35" ht="14.45" customHeight="1" x14ac:dyDescent="0.2">
      <c r="A458" s="47">
        <v>241</v>
      </c>
      <c r="B458" s="48" t="str">
        <f>REPLACE(E458,1,3, )</f>
        <v xml:space="preserve"> 990</v>
      </c>
      <c r="C458" s="70" t="s">
        <v>533</v>
      </c>
      <c r="D458" s="49">
        <f>IF(E458=C458,0,1)</f>
        <v>0</v>
      </c>
      <c r="E458" s="49" t="s">
        <v>533</v>
      </c>
      <c r="F458" s="30" t="str">
        <f>REPLACE(E458,4,4, )</f>
        <v>STG</v>
      </c>
      <c r="G458" s="33" t="s">
        <v>91</v>
      </c>
      <c r="H458" s="34" t="s">
        <v>493</v>
      </c>
      <c r="I458" s="33" t="s">
        <v>534</v>
      </c>
      <c r="J458" s="51">
        <v>57400</v>
      </c>
      <c r="K458" s="52">
        <f>J458-M458</f>
        <v>7400</v>
      </c>
      <c r="L458" s="49" t="s">
        <v>94</v>
      </c>
      <c r="M458" s="53">
        <f>J458-N458</f>
        <v>50000</v>
      </c>
      <c r="N458" s="53">
        <f>2000+200+600+1000+3600</f>
        <v>7400</v>
      </c>
      <c r="O458" s="55">
        <f>M458+N458</f>
        <v>57400</v>
      </c>
      <c r="P458" s="47">
        <v>241</v>
      </c>
      <c r="Q458" s="56">
        <v>57400</v>
      </c>
      <c r="R458" s="41">
        <f>O458-Q458</f>
        <v>0</v>
      </c>
      <c r="S458" s="67"/>
      <c r="T458" s="33" t="s">
        <v>535</v>
      </c>
      <c r="U458" s="57"/>
      <c r="V458" s="57">
        <f>U458+O458</f>
        <v>57400</v>
      </c>
      <c r="W458" s="57">
        <f>V458/0.7</f>
        <v>82000</v>
      </c>
      <c r="X458" s="58">
        <f>W458/0.875</f>
        <v>93714.28571428571</v>
      </c>
      <c r="Y458" s="59">
        <f>(X458-W458)/X458</f>
        <v>0.12499999999999996</v>
      </c>
      <c r="Z458" s="58">
        <f>(ROUNDUP((X458/100),0))*100</f>
        <v>93800</v>
      </c>
      <c r="AA458" s="178"/>
      <c r="AB458" s="178"/>
      <c r="AC458" s="177"/>
      <c r="AD458" s="177"/>
      <c r="AE458" s="179"/>
      <c r="AF458" s="179"/>
      <c r="AG458" s="179"/>
      <c r="AH458" s="179"/>
      <c r="AI458" s="85"/>
    </row>
    <row r="459" spans="1:35" ht="14.45" customHeight="1" x14ac:dyDescent="0.2">
      <c r="A459" s="47">
        <v>498</v>
      </c>
      <c r="B459" s="48" t="str">
        <f>REPLACE(E459,1,3, )</f>
        <v xml:space="preserve"> 189</v>
      </c>
      <c r="C459" s="32" t="s">
        <v>990</v>
      </c>
      <c r="D459" s="49">
        <f>IF(E459=C459,0,1)</f>
        <v>0</v>
      </c>
      <c r="E459" s="49" t="s">
        <v>990</v>
      </c>
      <c r="F459" s="30" t="str">
        <f>REPLACE(E459,4,4, )</f>
        <v>STJ</v>
      </c>
      <c r="G459" s="49" t="s">
        <v>91</v>
      </c>
      <c r="H459" s="71" t="s">
        <v>986</v>
      </c>
      <c r="I459" s="33" t="s">
        <v>663</v>
      </c>
      <c r="J459" s="51">
        <v>60000</v>
      </c>
      <c r="K459" s="52">
        <f>J459-M459</f>
        <v>3900</v>
      </c>
      <c r="L459" s="49" t="s">
        <v>94</v>
      </c>
      <c r="M459" s="53">
        <f>J459-N459</f>
        <v>56100</v>
      </c>
      <c r="N459" s="53">
        <f>2000+200+350+600+750</f>
        <v>3900</v>
      </c>
      <c r="O459" s="55">
        <f>M459+N459</f>
        <v>60000</v>
      </c>
      <c r="P459" s="47">
        <v>498</v>
      </c>
      <c r="Q459" s="56">
        <v>60000</v>
      </c>
      <c r="R459" s="41">
        <f>O459-Q459</f>
        <v>0</v>
      </c>
      <c r="S459" s="67"/>
      <c r="T459" s="33" t="s">
        <v>977</v>
      </c>
      <c r="U459" s="57">
        <v>2000</v>
      </c>
      <c r="V459" s="57">
        <f>U459+O459</f>
        <v>62000</v>
      </c>
      <c r="W459" s="57">
        <f>V459/0.7</f>
        <v>88571.42857142858</v>
      </c>
      <c r="X459" s="58">
        <f>W459/0.875</f>
        <v>101224.48979591837</v>
      </c>
      <c r="Y459" s="59">
        <f>(X459-W459)/X459</f>
        <v>0.12499999999999996</v>
      </c>
      <c r="Z459" s="58">
        <f>(ROUNDUP((X459/100),0))*100</f>
        <v>101300</v>
      </c>
      <c r="AA459" s="178"/>
      <c r="AB459" s="178"/>
      <c r="AC459" s="177"/>
      <c r="AD459" s="177"/>
      <c r="AE459" s="179"/>
      <c r="AF459" s="179"/>
      <c r="AG459" s="179"/>
      <c r="AH459" s="179"/>
      <c r="AI459" s="85"/>
    </row>
    <row r="460" spans="1:35" s="91" customFormat="1" ht="14.45" customHeight="1" x14ac:dyDescent="0.2">
      <c r="A460" s="47">
        <v>496</v>
      </c>
      <c r="B460" s="48" t="str">
        <f>REPLACE(E460,1,3, )</f>
        <v xml:space="preserve"> 253</v>
      </c>
      <c r="C460" s="32" t="s">
        <v>985</v>
      </c>
      <c r="D460" s="49">
        <f>IF(E460=C460,0,1)</f>
        <v>0</v>
      </c>
      <c r="E460" s="49" t="s">
        <v>985</v>
      </c>
      <c r="F460" s="30" t="str">
        <f>REPLACE(E460,4,4, )</f>
        <v>STJ</v>
      </c>
      <c r="G460" s="49" t="s">
        <v>91</v>
      </c>
      <c r="H460" s="71" t="s">
        <v>986</v>
      </c>
      <c r="I460" s="33" t="s">
        <v>663</v>
      </c>
      <c r="J460" s="51">
        <v>60000</v>
      </c>
      <c r="K460" s="52">
        <f>J460-M460</f>
        <v>3900</v>
      </c>
      <c r="L460" s="49" t="s">
        <v>94</v>
      </c>
      <c r="M460" s="53">
        <f>J460-N460</f>
        <v>56100</v>
      </c>
      <c r="N460" s="53">
        <f>2000+200+350+600+750</f>
        <v>3900</v>
      </c>
      <c r="O460" s="55">
        <f>M460+N460</f>
        <v>60000</v>
      </c>
      <c r="P460" s="47">
        <v>496</v>
      </c>
      <c r="Q460" s="56">
        <v>60000</v>
      </c>
      <c r="R460" s="41">
        <f>O460-Q460</f>
        <v>0</v>
      </c>
      <c r="S460" s="42"/>
      <c r="T460" s="33" t="s">
        <v>977</v>
      </c>
      <c r="U460" s="57">
        <v>2000</v>
      </c>
      <c r="V460" s="57">
        <f>U460+O460</f>
        <v>62000</v>
      </c>
      <c r="W460" s="57">
        <f>V460/0.7</f>
        <v>88571.42857142858</v>
      </c>
      <c r="X460" s="58">
        <f>W460/0.875</f>
        <v>101224.48979591837</v>
      </c>
      <c r="Y460" s="59">
        <f>(X460-W460)/X460</f>
        <v>0.12499999999999996</v>
      </c>
      <c r="Z460" s="58">
        <f>(ROUNDUP((X460/100),0))*100</f>
        <v>101300</v>
      </c>
      <c r="AA460" s="178"/>
      <c r="AB460" s="178"/>
      <c r="AC460" s="177"/>
      <c r="AD460" s="177"/>
      <c r="AE460" s="179"/>
      <c r="AF460" s="179"/>
      <c r="AG460" s="179"/>
      <c r="AH460" s="179"/>
    </row>
    <row r="461" spans="1:35" ht="14.45" customHeight="1" x14ac:dyDescent="0.2">
      <c r="A461" s="47">
        <v>316</v>
      </c>
      <c r="B461" s="48" t="str">
        <f>REPLACE(E461,1,3, )</f>
        <v xml:space="preserve"> 379</v>
      </c>
      <c r="C461" s="70" t="s">
        <v>662</v>
      </c>
      <c r="D461" s="49">
        <f>IF(E461=C461,0,1)</f>
        <v>0</v>
      </c>
      <c r="E461" s="49" t="s">
        <v>662</v>
      </c>
      <c r="F461" s="30" t="str">
        <f>REPLACE(E461,4,4, )</f>
        <v>STJ</v>
      </c>
      <c r="G461" s="49" t="s">
        <v>91</v>
      </c>
      <c r="H461" s="71" t="s">
        <v>644</v>
      </c>
      <c r="I461" s="33" t="s">
        <v>663</v>
      </c>
      <c r="J461" s="51">
        <v>103000</v>
      </c>
      <c r="K461" s="52">
        <f>J461-M461</f>
        <v>6800</v>
      </c>
      <c r="L461" s="49" t="s">
        <v>94</v>
      </c>
      <c r="M461" s="53">
        <f>J461-N461</f>
        <v>96200</v>
      </c>
      <c r="N461" s="53">
        <f>2000+200+350+600+650+3000</f>
        <v>6800</v>
      </c>
      <c r="O461" s="55">
        <f>M461+N461</f>
        <v>103000</v>
      </c>
      <c r="P461" s="47">
        <v>316</v>
      </c>
      <c r="Q461" s="56">
        <v>103000</v>
      </c>
      <c r="R461" s="41">
        <f>O461-Q461</f>
        <v>0</v>
      </c>
      <c r="S461" s="67"/>
      <c r="T461" s="33" t="s">
        <v>664</v>
      </c>
      <c r="U461" s="57">
        <v>-1000</v>
      </c>
      <c r="V461" s="57">
        <f>U461+O461</f>
        <v>102000</v>
      </c>
      <c r="W461" s="57">
        <f>V461/0.7</f>
        <v>145714.28571428571</v>
      </c>
      <c r="X461" s="58">
        <f>W461/0.875</f>
        <v>166530.61224489796</v>
      </c>
      <c r="Y461" s="59">
        <f>(X461-W461)/X461</f>
        <v>0.12500000000000003</v>
      </c>
      <c r="Z461" s="58">
        <f>(ROUNDUP((X461/100),0))*100</f>
        <v>166600</v>
      </c>
      <c r="AA461" s="178"/>
      <c r="AB461" s="178"/>
      <c r="AC461" s="177"/>
      <c r="AD461" s="177"/>
      <c r="AE461" s="179"/>
      <c r="AF461" s="179"/>
      <c r="AG461" s="179"/>
      <c r="AH461" s="179"/>
      <c r="AI461" s="85"/>
    </row>
    <row r="462" spans="1:35" s="91" customFormat="1" ht="14.45" customHeight="1" x14ac:dyDescent="0.2">
      <c r="A462" s="47">
        <v>491</v>
      </c>
      <c r="B462" s="48" t="str">
        <f>REPLACE(E462,1,3, )</f>
        <v xml:space="preserve"> 974</v>
      </c>
      <c r="C462" s="32" t="s">
        <v>976</v>
      </c>
      <c r="D462" s="49">
        <f>IF(E462=C462,0,1)</f>
        <v>0</v>
      </c>
      <c r="E462" s="48" t="s">
        <v>976</v>
      </c>
      <c r="F462" s="30" t="str">
        <f>REPLACE(E462,4,4, )</f>
        <v>STJ</v>
      </c>
      <c r="G462" s="49" t="s">
        <v>34</v>
      </c>
      <c r="H462" s="34" t="s">
        <v>974</v>
      </c>
      <c r="I462" s="33" t="s">
        <v>663</v>
      </c>
      <c r="J462" s="51">
        <v>71000</v>
      </c>
      <c r="K462" s="52">
        <f>J462-M462</f>
        <v>3900</v>
      </c>
      <c r="L462" s="49" t="s">
        <v>94</v>
      </c>
      <c r="M462" s="53">
        <f>J462-N462</f>
        <v>67100</v>
      </c>
      <c r="N462" s="53">
        <f>2000+200+350+600+750</f>
        <v>3900</v>
      </c>
      <c r="O462" s="55">
        <f>M462+N462</f>
        <v>71000</v>
      </c>
      <c r="P462" s="47">
        <v>491</v>
      </c>
      <c r="Q462" s="56">
        <v>71000</v>
      </c>
      <c r="R462" s="41">
        <f>O462-Q462</f>
        <v>0</v>
      </c>
      <c r="S462" s="67"/>
      <c r="T462" s="33" t="s">
        <v>977</v>
      </c>
      <c r="U462" s="57">
        <v>3000</v>
      </c>
      <c r="V462" s="57">
        <f>U462+O462</f>
        <v>74000</v>
      </c>
      <c r="W462" s="57">
        <f>V462/0.7</f>
        <v>105714.28571428572</v>
      </c>
      <c r="X462" s="58">
        <f>W462/0.875</f>
        <v>120816.32653061226</v>
      </c>
      <c r="Y462" s="59">
        <f>(X462-W462)/X462</f>
        <v>0.12500000000000006</v>
      </c>
      <c r="Z462" s="58">
        <f>(ROUNDUP((X462/100),0))*100</f>
        <v>120900</v>
      </c>
      <c r="AA462" s="58"/>
      <c r="AB462" s="58"/>
      <c r="AC462" s="180"/>
      <c r="AD462" s="180"/>
      <c r="AE462" s="176"/>
      <c r="AF462" s="176"/>
      <c r="AG462" s="176"/>
      <c r="AH462" s="176"/>
    </row>
    <row r="463" spans="1:35" ht="14.45" customHeight="1" x14ac:dyDescent="0.2">
      <c r="A463" s="47">
        <v>475</v>
      </c>
      <c r="B463" s="48" t="str">
        <f>REPLACE(E463,1,3, )</f>
        <v xml:space="preserve"> 771</v>
      </c>
      <c r="C463" s="32" t="s">
        <v>946</v>
      </c>
      <c r="D463" s="49">
        <f>IF(E463=C463,0,1)</f>
        <v>0</v>
      </c>
      <c r="E463" s="50" t="s">
        <v>946</v>
      </c>
      <c r="F463" s="30" t="str">
        <f>REPLACE(E463,4,4, )</f>
        <v>STK</v>
      </c>
      <c r="G463" s="30" t="s">
        <v>34</v>
      </c>
      <c r="H463" s="71" t="s">
        <v>910</v>
      </c>
      <c r="I463" s="30" t="s">
        <v>947</v>
      </c>
      <c r="J463" s="74">
        <v>50000</v>
      </c>
      <c r="K463" s="74">
        <f>J463-M463</f>
        <v>0</v>
      </c>
      <c r="L463" s="64" t="s">
        <v>87</v>
      </c>
      <c r="M463" s="73">
        <f>J463</f>
        <v>50000</v>
      </c>
      <c r="N463" s="74">
        <f>2000+3450+800+200+250</f>
        <v>6700</v>
      </c>
      <c r="O463" s="75">
        <f>M463+N463</f>
        <v>56700</v>
      </c>
      <c r="P463" s="47">
        <v>475</v>
      </c>
      <c r="Q463" s="76">
        <v>56700</v>
      </c>
      <c r="R463" s="41">
        <f>O463-Q463</f>
        <v>0</v>
      </c>
      <c r="S463" s="42" t="s">
        <v>88</v>
      </c>
      <c r="T463" s="47" t="s">
        <v>804</v>
      </c>
      <c r="U463" s="57">
        <v>2000</v>
      </c>
      <c r="V463" s="57">
        <f>U463+O463</f>
        <v>58700</v>
      </c>
      <c r="W463" s="57">
        <f>V463/0.7</f>
        <v>83857.14285714287</v>
      </c>
      <c r="X463" s="58">
        <f>W463/0.875</f>
        <v>95836.734693877559</v>
      </c>
      <c r="Y463" s="59">
        <f>(X463-W463)/X463</f>
        <v>0.12499999999999994</v>
      </c>
      <c r="Z463" s="58">
        <f>(ROUNDUP((X463/100),0))*100</f>
        <v>95900</v>
      </c>
      <c r="AA463" s="58"/>
      <c r="AB463" s="58"/>
      <c r="AC463" s="180"/>
      <c r="AD463" s="180"/>
      <c r="AE463" s="176"/>
      <c r="AF463" s="176"/>
      <c r="AG463" s="176"/>
      <c r="AH463" s="176"/>
      <c r="AI463" s="85"/>
    </row>
    <row r="464" spans="1:35" ht="14.45" customHeight="1" x14ac:dyDescent="0.2">
      <c r="A464" s="47">
        <v>301</v>
      </c>
      <c r="B464" s="48" t="str">
        <f>REPLACE(E464,1,3, )</f>
        <v xml:space="preserve"> 391</v>
      </c>
      <c r="C464" s="70" t="s">
        <v>633</v>
      </c>
      <c r="D464" s="49">
        <f>IF(E464=C464,0,1)</f>
        <v>0</v>
      </c>
      <c r="E464" s="50" t="s">
        <v>633</v>
      </c>
      <c r="F464" s="30" t="str">
        <f>REPLACE(E464,4,4, )</f>
        <v>STR</v>
      </c>
      <c r="G464" s="30" t="s">
        <v>34</v>
      </c>
      <c r="H464" s="71" t="s">
        <v>612</v>
      </c>
      <c r="I464" s="30" t="s">
        <v>100</v>
      </c>
      <c r="J464" s="51"/>
      <c r="K464" s="52">
        <f>J464-M464</f>
        <v>0</v>
      </c>
      <c r="L464" s="49"/>
      <c r="M464" s="53">
        <f>J464-N464</f>
        <v>0</v>
      </c>
      <c r="N464" s="54"/>
      <c r="O464" s="55">
        <f>M464+N464</f>
        <v>0</v>
      </c>
      <c r="P464" s="47">
        <v>301</v>
      </c>
      <c r="Q464" s="41"/>
      <c r="R464" s="41"/>
      <c r="S464" s="67"/>
      <c r="T464" s="33"/>
      <c r="U464" s="57"/>
      <c r="V464" s="57">
        <f>U464+O464</f>
        <v>0</v>
      </c>
      <c r="W464" s="57">
        <f>V464/0.7</f>
        <v>0</v>
      </c>
      <c r="X464" s="58">
        <f>W464/0.875</f>
        <v>0</v>
      </c>
      <c r="Y464" s="59" t="e">
        <f>(X464-W464)/X464</f>
        <v>#DIV/0!</v>
      </c>
      <c r="Z464" s="58">
        <f>(ROUNDUP((X464/100),0))*100</f>
        <v>0</v>
      </c>
      <c r="AA464" s="58"/>
      <c r="AB464" s="58"/>
      <c r="AC464" s="180"/>
      <c r="AD464" s="180"/>
      <c r="AE464" s="176"/>
      <c r="AF464" s="176"/>
      <c r="AG464" s="176"/>
      <c r="AH464" s="176"/>
      <c r="AI464" s="85"/>
    </row>
    <row r="465" spans="1:35" ht="14.45" customHeight="1" x14ac:dyDescent="0.2">
      <c r="A465" s="47">
        <v>285</v>
      </c>
      <c r="B465" s="48" t="str">
        <f>REPLACE(E465,1,3, )</f>
        <v xml:space="preserve"> 779</v>
      </c>
      <c r="C465" s="70" t="s">
        <v>609</v>
      </c>
      <c r="D465" s="49">
        <f>IF(E465=C465,0,1)</f>
        <v>0</v>
      </c>
      <c r="E465" s="50" t="s">
        <v>609</v>
      </c>
      <c r="F465" s="30" t="str">
        <f>REPLACE(E465,4,4, )</f>
        <v>STR</v>
      </c>
      <c r="G465" s="30" t="s">
        <v>34</v>
      </c>
      <c r="H465" s="34" t="s">
        <v>610</v>
      </c>
      <c r="I465" s="30" t="s">
        <v>100</v>
      </c>
      <c r="J465" s="51"/>
      <c r="K465" s="52">
        <f>J465-M465</f>
        <v>0</v>
      </c>
      <c r="L465" s="49"/>
      <c r="M465" s="53">
        <f>J465-N465</f>
        <v>0</v>
      </c>
      <c r="N465" s="54"/>
      <c r="O465" s="55">
        <f>M465+N465</f>
        <v>0</v>
      </c>
      <c r="P465" s="47">
        <v>285</v>
      </c>
      <c r="Q465" s="41"/>
      <c r="R465" s="41"/>
      <c r="S465" s="67"/>
      <c r="T465" s="33"/>
      <c r="U465" s="57"/>
      <c r="V465" s="57">
        <f>U465+O465</f>
        <v>0</v>
      </c>
      <c r="W465" s="57">
        <f>V465/0.7</f>
        <v>0</v>
      </c>
      <c r="X465" s="58">
        <f>W465/0.875</f>
        <v>0</v>
      </c>
      <c r="Y465" s="59" t="e">
        <f>(X465-W465)/X465</f>
        <v>#DIV/0!</v>
      </c>
      <c r="Z465" s="58">
        <f>(ROUNDUP((X465/100),0))*100</f>
        <v>0</v>
      </c>
      <c r="AA465" s="58"/>
      <c r="AB465" s="58"/>
      <c r="AC465" s="180"/>
      <c r="AD465" s="180"/>
      <c r="AE465" s="176"/>
      <c r="AF465" s="176"/>
      <c r="AG465" s="176"/>
      <c r="AH465" s="176"/>
      <c r="AI465" s="85"/>
    </row>
    <row r="466" spans="1:35" s="91" customFormat="1" ht="14.45" customHeight="1" x14ac:dyDescent="0.2">
      <c r="A466" s="47">
        <v>428</v>
      </c>
      <c r="B466" s="48" t="str">
        <f>REPLACE(E466,1,3, )</f>
        <v xml:space="preserve"> 751</v>
      </c>
      <c r="C466" s="32" t="s">
        <v>861</v>
      </c>
      <c r="D466" s="49">
        <f>IF(E466=C466,0,1)</f>
        <v>0</v>
      </c>
      <c r="E466" s="47" t="s">
        <v>861</v>
      </c>
      <c r="F466" s="30" t="str">
        <f>REPLACE(E466,4,4, )</f>
        <v>STS</v>
      </c>
      <c r="G466" s="30" t="s">
        <v>91</v>
      </c>
      <c r="H466" s="71" t="s">
        <v>859</v>
      </c>
      <c r="I466" s="30" t="s">
        <v>862</v>
      </c>
      <c r="J466" s="51">
        <v>40000</v>
      </c>
      <c r="K466" s="52">
        <v>0</v>
      </c>
      <c r="L466" s="60" t="s">
        <v>97</v>
      </c>
      <c r="M466" s="62">
        <v>40000</v>
      </c>
      <c r="N466" s="53">
        <v>5300</v>
      </c>
      <c r="O466" s="55">
        <v>45300</v>
      </c>
      <c r="P466" s="47">
        <v>428</v>
      </c>
      <c r="Q466" s="41"/>
      <c r="R466" s="41"/>
      <c r="S466" s="67"/>
      <c r="T466" s="33"/>
      <c r="U466" s="57"/>
      <c r="V466" s="57">
        <f>U466+O466</f>
        <v>45300</v>
      </c>
      <c r="W466" s="57">
        <f>V466/0.7</f>
        <v>64714.285714285717</v>
      </c>
      <c r="X466" s="58">
        <f>W466/0.875</f>
        <v>73959.183673469393</v>
      </c>
      <c r="Y466" s="59">
        <f>(X466-W466)/X466</f>
        <v>0.12500000000000003</v>
      </c>
      <c r="Z466" s="58">
        <f>(ROUNDUP((X466/100),0))*100</f>
        <v>74000</v>
      </c>
      <c r="AA466" s="178"/>
      <c r="AB466" s="178"/>
      <c r="AC466" s="177"/>
      <c r="AD466" s="177"/>
      <c r="AE466" s="179"/>
      <c r="AF466" s="179"/>
      <c r="AG466" s="179"/>
      <c r="AH466" s="179"/>
    </row>
    <row r="467" spans="1:35" ht="14.45" customHeight="1" x14ac:dyDescent="0.2">
      <c r="A467" s="47">
        <v>133</v>
      </c>
      <c r="B467" s="48" t="str">
        <f>REPLACE(E467,1,3, )</f>
        <v xml:space="preserve"> 174</v>
      </c>
      <c r="C467" s="70" t="s">
        <v>330</v>
      </c>
      <c r="D467" s="49">
        <f>IF(E467=C467,0,1)</f>
        <v>0</v>
      </c>
      <c r="E467" s="49" t="s">
        <v>330</v>
      </c>
      <c r="F467" s="30" t="str">
        <f>REPLACE(E467,4,4, )</f>
        <v>STT</v>
      </c>
      <c r="G467" s="33" t="s">
        <v>91</v>
      </c>
      <c r="H467" s="34" t="s">
        <v>319</v>
      </c>
      <c r="I467" s="33" t="s">
        <v>331</v>
      </c>
      <c r="J467" s="51">
        <v>104000</v>
      </c>
      <c r="K467" s="52">
        <f>J467-M467</f>
        <v>3900</v>
      </c>
      <c r="L467" s="49" t="s">
        <v>94</v>
      </c>
      <c r="M467" s="53">
        <f>J467-N467</f>
        <v>100100</v>
      </c>
      <c r="N467" s="53">
        <f>2000+200+350+600+750</f>
        <v>3900</v>
      </c>
      <c r="O467" s="55">
        <f>M467+N467</f>
        <v>104000</v>
      </c>
      <c r="P467" s="47">
        <v>133</v>
      </c>
      <c r="Q467" s="56">
        <v>104000</v>
      </c>
      <c r="R467" s="41">
        <f>O467-Q467</f>
        <v>0</v>
      </c>
      <c r="S467" s="67"/>
      <c r="T467" s="33" t="s">
        <v>111</v>
      </c>
      <c r="U467" s="57"/>
      <c r="V467" s="57">
        <f>U467+O467</f>
        <v>104000</v>
      </c>
      <c r="W467" s="57">
        <f>V467/0.7</f>
        <v>148571.42857142858</v>
      </c>
      <c r="X467" s="58">
        <f>W467/0.875</f>
        <v>169795.91836734695</v>
      </c>
      <c r="Y467" s="59">
        <f>(X467-W467)/X467</f>
        <v>0.12500000000000003</v>
      </c>
      <c r="Z467" s="58">
        <f>(ROUNDUP((X467/100),0))*100</f>
        <v>169800</v>
      </c>
      <c r="AA467" s="178" t="s">
        <v>1780</v>
      </c>
      <c r="AB467" s="224">
        <v>43432</v>
      </c>
      <c r="AC467" s="177"/>
      <c r="AD467" s="177"/>
      <c r="AE467" s="179"/>
      <c r="AF467" s="179"/>
      <c r="AG467" s="179"/>
      <c r="AH467" s="179"/>
      <c r="AI467" s="85"/>
    </row>
    <row r="468" spans="1:35" ht="14.45" customHeight="1" x14ac:dyDescent="0.2">
      <c r="A468" s="47">
        <v>371</v>
      </c>
      <c r="B468" s="48" t="str">
        <f>REPLACE(E468,1,3, )</f>
        <v xml:space="preserve"> 224</v>
      </c>
      <c r="C468" s="70" t="s">
        <v>761</v>
      </c>
      <c r="D468" s="49">
        <f>IF(E468=C468,0,1)</f>
        <v>0</v>
      </c>
      <c r="E468" s="49" t="s">
        <v>761</v>
      </c>
      <c r="F468" s="30" t="str">
        <f>REPLACE(E468,4,4, )</f>
        <v>STT</v>
      </c>
      <c r="G468" s="33" t="s">
        <v>91</v>
      </c>
      <c r="H468" s="34" t="s">
        <v>722</v>
      </c>
      <c r="I468" s="33" t="s">
        <v>331</v>
      </c>
      <c r="J468" s="51">
        <v>100000</v>
      </c>
      <c r="K468" s="52">
        <f>J468-M468</f>
        <v>6950</v>
      </c>
      <c r="L468" s="49" t="s">
        <v>94</v>
      </c>
      <c r="M468" s="53">
        <f>J468-N468</f>
        <v>93050</v>
      </c>
      <c r="N468" s="53">
        <f>2000+200+600+750+3000+400</f>
        <v>6950</v>
      </c>
      <c r="O468" s="55">
        <f>M468+N468</f>
        <v>100000</v>
      </c>
      <c r="P468" s="47">
        <v>371</v>
      </c>
      <c r="Q468" s="56">
        <v>100000</v>
      </c>
      <c r="R468" s="41">
        <f>O468-Q468</f>
        <v>0</v>
      </c>
      <c r="S468" s="67" t="s">
        <v>762</v>
      </c>
      <c r="T468" s="33" t="s">
        <v>763</v>
      </c>
      <c r="U468" s="57"/>
      <c r="V468" s="57">
        <f>U468+O468</f>
        <v>100000</v>
      </c>
      <c r="W468" s="57">
        <f>V468/0.7</f>
        <v>142857.14285714287</v>
      </c>
      <c r="X468" s="58">
        <f>W468/0.875</f>
        <v>163265.30612244899</v>
      </c>
      <c r="Y468" s="59">
        <f>(X468-W468)/X468</f>
        <v>0.125</v>
      </c>
      <c r="Z468" s="58">
        <f>(ROUNDUP((X468/100),0))*100</f>
        <v>163300</v>
      </c>
      <c r="AA468" s="178" t="s">
        <v>1780</v>
      </c>
      <c r="AB468" s="224">
        <v>43432</v>
      </c>
      <c r="AC468" s="177"/>
      <c r="AD468" s="177"/>
      <c r="AE468" s="179"/>
      <c r="AF468" s="179"/>
      <c r="AG468" s="179"/>
      <c r="AH468" s="179"/>
      <c r="AI468" s="85"/>
    </row>
    <row r="469" spans="1:35" s="91" customFormat="1" ht="14.45" customHeight="1" x14ac:dyDescent="0.2">
      <c r="A469" s="47">
        <v>220</v>
      </c>
      <c r="B469" s="48" t="str">
        <f>REPLACE(E469,1,3, )</f>
        <v xml:space="preserve"> 230</v>
      </c>
      <c r="C469" s="70" t="s">
        <v>499</v>
      </c>
      <c r="D469" s="49">
        <f>IF(E469=C469,0,1)</f>
        <v>0</v>
      </c>
      <c r="E469" s="49" t="s">
        <v>499</v>
      </c>
      <c r="F469" s="30" t="str">
        <f>REPLACE(E469,4,4, )</f>
        <v>STU</v>
      </c>
      <c r="G469" s="33" t="s">
        <v>91</v>
      </c>
      <c r="H469" s="34" t="s">
        <v>493</v>
      </c>
      <c r="I469" s="33" t="s">
        <v>436</v>
      </c>
      <c r="J469" s="51">
        <v>77000</v>
      </c>
      <c r="K469" s="52">
        <f>J469-M469</f>
        <v>6500</v>
      </c>
      <c r="L469" s="49" t="s">
        <v>94</v>
      </c>
      <c r="M469" s="53">
        <f>J469-N469</f>
        <v>70500</v>
      </c>
      <c r="N469" s="53">
        <f>2000+300+600+3600</f>
        <v>6500</v>
      </c>
      <c r="O469" s="55">
        <f>M469+N469</f>
        <v>77000</v>
      </c>
      <c r="P469" s="47">
        <v>220</v>
      </c>
      <c r="Q469" s="56">
        <v>77000</v>
      </c>
      <c r="R469" s="41">
        <f>O469-Q469</f>
        <v>0</v>
      </c>
      <c r="S469" s="67"/>
      <c r="T469" s="33" t="s">
        <v>500</v>
      </c>
      <c r="U469" s="57"/>
      <c r="V469" s="57">
        <f>U469+O469</f>
        <v>77000</v>
      </c>
      <c r="W469" s="57">
        <f>V469/0.7</f>
        <v>110000</v>
      </c>
      <c r="X469" s="58">
        <f>W469/0.875</f>
        <v>125714.28571428571</v>
      </c>
      <c r="Y469" s="59">
        <f>(X469-W469)/X469</f>
        <v>0.12499999999999997</v>
      </c>
      <c r="Z469" s="58">
        <f>(ROUNDUP((X469/100),0))*100</f>
        <v>125800</v>
      </c>
      <c r="AA469" s="178"/>
      <c r="AB469" s="178"/>
      <c r="AC469" s="177"/>
      <c r="AD469" s="177"/>
      <c r="AE469" s="179"/>
      <c r="AF469" s="179"/>
      <c r="AG469" s="179"/>
      <c r="AH469" s="179"/>
    </row>
    <row r="470" spans="1:35" s="91" customFormat="1" ht="14.45" customHeight="1" x14ac:dyDescent="0.2">
      <c r="A470" s="47">
        <v>189</v>
      </c>
      <c r="B470" s="48" t="str">
        <f>REPLACE(E470,1,3, )</f>
        <v xml:space="preserve"> 598</v>
      </c>
      <c r="C470" s="70" t="s">
        <v>435</v>
      </c>
      <c r="D470" s="49">
        <f>IF(E470=C470,0,1)</f>
        <v>0</v>
      </c>
      <c r="E470" s="49" t="s">
        <v>435</v>
      </c>
      <c r="F470" s="30" t="str">
        <f>REPLACE(E470,4,4, )</f>
        <v>STU</v>
      </c>
      <c r="G470" s="33" t="s">
        <v>91</v>
      </c>
      <c r="H470" s="71" t="s">
        <v>360</v>
      </c>
      <c r="I470" s="33" t="s">
        <v>436</v>
      </c>
      <c r="J470" s="51">
        <v>74000</v>
      </c>
      <c r="K470" s="52">
        <f>J470-M470</f>
        <v>6550</v>
      </c>
      <c r="L470" s="49" t="s">
        <v>94</v>
      </c>
      <c r="M470" s="53">
        <f>J470-N470</f>
        <v>67450</v>
      </c>
      <c r="N470" s="53">
        <f>2000+300+600+650+3000</f>
        <v>6550</v>
      </c>
      <c r="O470" s="55">
        <f>M470+N470</f>
        <v>74000</v>
      </c>
      <c r="P470" s="47">
        <v>189</v>
      </c>
      <c r="Q470" s="56">
        <v>74000</v>
      </c>
      <c r="R470" s="41">
        <f>O470-Q470</f>
        <v>0</v>
      </c>
      <c r="S470" s="67"/>
      <c r="T470" s="33" t="s">
        <v>437</v>
      </c>
      <c r="U470" s="57"/>
      <c r="V470" s="57">
        <f>U470+O470</f>
        <v>74000</v>
      </c>
      <c r="W470" s="57">
        <f>V470/0.7</f>
        <v>105714.28571428572</v>
      </c>
      <c r="X470" s="58">
        <f>W470/0.875</f>
        <v>120816.32653061226</v>
      </c>
      <c r="Y470" s="59">
        <f>(X470-W470)/X470</f>
        <v>0.12500000000000006</v>
      </c>
      <c r="Z470" s="58">
        <f>(ROUNDUP((X470/100),0))*100</f>
        <v>120900</v>
      </c>
      <c r="AA470" s="178"/>
      <c r="AB470" s="178"/>
      <c r="AC470" s="177"/>
      <c r="AD470" s="177"/>
      <c r="AE470" s="179"/>
      <c r="AF470" s="179"/>
      <c r="AG470" s="179"/>
      <c r="AH470" s="179"/>
    </row>
    <row r="471" spans="1:35" ht="14.45" customHeight="1" x14ac:dyDescent="0.2">
      <c r="A471" s="47">
        <v>225</v>
      </c>
      <c r="B471" s="48" t="str">
        <f>REPLACE(E471,1,3, )</f>
        <v xml:space="preserve"> 685</v>
      </c>
      <c r="C471" s="70" t="s">
        <v>508</v>
      </c>
      <c r="D471" s="49">
        <f>IF(E471=C471,0,1)</f>
        <v>0</v>
      </c>
      <c r="E471" s="49" t="s">
        <v>508</v>
      </c>
      <c r="F471" s="30" t="str">
        <f>REPLACE(E471,4,4, )</f>
        <v>STU</v>
      </c>
      <c r="G471" s="33" t="s">
        <v>91</v>
      </c>
      <c r="H471" s="34" t="s">
        <v>493</v>
      </c>
      <c r="I471" s="33" t="s">
        <v>436</v>
      </c>
      <c r="J471" s="51">
        <v>77000</v>
      </c>
      <c r="K471" s="52">
        <f>J471-M471</f>
        <v>5900</v>
      </c>
      <c r="L471" s="49" t="s">
        <v>94</v>
      </c>
      <c r="M471" s="53">
        <f>J471-N471</f>
        <v>71100</v>
      </c>
      <c r="N471" s="53">
        <f>2000+300+600+3000</f>
        <v>5900</v>
      </c>
      <c r="O471" s="55">
        <f>M471+N471</f>
        <v>77000</v>
      </c>
      <c r="P471" s="47">
        <v>225</v>
      </c>
      <c r="Q471" s="56">
        <v>77000</v>
      </c>
      <c r="R471" s="41">
        <f>O471-Q471</f>
        <v>0</v>
      </c>
      <c r="S471" s="67"/>
      <c r="T471" s="33" t="s">
        <v>434</v>
      </c>
      <c r="U471" s="57"/>
      <c r="V471" s="57">
        <f>U471+O471</f>
        <v>77000</v>
      </c>
      <c r="W471" s="57">
        <f>V471/0.7</f>
        <v>110000</v>
      </c>
      <c r="X471" s="58">
        <f>W471/0.875</f>
        <v>125714.28571428571</v>
      </c>
      <c r="Y471" s="59">
        <f>(X471-W471)/X471</f>
        <v>0.12499999999999997</v>
      </c>
      <c r="Z471" s="58">
        <f>(ROUNDUP((X471/100),0))*100</f>
        <v>125800</v>
      </c>
      <c r="AA471" s="178"/>
      <c r="AB471" s="178"/>
      <c r="AC471" s="177"/>
      <c r="AD471" s="177"/>
      <c r="AE471" s="179"/>
      <c r="AF471" s="179"/>
      <c r="AG471" s="179"/>
      <c r="AH471" s="179"/>
      <c r="AI471" s="85"/>
    </row>
    <row r="472" spans="1:35" ht="14.45" customHeight="1" x14ac:dyDescent="0.2">
      <c r="A472" s="86">
        <v>188</v>
      </c>
      <c r="B472" s="48" t="str">
        <f>REPLACE(E472,1,3, )</f>
        <v xml:space="preserve"> 131</v>
      </c>
      <c r="C472" s="70" t="s">
        <v>433</v>
      </c>
      <c r="D472" s="49">
        <f>IF(E472=C472,0,1)</f>
        <v>0</v>
      </c>
      <c r="E472" s="49" t="s">
        <v>433</v>
      </c>
      <c r="F472" s="30" t="str">
        <f>REPLACE(E472,4,4, )</f>
        <v>STV</v>
      </c>
      <c r="G472" s="33" t="s">
        <v>91</v>
      </c>
      <c r="H472" s="71" t="s">
        <v>360</v>
      </c>
      <c r="I472" s="33" t="s">
        <v>361</v>
      </c>
      <c r="J472" s="51">
        <v>58400</v>
      </c>
      <c r="K472" s="52">
        <f>J472-M472</f>
        <v>5900</v>
      </c>
      <c r="L472" s="49" t="s">
        <v>94</v>
      </c>
      <c r="M472" s="53">
        <f>J472-N472</f>
        <v>52500</v>
      </c>
      <c r="N472" s="53">
        <f>2000+300+600+3000</f>
        <v>5900</v>
      </c>
      <c r="O472" s="55">
        <f>M472+N472</f>
        <v>58400</v>
      </c>
      <c r="P472" s="86">
        <v>188</v>
      </c>
      <c r="Q472" s="56">
        <v>58400</v>
      </c>
      <c r="R472" s="41">
        <f>O472-Q472</f>
        <v>0</v>
      </c>
      <c r="S472" s="67"/>
      <c r="T472" s="33" t="s">
        <v>434</v>
      </c>
      <c r="U472" s="57"/>
      <c r="V472" s="57">
        <f>U472+O472</f>
        <v>58400</v>
      </c>
      <c r="W472" s="57">
        <f>V472/0.7</f>
        <v>83428.571428571435</v>
      </c>
      <c r="X472" s="58">
        <f>W472/0.875</f>
        <v>95346.938775510207</v>
      </c>
      <c r="Y472" s="59">
        <f>(X472-W472)/X472</f>
        <v>0.12499999999999996</v>
      </c>
      <c r="Z472" s="58">
        <f>(ROUNDUP((X472/100),0))*100</f>
        <v>95400</v>
      </c>
      <c r="AA472" s="178"/>
      <c r="AB472" s="178"/>
      <c r="AC472" s="177"/>
      <c r="AD472" s="177"/>
      <c r="AE472" s="179"/>
      <c r="AF472" s="179"/>
      <c r="AG472" s="179"/>
      <c r="AH472" s="179"/>
      <c r="AI472" s="85"/>
    </row>
    <row r="473" spans="1:35" ht="14.45" customHeight="1" x14ac:dyDescent="0.2">
      <c r="A473" s="86">
        <v>266</v>
      </c>
      <c r="B473" s="48" t="str">
        <f>REPLACE(E473,1,3, )</f>
        <v xml:space="preserve"> 406</v>
      </c>
      <c r="C473" s="70" t="s">
        <v>576</v>
      </c>
      <c r="D473" s="49">
        <f>IF(E473=C473,0,1)</f>
        <v>0</v>
      </c>
      <c r="E473" s="49" t="s">
        <v>576</v>
      </c>
      <c r="F473" s="30" t="str">
        <f>REPLACE(E473,4,4, )</f>
        <v>STV</v>
      </c>
      <c r="G473" s="33" t="s">
        <v>91</v>
      </c>
      <c r="H473" s="71" t="s">
        <v>545</v>
      </c>
      <c r="I473" s="33" t="s">
        <v>361</v>
      </c>
      <c r="J473" s="51">
        <v>37900</v>
      </c>
      <c r="K473" s="52">
        <f>J473-M473</f>
        <v>4900</v>
      </c>
      <c r="L473" s="49" t="s">
        <v>94</v>
      </c>
      <c r="M473" s="53">
        <f>J473-N473</f>
        <v>33000</v>
      </c>
      <c r="N473" s="53">
        <f>2000+300+600+2000</f>
        <v>4900</v>
      </c>
      <c r="O473" s="55">
        <f>M473+N473</f>
        <v>37900</v>
      </c>
      <c r="P473" s="86">
        <v>266</v>
      </c>
      <c r="Q473" s="56">
        <v>37900</v>
      </c>
      <c r="R473" s="41">
        <f>O473-Q473</f>
        <v>0</v>
      </c>
      <c r="S473" s="42"/>
      <c r="T473" s="33" t="s">
        <v>547</v>
      </c>
      <c r="U473" s="57"/>
      <c r="V473" s="57">
        <f>U473+O473</f>
        <v>37900</v>
      </c>
      <c r="W473" s="57">
        <f>V473/0.7</f>
        <v>54142.857142857145</v>
      </c>
      <c r="X473" s="58">
        <f>W473/0.875</f>
        <v>61877.551020408166</v>
      </c>
      <c r="Y473" s="59">
        <f>(X473-W473)/X473</f>
        <v>0.125</v>
      </c>
      <c r="Z473" s="58">
        <f>(ROUNDUP((X473/100),0))*100</f>
        <v>61900</v>
      </c>
      <c r="AA473" s="178" t="s">
        <v>1780</v>
      </c>
      <c r="AB473" s="224">
        <v>43444</v>
      </c>
      <c r="AC473" s="177"/>
      <c r="AD473" s="177"/>
      <c r="AE473" s="179"/>
      <c r="AF473" s="179"/>
      <c r="AG473" s="179"/>
      <c r="AH473" s="179"/>
      <c r="AI473" s="85"/>
    </row>
    <row r="474" spans="1:35" ht="14.45" customHeight="1" x14ac:dyDescent="0.2">
      <c r="A474" s="86">
        <v>250</v>
      </c>
      <c r="B474" s="48" t="str">
        <f>REPLACE(E474,1,3, )</f>
        <v xml:space="preserve"> 460</v>
      </c>
      <c r="C474" s="70" t="s">
        <v>554</v>
      </c>
      <c r="D474" s="49">
        <f>IF(E474=C474,0,1)</f>
        <v>0</v>
      </c>
      <c r="E474" s="49" t="s">
        <v>554</v>
      </c>
      <c r="F474" s="30" t="str">
        <f>REPLACE(E474,4,4, )</f>
        <v>STV</v>
      </c>
      <c r="G474" s="33" t="s">
        <v>91</v>
      </c>
      <c r="H474" s="71" t="s">
        <v>545</v>
      </c>
      <c r="I474" s="33" t="s">
        <v>361</v>
      </c>
      <c r="J474" s="51">
        <v>37900</v>
      </c>
      <c r="K474" s="52">
        <f>J474-M474</f>
        <v>4900</v>
      </c>
      <c r="L474" s="49" t="s">
        <v>94</v>
      </c>
      <c r="M474" s="53">
        <f>J474-N474</f>
        <v>33000</v>
      </c>
      <c r="N474" s="53">
        <f>2000+300+600+2000</f>
        <v>4900</v>
      </c>
      <c r="O474" s="55">
        <f>M474+N474</f>
        <v>37900</v>
      </c>
      <c r="P474" s="86">
        <v>250</v>
      </c>
      <c r="Q474" s="56">
        <v>37900</v>
      </c>
      <c r="R474" s="41">
        <f>O474-Q474</f>
        <v>0</v>
      </c>
      <c r="S474" s="67"/>
      <c r="T474" s="33" t="s">
        <v>547</v>
      </c>
      <c r="U474" s="57"/>
      <c r="V474" s="57">
        <f>U474+O474</f>
        <v>37900</v>
      </c>
      <c r="W474" s="57">
        <f>V474/0.7</f>
        <v>54142.857142857145</v>
      </c>
      <c r="X474" s="58">
        <f>W474/0.875</f>
        <v>61877.551020408166</v>
      </c>
      <c r="Y474" s="59">
        <f>(X474-W474)/X474</f>
        <v>0.125</v>
      </c>
      <c r="Z474" s="58">
        <f>(ROUNDUP((X474/100),0))*100</f>
        <v>61900</v>
      </c>
      <c r="AA474" s="178"/>
      <c r="AB474" s="178"/>
      <c r="AC474" s="177"/>
      <c r="AD474" s="177"/>
      <c r="AE474" s="179"/>
      <c r="AF474" s="179"/>
      <c r="AG474" s="179"/>
      <c r="AH474" s="179"/>
      <c r="AI474" s="85"/>
    </row>
    <row r="475" spans="1:35" ht="14.45" customHeight="1" x14ac:dyDescent="0.2">
      <c r="A475" s="86">
        <v>200</v>
      </c>
      <c r="B475" s="48" t="str">
        <f>REPLACE(E475,1,3, )</f>
        <v xml:space="preserve"> 575</v>
      </c>
      <c r="C475" s="70" t="s">
        <v>454</v>
      </c>
      <c r="D475" s="49">
        <f>IF(E475=C475,0,1)</f>
        <v>0</v>
      </c>
      <c r="E475" s="49" t="s">
        <v>454</v>
      </c>
      <c r="F475" s="30" t="str">
        <f>REPLACE(E475,4,4, )</f>
        <v>STV</v>
      </c>
      <c r="G475" s="33" t="s">
        <v>91</v>
      </c>
      <c r="H475" s="71" t="s">
        <v>441</v>
      </c>
      <c r="I475" s="33" t="s">
        <v>361</v>
      </c>
      <c r="J475" s="51">
        <v>50900</v>
      </c>
      <c r="K475" s="52">
        <f>J475-M475</f>
        <v>5900</v>
      </c>
      <c r="L475" s="49" t="s">
        <v>94</v>
      </c>
      <c r="M475" s="53">
        <f>J475-N475</f>
        <v>45000</v>
      </c>
      <c r="N475" s="53">
        <f>2000+300+600+1000+2000</f>
        <v>5900</v>
      </c>
      <c r="O475" s="55">
        <f>M475+N475</f>
        <v>50900</v>
      </c>
      <c r="P475" s="86">
        <v>200</v>
      </c>
      <c r="Q475" s="56">
        <v>50900</v>
      </c>
      <c r="R475" s="41">
        <f>O475-Q475</f>
        <v>0</v>
      </c>
      <c r="S475" s="67"/>
      <c r="T475" s="33" t="s">
        <v>455</v>
      </c>
      <c r="U475" s="57"/>
      <c r="V475" s="57">
        <f>U475+O475</f>
        <v>50900</v>
      </c>
      <c r="W475" s="57">
        <f>V475/0.7</f>
        <v>72714.285714285725</v>
      </c>
      <c r="X475" s="58">
        <f>W475/0.875</f>
        <v>83102.040816326538</v>
      </c>
      <c r="Y475" s="59">
        <f>(X475-W475)/X475</f>
        <v>0.12499999999999996</v>
      </c>
      <c r="Z475" s="58">
        <f>(ROUNDUP((X475/100),0))*100</f>
        <v>83200</v>
      </c>
      <c r="AA475" s="178"/>
      <c r="AB475" s="178"/>
      <c r="AC475" s="177"/>
      <c r="AD475" s="177"/>
      <c r="AE475" s="179"/>
      <c r="AF475" s="179"/>
      <c r="AG475" s="179"/>
      <c r="AH475" s="179"/>
      <c r="AI475" s="85"/>
    </row>
    <row r="476" spans="1:35" s="91" customFormat="1" ht="14.45" customHeight="1" x14ac:dyDescent="0.2">
      <c r="A476" s="86">
        <v>156</v>
      </c>
      <c r="B476" s="48" t="str">
        <f>REPLACE(E476,1,3, )</f>
        <v xml:space="preserve"> 673</v>
      </c>
      <c r="C476" s="70" t="s">
        <v>372</v>
      </c>
      <c r="D476" s="49">
        <f>IF(E476=C476,0,1)</f>
        <v>0</v>
      </c>
      <c r="E476" s="49" t="s">
        <v>372</v>
      </c>
      <c r="F476" s="30" t="str">
        <f>REPLACE(E476,4,4, )</f>
        <v>STV</v>
      </c>
      <c r="G476" s="33" t="s">
        <v>91</v>
      </c>
      <c r="H476" s="71" t="s">
        <v>360</v>
      </c>
      <c r="I476" s="33" t="s">
        <v>361</v>
      </c>
      <c r="J476" s="51">
        <v>67500</v>
      </c>
      <c r="K476" s="52">
        <f>J476-M476</f>
        <v>7500</v>
      </c>
      <c r="L476" s="49" t="s">
        <v>94</v>
      </c>
      <c r="M476" s="53">
        <f>J476-N476</f>
        <v>60000</v>
      </c>
      <c r="N476" s="53">
        <f>2000+300+600+1000+3600</f>
        <v>7500</v>
      </c>
      <c r="O476" s="55">
        <f>M476+N476</f>
        <v>67500</v>
      </c>
      <c r="P476" s="86">
        <v>156</v>
      </c>
      <c r="Q476" s="56">
        <v>67500</v>
      </c>
      <c r="R476" s="41">
        <f>O476-Q476</f>
        <v>0</v>
      </c>
      <c r="S476" s="67"/>
      <c r="T476" s="33" t="s">
        <v>362</v>
      </c>
      <c r="U476" s="57"/>
      <c r="V476" s="57">
        <f>U476+O476</f>
        <v>67500</v>
      </c>
      <c r="W476" s="57">
        <f>V476/0.7</f>
        <v>96428.571428571435</v>
      </c>
      <c r="X476" s="58">
        <f>W476/0.875</f>
        <v>110204.08163265306</v>
      </c>
      <c r="Y476" s="59">
        <f>(X476-W476)/X476</f>
        <v>0.12499999999999994</v>
      </c>
      <c r="Z476" s="58">
        <f>(ROUNDUP((X476/100),0))*100</f>
        <v>110300</v>
      </c>
      <c r="AA476" s="178"/>
      <c r="AB476" s="178"/>
      <c r="AC476" s="177"/>
      <c r="AD476" s="177"/>
      <c r="AE476" s="179"/>
      <c r="AF476" s="179"/>
      <c r="AG476" s="179"/>
      <c r="AH476" s="179"/>
    </row>
    <row r="477" spans="1:35" ht="14.45" customHeight="1" x14ac:dyDescent="0.2">
      <c r="A477" s="86">
        <v>260</v>
      </c>
      <c r="B477" s="48" t="str">
        <f>REPLACE(E477,1,3, )</f>
        <v xml:space="preserve"> 755</v>
      </c>
      <c r="C477" s="70" t="s">
        <v>569</v>
      </c>
      <c r="D477" s="49">
        <f>IF(E477=C477,0,1)</f>
        <v>0</v>
      </c>
      <c r="E477" s="49" t="s">
        <v>569</v>
      </c>
      <c r="F477" s="30" t="str">
        <f>REPLACE(E477,4,4, )</f>
        <v>STV</v>
      </c>
      <c r="G477" s="33" t="s">
        <v>91</v>
      </c>
      <c r="H477" s="71" t="s">
        <v>545</v>
      </c>
      <c r="I477" s="33" t="s">
        <v>361</v>
      </c>
      <c r="J477" s="51">
        <v>37900</v>
      </c>
      <c r="K477" s="52">
        <f>J477-M477</f>
        <v>4900</v>
      </c>
      <c r="L477" s="49" t="s">
        <v>94</v>
      </c>
      <c r="M477" s="53">
        <f>J477-N477</f>
        <v>33000</v>
      </c>
      <c r="N477" s="53">
        <f>2000+300+600+2000</f>
        <v>4900</v>
      </c>
      <c r="O477" s="55">
        <f>M477+N477</f>
        <v>37900</v>
      </c>
      <c r="P477" s="86">
        <v>260</v>
      </c>
      <c r="Q477" s="56">
        <v>37900</v>
      </c>
      <c r="R477" s="41">
        <f>O477-Q477</f>
        <v>0</v>
      </c>
      <c r="S477" s="67"/>
      <c r="T477" s="33" t="s">
        <v>547</v>
      </c>
      <c r="U477" s="57"/>
      <c r="V477" s="57">
        <f>U477+O477</f>
        <v>37900</v>
      </c>
      <c r="W477" s="57">
        <f>V477/0.7</f>
        <v>54142.857142857145</v>
      </c>
      <c r="X477" s="58">
        <f>W477/0.875</f>
        <v>61877.551020408166</v>
      </c>
      <c r="Y477" s="59">
        <f>(X477-W477)/X477</f>
        <v>0.125</v>
      </c>
      <c r="Z477" s="58">
        <f>(ROUNDUP((X477/100),0))*100</f>
        <v>61900</v>
      </c>
      <c r="AA477" s="178" t="s">
        <v>1780</v>
      </c>
      <c r="AB477" s="224">
        <v>43420</v>
      </c>
      <c r="AC477" s="177"/>
      <c r="AD477" s="177"/>
      <c r="AE477" s="179"/>
      <c r="AF477" s="179"/>
      <c r="AG477" s="179"/>
      <c r="AH477" s="179"/>
      <c r="AI477" s="85"/>
    </row>
    <row r="478" spans="1:35" s="91" customFormat="1" ht="14.45" customHeight="1" x14ac:dyDescent="0.2">
      <c r="A478" s="86">
        <v>248</v>
      </c>
      <c r="B478" s="48" t="str">
        <f>REPLACE(E478,1,3, )</f>
        <v xml:space="preserve"> 773</v>
      </c>
      <c r="C478" s="70" t="s">
        <v>551</v>
      </c>
      <c r="D478" s="49">
        <f>IF(E478=C478,0,1)</f>
        <v>0</v>
      </c>
      <c r="E478" s="49" t="s">
        <v>551</v>
      </c>
      <c r="F478" s="30" t="str">
        <f>REPLACE(E478,4,4, )</f>
        <v>STV</v>
      </c>
      <c r="G478" s="33" t="s">
        <v>91</v>
      </c>
      <c r="H478" s="71" t="s">
        <v>545</v>
      </c>
      <c r="I478" s="33" t="s">
        <v>361</v>
      </c>
      <c r="J478" s="51">
        <v>37900</v>
      </c>
      <c r="K478" s="52">
        <f>J478-M478</f>
        <v>4900</v>
      </c>
      <c r="L478" s="49" t="s">
        <v>94</v>
      </c>
      <c r="M478" s="53">
        <f>J478-N478</f>
        <v>33000</v>
      </c>
      <c r="N478" s="53">
        <f>2000+300+600+2000</f>
        <v>4900</v>
      </c>
      <c r="O478" s="55">
        <f>M478+N478</f>
        <v>37900</v>
      </c>
      <c r="P478" s="86">
        <v>248</v>
      </c>
      <c r="Q478" s="56">
        <v>37900</v>
      </c>
      <c r="R478" s="41">
        <f>O478-Q478</f>
        <v>0</v>
      </c>
      <c r="S478" s="67"/>
      <c r="T478" s="33" t="s">
        <v>547</v>
      </c>
      <c r="U478" s="57"/>
      <c r="V478" s="57">
        <f>U478+O478</f>
        <v>37900</v>
      </c>
      <c r="W478" s="57">
        <f>V478/0.7</f>
        <v>54142.857142857145</v>
      </c>
      <c r="X478" s="58">
        <f>W478/0.875</f>
        <v>61877.551020408166</v>
      </c>
      <c r="Y478" s="59">
        <f>(X478-W478)/X478</f>
        <v>0.125</v>
      </c>
      <c r="Z478" s="58">
        <f>(ROUNDUP((X478/100),0))*100</f>
        <v>61900</v>
      </c>
      <c r="AA478" s="178" t="s">
        <v>1780</v>
      </c>
      <c r="AB478" s="224">
        <v>43444</v>
      </c>
      <c r="AC478" s="177"/>
      <c r="AD478" s="177"/>
      <c r="AE478" s="179"/>
      <c r="AF478" s="179"/>
      <c r="AG478" s="179"/>
      <c r="AH478" s="179"/>
    </row>
    <row r="479" spans="1:35" ht="14.45" customHeight="1" x14ac:dyDescent="0.2">
      <c r="A479" s="86">
        <v>152</v>
      </c>
      <c r="B479" s="48" t="str">
        <f>REPLACE(E479,1,3, )</f>
        <v xml:space="preserve"> 801</v>
      </c>
      <c r="C479" s="70" t="s">
        <v>359</v>
      </c>
      <c r="D479" s="49">
        <f>IF(E479=C479,0,1)</f>
        <v>0</v>
      </c>
      <c r="E479" s="49" t="s">
        <v>359</v>
      </c>
      <c r="F479" s="30" t="str">
        <f>REPLACE(E479,4,4, )</f>
        <v>STV</v>
      </c>
      <c r="G479" s="33" t="s">
        <v>91</v>
      </c>
      <c r="H479" s="71" t="s">
        <v>360</v>
      </c>
      <c r="I479" s="33" t="s">
        <v>361</v>
      </c>
      <c r="J479" s="51">
        <v>67500</v>
      </c>
      <c r="K479" s="52">
        <f>J479-M479</f>
        <v>7500</v>
      </c>
      <c r="L479" s="49" t="s">
        <v>94</v>
      </c>
      <c r="M479" s="53">
        <f>J479-N479</f>
        <v>60000</v>
      </c>
      <c r="N479" s="53">
        <f>2000+300+600+1000+3600</f>
        <v>7500</v>
      </c>
      <c r="O479" s="55">
        <f>M479+N479</f>
        <v>67500</v>
      </c>
      <c r="P479" s="86">
        <v>152</v>
      </c>
      <c r="Q479" s="56">
        <v>67500</v>
      </c>
      <c r="R479" s="41">
        <f>O479-Q479</f>
        <v>0</v>
      </c>
      <c r="S479" s="67"/>
      <c r="T479" s="33" t="s">
        <v>362</v>
      </c>
      <c r="U479" s="57"/>
      <c r="V479" s="57">
        <f>U479+O479</f>
        <v>67500</v>
      </c>
      <c r="W479" s="57">
        <f>V479/0.7</f>
        <v>96428.571428571435</v>
      </c>
      <c r="X479" s="58">
        <f>W479/0.875</f>
        <v>110204.08163265306</v>
      </c>
      <c r="Y479" s="59">
        <f>(X479-W479)/X479</f>
        <v>0.12499999999999994</v>
      </c>
      <c r="Z479" s="58">
        <f>(ROUNDUP((X479/100),0))*100</f>
        <v>110300</v>
      </c>
      <c r="AA479" s="178" t="s">
        <v>1780</v>
      </c>
      <c r="AB479" s="224">
        <v>43420</v>
      </c>
      <c r="AC479" s="177"/>
      <c r="AD479" s="177"/>
      <c r="AE479" s="179"/>
      <c r="AF479" s="179"/>
      <c r="AG479" s="179"/>
      <c r="AH479" s="179"/>
      <c r="AI479" s="85"/>
    </row>
    <row r="480" spans="1:35" s="91" customFormat="1" ht="14.45" customHeight="1" x14ac:dyDescent="0.2">
      <c r="A480" s="86">
        <v>251</v>
      </c>
      <c r="B480" s="48" t="str">
        <f>REPLACE(E480,1,3, )</f>
        <v xml:space="preserve"> 914</v>
      </c>
      <c r="C480" s="70" t="s">
        <v>555</v>
      </c>
      <c r="D480" s="49">
        <f>IF(E480=C480,0,1)</f>
        <v>0</v>
      </c>
      <c r="E480" s="49" t="s">
        <v>555</v>
      </c>
      <c r="F480" s="30" t="str">
        <f>REPLACE(E480,4,4, )</f>
        <v>STV</v>
      </c>
      <c r="G480" s="33" t="s">
        <v>91</v>
      </c>
      <c r="H480" s="71" t="s">
        <v>545</v>
      </c>
      <c r="I480" s="33" t="s">
        <v>361</v>
      </c>
      <c r="J480" s="51">
        <v>40900</v>
      </c>
      <c r="K480" s="52">
        <f>J480-M480</f>
        <v>5900</v>
      </c>
      <c r="L480" s="49" t="s">
        <v>94</v>
      </c>
      <c r="M480" s="53">
        <f>J480-N480</f>
        <v>35000</v>
      </c>
      <c r="N480" s="53">
        <f>2000+300+600+1000+2000</f>
        <v>5900</v>
      </c>
      <c r="O480" s="55">
        <f>M480+N480</f>
        <v>40900</v>
      </c>
      <c r="P480" s="86">
        <v>251</v>
      </c>
      <c r="Q480" s="56">
        <v>40900</v>
      </c>
      <c r="R480" s="41">
        <f>O480-Q480</f>
        <v>0</v>
      </c>
      <c r="S480" s="42"/>
      <c r="T480" s="33" t="s">
        <v>455</v>
      </c>
      <c r="U480" s="57"/>
      <c r="V480" s="57">
        <f>U480+O480</f>
        <v>40900</v>
      </c>
      <c r="W480" s="57">
        <f>V480/0.7</f>
        <v>58428.571428571435</v>
      </c>
      <c r="X480" s="58">
        <f>W480/0.875</f>
        <v>66775.510204081642</v>
      </c>
      <c r="Y480" s="59">
        <f>(X480-W480)/X480</f>
        <v>0.12500000000000003</v>
      </c>
      <c r="Z480" s="58">
        <f>(ROUNDUP((X480/100),0))*100</f>
        <v>66800</v>
      </c>
      <c r="AA480" s="178" t="s">
        <v>1780</v>
      </c>
      <c r="AB480" s="224">
        <v>43420</v>
      </c>
      <c r="AC480" s="177"/>
      <c r="AD480" s="177"/>
      <c r="AE480" s="179"/>
      <c r="AF480" s="179"/>
      <c r="AG480" s="179"/>
      <c r="AH480" s="179"/>
    </row>
    <row r="481" spans="1:35" s="91" customFormat="1" ht="14.45" customHeight="1" x14ac:dyDescent="0.2">
      <c r="A481" s="47">
        <v>178</v>
      </c>
      <c r="B481" s="48" t="str">
        <f>REPLACE(E481,1,3, )</f>
        <v xml:space="preserve"> 132</v>
      </c>
      <c r="C481" s="70" t="s">
        <v>412</v>
      </c>
      <c r="D481" s="49">
        <f>IF(E481=C481,0,1)</f>
        <v>0</v>
      </c>
      <c r="E481" s="48" t="s">
        <v>412</v>
      </c>
      <c r="F481" s="30" t="str">
        <f>REPLACE(E481,4,4, )</f>
        <v>SUM</v>
      </c>
      <c r="G481" s="33" t="s">
        <v>34</v>
      </c>
      <c r="H481" s="71" t="s">
        <v>360</v>
      </c>
      <c r="I481" s="33" t="s">
        <v>401</v>
      </c>
      <c r="J481" s="51">
        <f>80000+11000</f>
        <v>91000</v>
      </c>
      <c r="K481" s="52">
        <f>J481-M481</f>
        <v>7400</v>
      </c>
      <c r="L481" s="49" t="s">
        <v>94</v>
      </c>
      <c r="M481" s="53">
        <f>J481-N481</f>
        <v>83600</v>
      </c>
      <c r="N481" s="54">
        <f>2000+200+600+1000+3600</f>
        <v>7400</v>
      </c>
      <c r="O481" s="55">
        <f>M481+N481</f>
        <v>91000</v>
      </c>
      <c r="P481" s="47">
        <v>178</v>
      </c>
      <c r="Q481" s="56">
        <v>91000</v>
      </c>
      <c r="R481" s="41"/>
      <c r="S481" s="67"/>
      <c r="T481" s="33" t="s">
        <v>376</v>
      </c>
      <c r="U481" s="57">
        <v>-5500</v>
      </c>
      <c r="V481" s="57">
        <f>U481+O481</f>
        <v>85500</v>
      </c>
      <c r="W481" s="57">
        <f>V481/0.7</f>
        <v>122142.85714285714</v>
      </c>
      <c r="X481" s="58">
        <f>W481/0.875</f>
        <v>139591.83673469388</v>
      </c>
      <c r="Y481" s="59">
        <f>(X481-W481)/X481</f>
        <v>0.12499999999999997</v>
      </c>
      <c r="Z481" s="58">
        <f>(ROUNDUP((X481/100),0))*100</f>
        <v>139600</v>
      </c>
      <c r="AA481" s="58"/>
      <c r="AB481" s="58"/>
      <c r="AC481" s="180"/>
      <c r="AD481" s="180"/>
      <c r="AE481" s="176"/>
      <c r="AF481" s="176"/>
      <c r="AG481" s="176"/>
      <c r="AH481" s="176"/>
    </row>
    <row r="482" spans="1:35" s="91" customFormat="1" ht="14.45" customHeight="1" x14ac:dyDescent="0.2">
      <c r="A482" s="47">
        <v>457</v>
      </c>
      <c r="B482" s="48" t="str">
        <f>REPLACE(E482,1,3, )</f>
        <v xml:space="preserve"> 186</v>
      </c>
      <c r="C482" s="32" t="s">
        <v>918</v>
      </c>
      <c r="D482" s="49">
        <f>IF(E482=C482,0,1)</f>
        <v>0</v>
      </c>
      <c r="E482" s="50" t="s">
        <v>918</v>
      </c>
      <c r="F482" s="30" t="str">
        <f>REPLACE(E482,4,4, )</f>
        <v>SUM</v>
      </c>
      <c r="G482" s="30" t="s">
        <v>34</v>
      </c>
      <c r="H482" s="34" t="s">
        <v>919</v>
      </c>
      <c r="I482" s="30" t="s">
        <v>367</v>
      </c>
      <c r="J482" s="51">
        <v>67000</v>
      </c>
      <c r="K482" s="52">
        <f>J482-M482</f>
        <v>6400</v>
      </c>
      <c r="L482" s="49" t="s">
        <v>94</v>
      </c>
      <c r="M482" s="53">
        <f>J482-N482</f>
        <v>60600</v>
      </c>
      <c r="N482" s="53">
        <f>2000+200+600+3600</f>
        <v>6400</v>
      </c>
      <c r="O482" s="55">
        <f>M482+N482</f>
        <v>67000</v>
      </c>
      <c r="P482" s="47">
        <v>457</v>
      </c>
      <c r="Q482" s="56">
        <v>67000</v>
      </c>
      <c r="R482" s="41">
        <f>O482-Q482</f>
        <v>0</v>
      </c>
      <c r="S482" s="67"/>
      <c r="T482" s="33" t="s">
        <v>920</v>
      </c>
      <c r="U482" s="57">
        <v>-3000</v>
      </c>
      <c r="V482" s="57">
        <f>U482+O482</f>
        <v>64000</v>
      </c>
      <c r="W482" s="57">
        <f>V482/0.7</f>
        <v>91428.571428571435</v>
      </c>
      <c r="X482" s="58">
        <f>W482/0.875</f>
        <v>104489.79591836735</v>
      </c>
      <c r="Y482" s="59">
        <f>(X482-W482)/X482</f>
        <v>0.12499999999999999</v>
      </c>
      <c r="Z482" s="58">
        <f>(ROUNDUP((X482/100),0))*100</f>
        <v>104500</v>
      </c>
      <c r="AA482" s="58"/>
      <c r="AB482" s="58"/>
      <c r="AC482" s="180"/>
      <c r="AD482" s="180"/>
      <c r="AE482" s="176"/>
      <c r="AF482" s="176"/>
      <c r="AG482" s="176"/>
      <c r="AH482" s="176"/>
    </row>
    <row r="483" spans="1:35" s="91" customFormat="1" ht="14.45" customHeight="1" x14ac:dyDescent="0.2">
      <c r="A483" s="47">
        <v>158</v>
      </c>
      <c r="B483" s="48" t="str">
        <f>REPLACE(E483,1,3, )</f>
        <v xml:space="preserve"> 548</v>
      </c>
      <c r="C483" s="70" t="s">
        <v>375</v>
      </c>
      <c r="D483" s="49">
        <f>IF(E483=C483,0,1)</f>
        <v>0</v>
      </c>
      <c r="E483" s="50" t="s">
        <v>375</v>
      </c>
      <c r="F483" s="30" t="str">
        <f>REPLACE(E483,4,4, )</f>
        <v>SUM</v>
      </c>
      <c r="G483" s="30" t="s">
        <v>34</v>
      </c>
      <c r="H483" s="71" t="s">
        <v>360</v>
      </c>
      <c r="I483" s="30" t="s">
        <v>367</v>
      </c>
      <c r="J483" s="51">
        <f>80000+11000</f>
        <v>91000</v>
      </c>
      <c r="K483" s="52">
        <f>J483-M483</f>
        <v>7400</v>
      </c>
      <c r="L483" s="49" t="s">
        <v>94</v>
      </c>
      <c r="M483" s="53">
        <f>J483-N483</f>
        <v>83600</v>
      </c>
      <c r="N483" s="53">
        <f>2000+200+600+1000+3600</f>
        <v>7400</v>
      </c>
      <c r="O483" s="55">
        <f>M483+N483</f>
        <v>91000</v>
      </c>
      <c r="P483" s="47">
        <v>158</v>
      </c>
      <c r="Q483" s="41">
        <v>80000</v>
      </c>
      <c r="R483" s="41">
        <f>O483-Q483</f>
        <v>11000</v>
      </c>
      <c r="S483" s="42" t="s">
        <v>88</v>
      </c>
      <c r="T483" s="33" t="s">
        <v>376</v>
      </c>
      <c r="U483" s="57">
        <v>-6000</v>
      </c>
      <c r="V483" s="57">
        <f>U483+O483</f>
        <v>85000</v>
      </c>
      <c r="W483" s="57">
        <f>V483/0.7</f>
        <v>121428.57142857143</v>
      </c>
      <c r="X483" s="58">
        <f>W483/0.875</f>
        <v>138775.51020408163</v>
      </c>
      <c r="Y483" s="59">
        <f>(X483-W483)/X483</f>
        <v>0.12499999999999992</v>
      </c>
      <c r="Z483" s="58">
        <f>(ROUNDUP((X483/100),0))*100</f>
        <v>138800</v>
      </c>
      <c r="AA483" s="58"/>
      <c r="AB483" s="58"/>
      <c r="AC483" s="180"/>
      <c r="AD483" s="180"/>
      <c r="AE483" s="176"/>
      <c r="AF483" s="176"/>
      <c r="AG483" s="176"/>
      <c r="AH483" s="176"/>
    </row>
    <row r="484" spans="1:35" s="91" customFormat="1" ht="14.45" customHeight="1" x14ac:dyDescent="0.2">
      <c r="A484" s="47">
        <v>166</v>
      </c>
      <c r="B484" s="48" t="str">
        <f>REPLACE(E484,1,3, )</f>
        <v xml:space="preserve"> 708</v>
      </c>
      <c r="C484" s="70" t="s">
        <v>391</v>
      </c>
      <c r="D484" s="49">
        <f>IF(E484=C484,0,1)</f>
        <v>0</v>
      </c>
      <c r="E484" s="30" t="s">
        <v>391</v>
      </c>
      <c r="F484" s="30" t="str">
        <f>REPLACE(E484,4,4, )</f>
        <v>SUM</v>
      </c>
      <c r="G484" s="30" t="s">
        <v>91</v>
      </c>
      <c r="H484" s="71" t="s">
        <v>360</v>
      </c>
      <c r="I484" s="30" t="s">
        <v>392</v>
      </c>
      <c r="J484" s="51">
        <f>75000</f>
        <v>75000</v>
      </c>
      <c r="K484" s="52">
        <f>J484-M484</f>
        <v>5800</v>
      </c>
      <c r="L484" s="49" t="s">
        <v>94</v>
      </c>
      <c r="M484" s="53">
        <f>J484-N484</f>
        <v>69200</v>
      </c>
      <c r="N484" s="53">
        <f>2000+200+600+3000</f>
        <v>5800</v>
      </c>
      <c r="O484" s="55">
        <f>M484+N484</f>
        <v>75000</v>
      </c>
      <c r="P484" s="47">
        <v>166</v>
      </c>
      <c r="Q484" s="56">
        <v>75000</v>
      </c>
      <c r="R484" s="41">
        <f>O484-Q484</f>
        <v>0</v>
      </c>
      <c r="S484" s="67"/>
      <c r="T484" s="33" t="s">
        <v>393</v>
      </c>
      <c r="U484" s="57"/>
      <c r="V484" s="57">
        <f>U484+O484</f>
        <v>75000</v>
      </c>
      <c r="W484" s="57">
        <f>V484/0.7</f>
        <v>107142.85714285714</v>
      </c>
      <c r="X484" s="58">
        <f>W484/0.875</f>
        <v>122448.97959183673</v>
      </c>
      <c r="Y484" s="59">
        <f>(X484-W484)/X484</f>
        <v>0.12499999999999996</v>
      </c>
      <c r="Z484" s="58">
        <f>(ROUNDUP((X484/100),0))*100</f>
        <v>122500</v>
      </c>
      <c r="AA484" s="178"/>
      <c r="AB484" s="178"/>
      <c r="AC484" s="177"/>
      <c r="AD484" s="177"/>
      <c r="AE484" s="179"/>
      <c r="AF484" s="179"/>
      <c r="AG484" s="179"/>
      <c r="AH484" s="179"/>
    </row>
    <row r="485" spans="1:35" ht="14.45" customHeight="1" x14ac:dyDescent="0.2">
      <c r="A485" s="47">
        <v>171</v>
      </c>
      <c r="B485" s="48" t="str">
        <f>REPLACE(E485,1,3, )</f>
        <v xml:space="preserve"> 723</v>
      </c>
      <c r="C485" s="70" t="s">
        <v>400</v>
      </c>
      <c r="D485" s="49">
        <f>IF(E485=C485,0,1)</f>
        <v>0</v>
      </c>
      <c r="E485" s="48" t="s">
        <v>400</v>
      </c>
      <c r="F485" s="30" t="str">
        <f>REPLACE(E485,4,4, )</f>
        <v>SUM</v>
      </c>
      <c r="G485" s="33" t="s">
        <v>34</v>
      </c>
      <c r="H485" s="71" t="s">
        <v>360</v>
      </c>
      <c r="I485" s="33" t="s">
        <v>401</v>
      </c>
      <c r="J485" s="51">
        <f>77000+9500</f>
        <v>86500</v>
      </c>
      <c r="K485" s="52">
        <f>J485-M485</f>
        <v>7400</v>
      </c>
      <c r="L485" s="49" t="s">
        <v>94</v>
      </c>
      <c r="M485" s="53">
        <f>J485-N485</f>
        <v>79100</v>
      </c>
      <c r="N485" s="54">
        <f>2000+200+600+1000+3600</f>
        <v>7400</v>
      </c>
      <c r="O485" s="55">
        <f>M485+N485</f>
        <v>86500</v>
      </c>
      <c r="P485" s="47">
        <v>171</v>
      </c>
      <c r="Q485" s="56">
        <v>86500</v>
      </c>
      <c r="R485" s="41"/>
      <c r="S485" s="67"/>
      <c r="T485" s="33" t="s">
        <v>376</v>
      </c>
      <c r="U485" s="57">
        <v>-4000</v>
      </c>
      <c r="V485" s="57">
        <f>U485+O485</f>
        <v>82500</v>
      </c>
      <c r="W485" s="57">
        <f>V485/0.7</f>
        <v>117857.14285714287</v>
      </c>
      <c r="X485" s="58">
        <f>W485/0.875</f>
        <v>134693.87755102041</v>
      </c>
      <c r="Y485" s="59">
        <f>(X485-W485)/X485</f>
        <v>0.12499999999999994</v>
      </c>
      <c r="Z485" s="58">
        <f>(ROUNDUP((X485/100),0))*100</f>
        <v>134700</v>
      </c>
      <c r="AA485" s="58"/>
      <c r="AB485" s="58"/>
      <c r="AC485" s="180"/>
      <c r="AD485" s="180"/>
      <c r="AE485" s="176"/>
      <c r="AF485" s="176"/>
      <c r="AG485" s="176"/>
      <c r="AH485" s="176"/>
      <c r="AI485" s="85"/>
    </row>
    <row r="486" spans="1:35" ht="14.45" customHeight="1" x14ac:dyDescent="0.2">
      <c r="A486" s="47">
        <v>161</v>
      </c>
      <c r="B486" s="48" t="str">
        <f>REPLACE(E486,1,3, )</f>
        <v xml:space="preserve"> 918</v>
      </c>
      <c r="C486" s="70" t="s">
        <v>380</v>
      </c>
      <c r="D486" s="49">
        <f>IF(E486=C486,0,1)</f>
        <v>0</v>
      </c>
      <c r="E486" s="50" t="s">
        <v>380</v>
      </c>
      <c r="F486" s="30" t="str">
        <f>REPLACE(E486,4,4, )</f>
        <v>SUM</v>
      </c>
      <c r="G486" s="30" t="s">
        <v>34</v>
      </c>
      <c r="H486" s="71" t="s">
        <v>360</v>
      </c>
      <c r="I486" s="30" t="s">
        <v>367</v>
      </c>
      <c r="J486" s="51">
        <f>77000+11000</f>
        <v>88000</v>
      </c>
      <c r="K486" s="52">
        <f>J486-M486</f>
        <v>6800</v>
      </c>
      <c r="L486" s="49" t="s">
        <v>94</v>
      </c>
      <c r="M486" s="53">
        <f>J486-N486</f>
        <v>81200</v>
      </c>
      <c r="N486" s="54">
        <f>2000+200+600+1000+3000</f>
        <v>6800</v>
      </c>
      <c r="O486" s="55">
        <f>M486+N486</f>
        <v>88000</v>
      </c>
      <c r="P486" s="47">
        <v>161</v>
      </c>
      <c r="Q486" s="56">
        <v>88000</v>
      </c>
      <c r="R486" s="41">
        <f>O486-Q486</f>
        <v>0</v>
      </c>
      <c r="S486" s="67" t="s">
        <v>381</v>
      </c>
      <c r="T486" s="33" t="s">
        <v>382</v>
      </c>
      <c r="U486" s="57">
        <v>-5500</v>
      </c>
      <c r="V486" s="57">
        <f>U486+O486</f>
        <v>82500</v>
      </c>
      <c r="W486" s="57">
        <f>V486/0.7</f>
        <v>117857.14285714287</v>
      </c>
      <c r="X486" s="58">
        <f>W486/0.875</f>
        <v>134693.87755102041</v>
      </c>
      <c r="Y486" s="59">
        <f>(X486-W486)/X486</f>
        <v>0.12499999999999994</v>
      </c>
      <c r="Z486" s="58">
        <f>(ROUNDUP((X486/100),0))*100</f>
        <v>134700</v>
      </c>
      <c r="AA486" s="58"/>
      <c r="AB486" s="58"/>
      <c r="AC486" s="180"/>
      <c r="AD486" s="180"/>
      <c r="AE486" s="176"/>
      <c r="AF486" s="176"/>
      <c r="AG486" s="176"/>
      <c r="AH486" s="176"/>
      <c r="AI486" s="85"/>
    </row>
    <row r="487" spans="1:35" ht="14.45" customHeight="1" x14ac:dyDescent="0.2">
      <c r="A487" s="47">
        <v>182</v>
      </c>
      <c r="B487" s="48" t="str">
        <f>REPLACE(E487,1,3, )</f>
        <v xml:space="preserve"> 982</v>
      </c>
      <c r="C487" s="70" t="s">
        <v>418</v>
      </c>
      <c r="D487" s="49">
        <f>IF(E487=C487,0,1)</f>
        <v>0</v>
      </c>
      <c r="E487" s="49" t="s">
        <v>418</v>
      </c>
      <c r="F487" s="30" t="str">
        <f>REPLACE(E487,4,4, )</f>
        <v>SUM</v>
      </c>
      <c r="G487" s="33" t="s">
        <v>91</v>
      </c>
      <c r="H487" s="71" t="s">
        <v>360</v>
      </c>
      <c r="I487" s="33" t="s">
        <v>401</v>
      </c>
      <c r="J487" s="51">
        <v>83000</v>
      </c>
      <c r="K487" s="52">
        <f>J487-M487</f>
        <v>5800</v>
      </c>
      <c r="L487" s="49" t="s">
        <v>94</v>
      </c>
      <c r="M487" s="53">
        <f>J487-N487</f>
        <v>77200</v>
      </c>
      <c r="N487" s="53">
        <f>2000+200+600+3000</f>
        <v>5800</v>
      </c>
      <c r="O487" s="55">
        <f>M487+N487</f>
        <v>83000</v>
      </c>
      <c r="P487" s="47">
        <v>182</v>
      </c>
      <c r="Q487" s="56">
        <v>83000</v>
      </c>
      <c r="R487" s="41">
        <f>O487-Q487</f>
        <v>0</v>
      </c>
      <c r="S487" s="67"/>
      <c r="T487" s="33" t="s">
        <v>393</v>
      </c>
      <c r="U487" s="57"/>
      <c r="V487" s="57">
        <f>U487+O487</f>
        <v>83000</v>
      </c>
      <c r="W487" s="57">
        <f>V487/0.7</f>
        <v>118571.42857142858</v>
      </c>
      <c r="X487" s="58">
        <f>W487/0.875</f>
        <v>135510.20408163266</v>
      </c>
      <c r="Y487" s="59">
        <f>(X487-W487)/X487</f>
        <v>0.125</v>
      </c>
      <c r="Z487" s="58">
        <f>(ROUNDUP((X487/100),0))*100</f>
        <v>135600</v>
      </c>
      <c r="AA487" s="178" t="s">
        <v>1780</v>
      </c>
      <c r="AB487" s="224">
        <v>43424</v>
      </c>
      <c r="AC487" s="177"/>
      <c r="AD487" s="177"/>
      <c r="AE487" s="179"/>
      <c r="AF487" s="179"/>
      <c r="AG487" s="179"/>
      <c r="AH487" s="179"/>
      <c r="AI487" s="85"/>
    </row>
    <row r="488" spans="1:35" ht="14.45" customHeight="1" x14ac:dyDescent="0.2">
      <c r="A488" s="47">
        <v>3</v>
      </c>
      <c r="B488" s="48" t="str">
        <f>REPLACE(E488,1,3, )</f>
        <v xml:space="preserve"> 280</v>
      </c>
      <c r="C488" s="32" t="s">
        <v>95</v>
      </c>
      <c r="D488" s="49">
        <f>IF(E488=C488,0,1)</f>
        <v>0</v>
      </c>
      <c r="E488" s="47" t="s">
        <v>95</v>
      </c>
      <c r="F488" s="30" t="str">
        <f>REPLACE(E488,4,4, )</f>
        <v>SUP</v>
      </c>
      <c r="G488" s="30" t="s">
        <v>91</v>
      </c>
      <c r="H488" s="34" t="s">
        <v>85</v>
      </c>
      <c r="I488" s="30" t="s">
        <v>96</v>
      </c>
      <c r="J488" s="51">
        <f>M488</f>
        <v>70000</v>
      </c>
      <c r="K488" s="52">
        <f>J488-M488</f>
        <v>0</v>
      </c>
      <c r="L488" s="60" t="s">
        <v>97</v>
      </c>
      <c r="M488" s="62">
        <v>70000</v>
      </c>
      <c r="N488" s="53">
        <f>2000+200+350+600+800</f>
        <v>3950</v>
      </c>
      <c r="O488" s="55">
        <f>M488+N488</f>
        <v>73950</v>
      </c>
      <c r="P488" s="47">
        <v>3</v>
      </c>
      <c r="Q488" s="56">
        <v>73950</v>
      </c>
      <c r="R488" s="41">
        <f>O488-Q488</f>
        <v>0</v>
      </c>
      <c r="S488" s="42"/>
      <c r="T488" s="49" t="s">
        <v>98</v>
      </c>
      <c r="U488" s="57"/>
      <c r="V488" s="57">
        <f>U488+O488</f>
        <v>73950</v>
      </c>
      <c r="W488" s="57">
        <f>V488/0.7</f>
        <v>105642.85714285714</v>
      </c>
      <c r="X488" s="58">
        <f>W488/0.875</f>
        <v>120734.69387755102</v>
      </c>
      <c r="Y488" s="59">
        <f>(X488-W488)/X488</f>
        <v>0.12499999999999999</v>
      </c>
      <c r="Z488" s="58">
        <f>(ROUNDUP((X488/100),0))*100</f>
        <v>120800</v>
      </c>
      <c r="AA488" s="178"/>
      <c r="AB488" s="178"/>
      <c r="AC488" s="177"/>
      <c r="AD488" s="177"/>
      <c r="AE488" s="179"/>
      <c r="AF488" s="179"/>
      <c r="AG488" s="179"/>
      <c r="AH488" s="179"/>
      <c r="AI488" s="85"/>
    </row>
    <row r="489" spans="1:35" ht="14.45" customHeight="1" x14ac:dyDescent="0.2">
      <c r="A489" s="47">
        <v>433</v>
      </c>
      <c r="B489" s="48" t="str">
        <f>REPLACE(E489,1,3, )</f>
        <v xml:space="preserve"> 631</v>
      </c>
      <c r="C489" s="32" t="s">
        <v>871</v>
      </c>
      <c r="D489" s="49">
        <f>IF(E489=C489,0,1)</f>
        <v>0</v>
      </c>
      <c r="E489" s="47" t="s">
        <v>871</v>
      </c>
      <c r="F489" s="30" t="str">
        <f>REPLACE(E489,4,4, )</f>
        <v>SVA</v>
      </c>
      <c r="G489" s="30" t="s">
        <v>91</v>
      </c>
      <c r="H489" s="71" t="s">
        <v>859</v>
      </c>
      <c r="I489" s="30" t="s">
        <v>780</v>
      </c>
      <c r="J489" s="51">
        <f>M489</f>
        <v>65000</v>
      </c>
      <c r="K489" s="68">
        <f>J489-M489</f>
        <v>0</v>
      </c>
      <c r="L489" s="60" t="s">
        <v>97</v>
      </c>
      <c r="M489" s="62">
        <v>65000</v>
      </c>
      <c r="N489" s="53">
        <f>2000+200+600+800+3000</f>
        <v>6600</v>
      </c>
      <c r="O489" s="55">
        <f>M489+N489</f>
        <v>71600</v>
      </c>
      <c r="P489" s="47">
        <v>433</v>
      </c>
      <c r="Q489" s="56">
        <v>71600</v>
      </c>
      <c r="R489" s="41">
        <f>O489-Q489</f>
        <v>0</v>
      </c>
      <c r="S489" s="67"/>
      <c r="T489" s="33" t="s">
        <v>872</v>
      </c>
      <c r="U489" s="57"/>
      <c r="V489" s="57">
        <f>U489+O489</f>
        <v>71600</v>
      </c>
      <c r="W489" s="57">
        <f>V489/0.7</f>
        <v>102285.71428571429</v>
      </c>
      <c r="X489" s="58">
        <f>W489/0.875</f>
        <v>116897.95918367348</v>
      </c>
      <c r="Y489" s="59">
        <f>(X489-W489)/X489</f>
        <v>0.12500000000000003</v>
      </c>
      <c r="Z489" s="58">
        <f>(ROUNDUP((X489/100),0))*100</f>
        <v>116900</v>
      </c>
      <c r="AA489" s="178"/>
      <c r="AB489" s="178"/>
      <c r="AC489" s="177"/>
      <c r="AD489" s="177"/>
      <c r="AE489" s="179"/>
      <c r="AF489" s="179"/>
      <c r="AG489" s="179"/>
      <c r="AH489" s="179"/>
      <c r="AI489" s="85"/>
    </row>
    <row r="490" spans="1:35" s="91" customFormat="1" ht="14.45" customHeight="1" x14ac:dyDescent="0.2">
      <c r="A490" s="47">
        <v>379</v>
      </c>
      <c r="B490" s="48" t="str">
        <f>REPLACE(E490,1,3, )</f>
        <v xml:space="preserve"> 844</v>
      </c>
      <c r="C490" s="70" t="s">
        <v>779</v>
      </c>
      <c r="D490" s="49">
        <f>IF(E490=C490,0,1)</f>
        <v>0</v>
      </c>
      <c r="E490" s="47" t="s">
        <v>779</v>
      </c>
      <c r="F490" s="30" t="str">
        <f>REPLACE(E490,4,4, )</f>
        <v>SVA</v>
      </c>
      <c r="G490" s="30" t="s">
        <v>91</v>
      </c>
      <c r="H490" s="34" t="s">
        <v>767</v>
      </c>
      <c r="I490" s="30" t="s">
        <v>780</v>
      </c>
      <c r="J490" s="51">
        <f>M490</f>
        <v>72500</v>
      </c>
      <c r="K490" s="68">
        <f>J490-M490</f>
        <v>0</v>
      </c>
      <c r="L490" s="60" t="s">
        <v>97</v>
      </c>
      <c r="M490" s="62">
        <v>72500</v>
      </c>
      <c r="N490" s="53">
        <f>2000+200+250+600+1000+3600</f>
        <v>7650</v>
      </c>
      <c r="O490" s="55">
        <f>M490+N490</f>
        <v>80150</v>
      </c>
      <c r="P490" s="47">
        <v>379</v>
      </c>
      <c r="Q490" s="56">
        <v>80150</v>
      </c>
      <c r="R490" s="41">
        <f>O490-Q490</f>
        <v>0</v>
      </c>
      <c r="S490" s="67" t="s">
        <v>771</v>
      </c>
      <c r="T490" s="33" t="s">
        <v>781</v>
      </c>
      <c r="U490" s="57"/>
      <c r="V490" s="57">
        <f>U490+O490</f>
        <v>80150</v>
      </c>
      <c r="W490" s="57">
        <f>V490/0.7</f>
        <v>114500</v>
      </c>
      <c r="X490" s="58">
        <f>W490/0.875</f>
        <v>130857.14285714286</v>
      </c>
      <c r="Y490" s="59">
        <f>(X490-W490)/X490</f>
        <v>0.12499999999999999</v>
      </c>
      <c r="Z490" s="58">
        <f>(ROUNDUP((X490/100),0))*100</f>
        <v>130900</v>
      </c>
      <c r="AA490" s="178"/>
      <c r="AB490" s="178"/>
      <c r="AC490" s="177"/>
      <c r="AD490" s="177"/>
      <c r="AE490" s="179"/>
      <c r="AF490" s="179"/>
      <c r="AG490" s="179"/>
      <c r="AH490" s="179"/>
    </row>
    <row r="491" spans="1:35" ht="14.45" customHeight="1" x14ac:dyDescent="0.2">
      <c r="A491" s="47">
        <v>424</v>
      </c>
      <c r="B491" s="48" t="str">
        <f>REPLACE(E491,1,3, )</f>
        <v xml:space="preserve"> 014</v>
      </c>
      <c r="C491" s="32" t="s">
        <v>851</v>
      </c>
      <c r="D491" s="49">
        <f>IF(E491=C491,0,1)</f>
        <v>0</v>
      </c>
      <c r="E491" s="48" t="s">
        <v>851</v>
      </c>
      <c r="F491" s="30" t="str">
        <f>REPLACE(E491,4,4, )</f>
        <v>SVN</v>
      </c>
      <c r="G491" s="33" t="s">
        <v>34</v>
      </c>
      <c r="H491" s="71" t="s">
        <v>846</v>
      </c>
      <c r="I491" s="33" t="s">
        <v>818</v>
      </c>
      <c r="J491" s="51">
        <f>M491</f>
        <v>96000</v>
      </c>
      <c r="K491" s="52">
        <f>J491-M491</f>
        <v>0</v>
      </c>
      <c r="L491" s="60" t="s">
        <v>97</v>
      </c>
      <c r="M491" s="61">
        <v>96000</v>
      </c>
      <c r="N491" s="54">
        <v>3050</v>
      </c>
      <c r="O491" s="55">
        <f>M491+N491</f>
        <v>99050</v>
      </c>
      <c r="P491" s="47">
        <v>424</v>
      </c>
      <c r="Q491" s="56">
        <v>99050</v>
      </c>
      <c r="R491" s="41">
        <f>O491-Q491</f>
        <v>0</v>
      </c>
      <c r="S491" s="67"/>
      <c r="T491" s="33" t="s">
        <v>852</v>
      </c>
      <c r="U491" s="57">
        <v>2000</v>
      </c>
      <c r="V491" s="57">
        <f>U491+O491</f>
        <v>101050</v>
      </c>
      <c r="W491" s="57">
        <f>V491/0.7</f>
        <v>144357.14285714287</v>
      </c>
      <c r="X491" s="58">
        <f>W491/0.875</f>
        <v>164979.5918367347</v>
      </c>
      <c r="Y491" s="59">
        <f>(X491-W491)/X491</f>
        <v>0.12499999999999997</v>
      </c>
      <c r="Z491" s="58">
        <f>(ROUNDUP((X491/100),0))*100</f>
        <v>165000</v>
      </c>
      <c r="AA491" s="58"/>
      <c r="AB491" s="58"/>
      <c r="AC491" s="180"/>
      <c r="AD491" s="180"/>
      <c r="AE491" s="176"/>
      <c r="AF491" s="176"/>
      <c r="AG491" s="176"/>
      <c r="AH491" s="176"/>
      <c r="AI491" s="85"/>
    </row>
    <row r="492" spans="1:35" ht="14.45" customHeight="1" x14ac:dyDescent="0.2">
      <c r="A492" s="47">
        <v>418</v>
      </c>
      <c r="B492" s="48" t="str">
        <f>REPLACE(E492,1,3, )</f>
        <v xml:space="preserve"> 179</v>
      </c>
      <c r="C492" s="70" t="s">
        <v>840</v>
      </c>
      <c r="D492" s="49">
        <f>IF(E492=C492,0,1)</f>
        <v>0</v>
      </c>
      <c r="E492" s="49" t="s">
        <v>840</v>
      </c>
      <c r="F492" s="30" t="str">
        <f>REPLACE(E492,4,4, )</f>
        <v>SVN</v>
      </c>
      <c r="G492" s="33" t="s">
        <v>91</v>
      </c>
      <c r="H492" s="34" t="s">
        <v>767</v>
      </c>
      <c r="I492" s="33" t="s">
        <v>818</v>
      </c>
      <c r="J492" s="51">
        <f>M492</f>
        <v>72500</v>
      </c>
      <c r="K492" s="52">
        <f>J492-M492</f>
        <v>0</v>
      </c>
      <c r="L492" s="60" t="s">
        <v>97</v>
      </c>
      <c r="M492" s="62">
        <v>72500</v>
      </c>
      <c r="N492" s="53">
        <f>2000+200+250+600+1000+3600+450</f>
        <v>8100</v>
      </c>
      <c r="O492" s="55">
        <f>M492+N492</f>
        <v>80600</v>
      </c>
      <c r="P492" s="47">
        <v>418</v>
      </c>
      <c r="Q492" s="56">
        <v>71650</v>
      </c>
      <c r="R492" s="41">
        <f>O492-Q492</f>
        <v>8950</v>
      </c>
      <c r="S492" s="67"/>
      <c r="T492" s="33" t="s">
        <v>820</v>
      </c>
      <c r="U492" s="57"/>
      <c r="V492" s="57">
        <f>U492+O492</f>
        <v>80600</v>
      </c>
      <c r="W492" s="57">
        <f>V492/0.7</f>
        <v>115142.85714285714</v>
      </c>
      <c r="X492" s="58">
        <f>W492/0.875</f>
        <v>131591.83673469388</v>
      </c>
      <c r="Y492" s="59">
        <f>(X492-W492)/X492</f>
        <v>0.12499999999999997</v>
      </c>
      <c r="Z492" s="58">
        <f>(ROUNDUP((X492/100),0))*100</f>
        <v>131600</v>
      </c>
      <c r="AA492" s="178" t="s">
        <v>1780</v>
      </c>
      <c r="AB492" s="224">
        <v>43420</v>
      </c>
      <c r="AC492" s="177"/>
      <c r="AD492" s="177"/>
      <c r="AE492" s="179"/>
      <c r="AF492" s="179"/>
      <c r="AG492" s="179"/>
      <c r="AH492" s="179"/>
      <c r="AI492" s="85"/>
    </row>
    <row r="493" spans="1:35" s="91" customFormat="1" ht="14.45" customHeight="1" x14ac:dyDescent="0.2">
      <c r="A493" s="47">
        <v>403</v>
      </c>
      <c r="B493" s="48" t="str">
        <f>REPLACE(E493,1,3, )</f>
        <v xml:space="preserve"> 641</v>
      </c>
      <c r="C493" s="70" t="s">
        <v>817</v>
      </c>
      <c r="D493" s="49">
        <f>IF(E493=C493,0,1)</f>
        <v>0</v>
      </c>
      <c r="E493" s="49" t="s">
        <v>817</v>
      </c>
      <c r="F493" s="30" t="str">
        <f>REPLACE(E493,4,4, )</f>
        <v>SVN</v>
      </c>
      <c r="G493" s="33" t="s">
        <v>91</v>
      </c>
      <c r="H493" s="34" t="s">
        <v>767</v>
      </c>
      <c r="I493" s="33" t="s">
        <v>818</v>
      </c>
      <c r="J493" s="51">
        <f>M493</f>
        <v>70000</v>
      </c>
      <c r="K493" s="52">
        <f>J493-M493</f>
        <v>0</v>
      </c>
      <c r="L493" s="60" t="s">
        <v>97</v>
      </c>
      <c r="M493" s="62">
        <v>70000</v>
      </c>
      <c r="N493" s="53">
        <f>2000+200+250+600+1000+3600+450</f>
        <v>8100</v>
      </c>
      <c r="O493" s="55">
        <f>M493+N493</f>
        <v>78100</v>
      </c>
      <c r="P493" s="47">
        <v>403</v>
      </c>
      <c r="Q493" s="56">
        <v>78100</v>
      </c>
      <c r="R493" s="41">
        <f>O493-Q493</f>
        <v>0</v>
      </c>
      <c r="S493" s="67" t="s">
        <v>819</v>
      </c>
      <c r="T493" s="33" t="s">
        <v>820</v>
      </c>
      <c r="U493" s="57"/>
      <c r="V493" s="57">
        <f>U493+O493</f>
        <v>78100</v>
      </c>
      <c r="W493" s="57">
        <f>V493/0.7</f>
        <v>111571.42857142858</v>
      </c>
      <c r="X493" s="58">
        <f>W493/0.875</f>
        <v>127510.20408163266</v>
      </c>
      <c r="Y493" s="59">
        <f>(X493-W493)/X493</f>
        <v>0.125</v>
      </c>
      <c r="Z493" s="58">
        <f>(ROUNDUP((X493/100),0))*100</f>
        <v>127600</v>
      </c>
      <c r="AA493" s="178"/>
      <c r="AB493" s="178"/>
      <c r="AC493" s="177"/>
      <c r="AD493" s="177"/>
      <c r="AE493" s="179"/>
      <c r="AF493" s="179"/>
      <c r="AG493" s="179"/>
      <c r="AH493" s="179"/>
    </row>
    <row r="494" spans="1:35" s="91" customFormat="1" ht="14.45" customHeight="1" x14ac:dyDescent="0.2">
      <c r="A494" s="47">
        <v>405</v>
      </c>
      <c r="B494" s="48" t="str">
        <f>REPLACE(E494,1,3, )</f>
        <v xml:space="preserve"> 680</v>
      </c>
      <c r="C494" s="70" t="s">
        <v>822</v>
      </c>
      <c r="D494" s="49">
        <f>IF(E494=C494,0,1)</f>
        <v>0</v>
      </c>
      <c r="E494" s="49" t="s">
        <v>822</v>
      </c>
      <c r="F494" s="30" t="str">
        <f>REPLACE(E494,4,4, )</f>
        <v>SVN</v>
      </c>
      <c r="G494" s="33" t="s">
        <v>91</v>
      </c>
      <c r="H494" s="34" t="s">
        <v>767</v>
      </c>
      <c r="I494" s="33" t="s">
        <v>818</v>
      </c>
      <c r="J494" s="51">
        <f>M494</f>
        <v>67500</v>
      </c>
      <c r="K494" s="52">
        <f>J494-M494</f>
        <v>0</v>
      </c>
      <c r="L494" s="60" t="s">
        <v>97</v>
      </c>
      <c r="M494" s="62">
        <v>67500</v>
      </c>
      <c r="N494" s="53">
        <f>2000+200+250+600+1000+3600+450</f>
        <v>8100</v>
      </c>
      <c r="O494" s="55">
        <f>M494+N494</f>
        <v>75600</v>
      </c>
      <c r="P494" s="47">
        <v>405</v>
      </c>
      <c r="Q494" s="41"/>
      <c r="R494" s="41">
        <f>O494-Q494</f>
        <v>75600</v>
      </c>
      <c r="S494" s="42" t="s">
        <v>88</v>
      </c>
      <c r="T494" s="33" t="s">
        <v>820</v>
      </c>
      <c r="U494" s="57"/>
      <c r="V494" s="57">
        <f>U494+O494</f>
        <v>75600</v>
      </c>
      <c r="W494" s="57">
        <f>V494/0.7</f>
        <v>108000</v>
      </c>
      <c r="X494" s="58">
        <f>W494/0.875</f>
        <v>123428.57142857143</v>
      </c>
      <c r="Y494" s="59">
        <f>(X494-W494)/X494</f>
        <v>0.12500000000000006</v>
      </c>
      <c r="Z494" s="58">
        <f>(ROUNDUP((X494/100),0))*100</f>
        <v>123500</v>
      </c>
      <c r="AA494" s="178"/>
      <c r="AB494" s="178"/>
      <c r="AC494" s="177"/>
      <c r="AD494" s="177"/>
      <c r="AE494" s="179"/>
      <c r="AF494" s="179"/>
      <c r="AG494" s="179"/>
      <c r="AH494" s="179"/>
    </row>
    <row r="495" spans="1:35" ht="14.45" customHeight="1" x14ac:dyDescent="0.2">
      <c r="A495" s="47">
        <v>183</v>
      </c>
      <c r="B495" s="48" t="str">
        <f>REPLACE(E495,1,3, )</f>
        <v xml:space="preserve"> 292</v>
      </c>
      <c r="C495" s="70" t="s">
        <v>419</v>
      </c>
      <c r="D495" s="49">
        <f>IF(E495=C495,0,1)</f>
        <v>0</v>
      </c>
      <c r="E495" s="49" t="s">
        <v>419</v>
      </c>
      <c r="F495" s="30" t="str">
        <f>REPLACE(E495,4,4, )</f>
        <v>SWN</v>
      </c>
      <c r="G495" s="33" t="s">
        <v>91</v>
      </c>
      <c r="H495" s="71" t="s">
        <v>360</v>
      </c>
      <c r="I495" s="33" t="s">
        <v>420</v>
      </c>
      <c r="J495" s="51">
        <v>85000</v>
      </c>
      <c r="K495" s="52">
        <f>J495-M495</f>
        <v>7500</v>
      </c>
      <c r="L495" s="49" t="s">
        <v>94</v>
      </c>
      <c r="M495" s="53">
        <f>J495-N495</f>
        <v>77500</v>
      </c>
      <c r="N495" s="53">
        <f>2000+300+600+1000+3600</f>
        <v>7500</v>
      </c>
      <c r="O495" s="55">
        <f>M495+N495</f>
        <v>85000</v>
      </c>
      <c r="P495" s="47">
        <v>183</v>
      </c>
      <c r="Q495" s="56">
        <v>85000</v>
      </c>
      <c r="R495" s="41">
        <f>O495-Q495</f>
        <v>0</v>
      </c>
      <c r="S495" s="67" t="s">
        <v>276</v>
      </c>
      <c r="T495" s="33" t="s">
        <v>421</v>
      </c>
      <c r="U495" s="57"/>
      <c r="V495" s="57">
        <f>U495+O495</f>
        <v>85000</v>
      </c>
      <c r="W495" s="57">
        <f>V495/0.7</f>
        <v>121428.57142857143</v>
      </c>
      <c r="X495" s="58">
        <f>W495/0.875</f>
        <v>138775.51020408163</v>
      </c>
      <c r="Y495" s="59">
        <f>(X495-W495)/X495</f>
        <v>0.12499999999999992</v>
      </c>
      <c r="Z495" s="58">
        <f>(ROUNDUP((X495/100),0))*100</f>
        <v>138800</v>
      </c>
      <c r="AA495" s="178"/>
      <c r="AB495" s="178"/>
      <c r="AC495" s="177"/>
      <c r="AD495" s="177"/>
      <c r="AE495" s="179"/>
      <c r="AF495" s="179"/>
      <c r="AG495" s="179"/>
      <c r="AH495" s="179"/>
      <c r="AI495" s="85"/>
    </row>
    <row r="496" spans="1:35" ht="14.45" customHeight="1" x14ac:dyDescent="0.2">
      <c r="A496" s="47">
        <v>191</v>
      </c>
      <c r="B496" s="48" t="str">
        <f>REPLACE(E496,1,3, )</f>
        <v xml:space="preserve"> 592</v>
      </c>
      <c r="C496" s="70" t="s">
        <v>440</v>
      </c>
      <c r="D496" s="49">
        <f>IF(E496=C496,0,1)</f>
        <v>0</v>
      </c>
      <c r="E496" s="49" t="s">
        <v>440</v>
      </c>
      <c r="F496" s="30" t="str">
        <f>REPLACE(E496,4,4, )</f>
        <v>SWN</v>
      </c>
      <c r="G496" s="33" t="s">
        <v>91</v>
      </c>
      <c r="H496" s="71" t="s">
        <v>441</v>
      </c>
      <c r="I496" s="33" t="s">
        <v>420</v>
      </c>
      <c r="J496" s="51">
        <v>77000</v>
      </c>
      <c r="K496" s="52">
        <f>J496-M496</f>
        <v>6900</v>
      </c>
      <c r="L496" s="49" t="s">
        <v>94</v>
      </c>
      <c r="M496" s="53">
        <f>J496-N496</f>
        <v>70100</v>
      </c>
      <c r="N496" s="53">
        <f>2000+300+600+1000+3000</f>
        <v>6900</v>
      </c>
      <c r="O496" s="55">
        <f>M496+N496</f>
        <v>77000</v>
      </c>
      <c r="P496" s="47">
        <v>191</v>
      </c>
      <c r="Q496" s="56">
        <v>77000</v>
      </c>
      <c r="R496" s="41">
        <f>O496-Q496</f>
        <v>0</v>
      </c>
      <c r="S496" s="67" t="s">
        <v>276</v>
      </c>
      <c r="T496" s="33" t="s">
        <v>442</v>
      </c>
      <c r="U496" s="57"/>
      <c r="V496" s="57">
        <f>U496+O496</f>
        <v>77000</v>
      </c>
      <c r="W496" s="57">
        <f>V496/0.7</f>
        <v>110000</v>
      </c>
      <c r="X496" s="58">
        <f>W496/0.875</f>
        <v>125714.28571428571</v>
      </c>
      <c r="Y496" s="59">
        <f>(X496-W496)/X496</f>
        <v>0.12499999999999997</v>
      </c>
      <c r="Z496" s="58">
        <f>(ROUNDUP((X496/100),0))*100</f>
        <v>125800</v>
      </c>
      <c r="AA496" s="178"/>
      <c r="AB496" s="178"/>
      <c r="AC496" s="177"/>
      <c r="AD496" s="177"/>
      <c r="AE496" s="179"/>
      <c r="AF496" s="179"/>
      <c r="AG496" s="179"/>
      <c r="AH496" s="179"/>
      <c r="AI496" s="85"/>
    </row>
    <row r="497" spans="1:35" s="91" customFormat="1" ht="14.45" customHeight="1" x14ac:dyDescent="0.2">
      <c r="A497" s="47">
        <v>186</v>
      </c>
      <c r="B497" s="48" t="str">
        <f>REPLACE(E497,1,3, )</f>
        <v xml:space="preserve"> 645</v>
      </c>
      <c r="C497" s="70" t="s">
        <v>429</v>
      </c>
      <c r="D497" s="49">
        <f>IF(E497=C497,0,1)</f>
        <v>0</v>
      </c>
      <c r="E497" s="49" t="s">
        <v>429</v>
      </c>
      <c r="F497" s="30" t="str">
        <f>REPLACE(E497,4,4, )</f>
        <v>SWN</v>
      </c>
      <c r="G497" s="33" t="s">
        <v>91</v>
      </c>
      <c r="H497" s="71" t="s">
        <v>360</v>
      </c>
      <c r="I497" s="33" t="s">
        <v>420</v>
      </c>
      <c r="J497" s="51">
        <v>88000</v>
      </c>
      <c r="K497" s="52">
        <f>J497-M497</f>
        <v>5900</v>
      </c>
      <c r="L497" s="49" t="s">
        <v>94</v>
      </c>
      <c r="M497" s="53">
        <f>J497-N497</f>
        <v>82100</v>
      </c>
      <c r="N497" s="53">
        <f>2000+300+600+3000</f>
        <v>5900</v>
      </c>
      <c r="O497" s="55">
        <f>M497+N497</f>
        <v>88000</v>
      </c>
      <c r="P497" s="47">
        <v>186</v>
      </c>
      <c r="Q497" s="56">
        <v>88000</v>
      </c>
      <c r="R497" s="41">
        <f>O497-Q497</f>
        <v>0</v>
      </c>
      <c r="S497" s="67" t="s">
        <v>276</v>
      </c>
      <c r="T497" s="33" t="s">
        <v>430</v>
      </c>
      <c r="U497" s="57"/>
      <c r="V497" s="57">
        <f>U497+O497</f>
        <v>88000</v>
      </c>
      <c r="W497" s="57">
        <f>V497/0.7</f>
        <v>125714.28571428572</v>
      </c>
      <c r="X497" s="58">
        <f>W497/0.875</f>
        <v>143673.46938775512</v>
      </c>
      <c r="Y497" s="59">
        <f>(X497-W497)/X497</f>
        <v>0.12500000000000003</v>
      </c>
      <c r="Z497" s="58">
        <f>(ROUNDUP((X497/100),0))*100</f>
        <v>143700</v>
      </c>
      <c r="AA497" s="178"/>
      <c r="AB497" s="178"/>
      <c r="AC497" s="177"/>
      <c r="AD497" s="177"/>
      <c r="AE497" s="179"/>
      <c r="AF497" s="179"/>
      <c r="AG497" s="179"/>
      <c r="AH497" s="179"/>
    </row>
    <row r="498" spans="1:35" s="91" customFormat="1" ht="14.45" customHeight="1" x14ac:dyDescent="0.2">
      <c r="A498" s="47">
        <v>490</v>
      </c>
      <c r="B498" s="48" t="str">
        <f>REPLACE(E498,1,3, )</f>
        <v xml:space="preserve"> 353</v>
      </c>
      <c r="C498" s="32" t="s">
        <v>973</v>
      </c>
      <c r="D498" s="49">
        <f>IF(E498=C498,0,1)</f>
        <v>0</v>
      </c>
      <c r="E498" s="50" t="s">
        <v>973</v>
      </c>
      <c r="F498" s="30" t="str">
        <f>REPLACE(E498,4,4, )</f>
        <v>SWP</v>
      </c>
      <c r="G498" s="30" t="s">
        <v>34</v>
      </c>
      <c r="H498" s="34" t="s">
        <v>974</v>
      </c>
      <c r="I498" s="30" t="s">
        <v>705</v>
      </c>
      <c r="J498" s="74">
        <v>70000</v>
      </c>
      <c r="K498" s="74">
        <f>J498-M498</f>
        <v>4450</v>
      </c>
      <c r="L498" s="47" t="s">
        <v>94</v>
      </c>
      <c r="M498" s="74">
        <f>J498-N498</f>
        <v>65550</v>
      </c>
      <c r="N498" s="74">
        <f>2000+650+800+200+300+500</f>
        <v>4450</v>
      </c>
      <c r="O498" s="75">
        <f>M498+N498</f>
        <v>70000</v>
      </c>
      <c r="P498" s="47">
        <v>490</v>
      </c>
      <c r="Q498" s="76">
        <v>70000</v>
      </c>
      <c r="R498" s="41">
        <f>O498-Q498</f>
        <v>0</v>
      </c>
      <c r="S498" s="42" t="s">
        <v>88</v>
      </c>
      <c r="T498" s="47" t="s">
        <v>975</v>
      </c>
      <c r="U498" s="57">
        <v>3000</v>
      </c>
      <c r="V498" s="57">
        <f>U498+O498</f>
        <v>73000</v>
      </c>
      <c r="W498" s="57">
        <f>V498/0.7</f>
        <v>104285.71428571429</v>
      </c>
      <c r="X498" s="58">
        <f>W498/0.875</f>
        <v>119183.67346938777</v>
      </c>
      <c r="Y498" s="59">
        <f>(X498-W498)/X498</f>
        <v>0.12500000000000006</v>
      </c>
      <c r="Z498" s="58">
        <f>(ROUNDUP((X498/100),0))*100</f>
        <v>119200</v>
      </c>
      <c r="AA498" s="58"/>
      <c r="AB498" s="58"/>
      <c r="AC498" s="180"/>
      <c r="AD498" s="180"/>
      <c r="AE498" s="176"/>
      <c r="AF498" s="176"/>
      <c r="AG498" s="176"/>
      <c r="AH498" s="176"/>
    </row>
    <row r="499" spans="1:35" ht="14.45" customHeight="1" x14ac:dyDescent="0.2">
      <c r="A499" s="47">
        <v>340</v>
      </c>
      <c r="B499" s="48" t="str">
        <f>REPLACE(E499,1,3, )</f>
        <v xml:space="preserve"> 780</v>
      </c>
      <c r="C499" s="70" t="s">
        <v>704</v>
      </c>
      <c r="D499" s="49">
        <f>IF(E499=C499,0,1)</f>
        <v>0</v>
      </c>
      <c r="E499" s="50" t="s">
        <v>704</v>
      </c>
      <c r="F499" s="30" t="str">
        <f>REPLACE(E499,4,4, )</f>
        <v>SWP</v>
      </c>
      <c r="G499" s="30" t="s">
        <v>34</v>
      </c>
      <c r="H499" s="71" t="s">
        <v>335</v>
      </c>
      <c r="I499" s="30" t="s">
        <v>705</v>
      </c>
      <c r="J499" s="72">
        <v>99000</v>
      </c>
      <c r="K499" s="72">
        <f>J499-M499</f>
        <v>6650</v>
      </c>
      <c r="L499" s="47" t="s">
        <v>94</v>
      </c>
      <c r="M499" s="74">
        <f>J499-N499</f>
        <v>92350</v>
      </c>
      <c r="N499" s="74">
        <f>2000+2850+800+200+300+500</f>
        <v>6650</v>
      </c>
      <c r="O499" s="75">
        <f>M499+N499</f>
        <v>99000</v>
      </c>
      <c r="P499" s="47">
        <v>340</v>
      </c>
      <c r="Q499" s="76"/>
      <c r="R499" s="76"/>
      <c r="S499" s="67"/>
      <c r="T499" s="47" t="s">
        <v>706</v>
      </c>
      <c r="U499" s="57">
        <v>3500</v>
      </c>
      <c r="V499" s="57">
        <f>U499+O499</f>
        <v>102500</v>
      </c>
      <c r="W499" s="57">
        <f>V499/0.7</f>
        <v>146428.57142857145</v>
      </c>
      <c r="X499" s="58">
        <f>W499/0.875</f>
        <v>167346.93877551024</v>
      </c>
      <c r="Y499" s="59">
        <f>(X499-W499)/X499</f>
        <v>0.12500000000000006</v>
      </c>
      <c r="Z499" s="58">
        <f>(ROUNDUP((X499/100),0))*100</f>
        <v>167400</v>
      </c>
      <c r="AA499" s="58"/>
      <c r="AB499" s="58"/>
      <c r="AC499" s="180"/>
      <c r="AD499" s="180"/>
      <c r="AE499" s="176"/>
      <c r="AF499" s="176"/>
      <c r="AG499" s="176"/>
      <c r="AH499" s="176"/>
      <c r="AI499" s="85"/>
    </row>
    <row r="500" spans="1:35" ht="14.45" customHeight="1" x14ac:dyDescent="0.2">
      <c r="A500" s="47">
        <v>366</v>
      </c>
      <c r="B500" s="48" t="str">
        <f>REPLACE(E500,1,3, )</f>
        <v xml:space="preserve"> 848</v>
      </c>
      <c r="C500" s="70" t="s">
        <v>755</v>
      </c>
      <c r="D500" s="49">
        <f>IF(E500=C500,0,1)</f>
        <v>0</v>
      </c>
      <c r="E500" s="48" t="s">
        <v>755</v>
      </c>
      <c r="F500" s="30" t="str">
        <f>REPLACE(E500,4,4, )</f>
        <v>SWY</v>
      </c>
      <c r="G500" s="33" t="s">
        <v>34</v>
      </c>
      <c r="H500" s="34" t="s">
        <v>746</v>
      </c>
      <c r="I500" s="33" t="s">
        <v>747</v>
      </c>
      <c r="J500" s="51">
        <f>M500</f>
        <v>100000</v>
      </c>
      <c r="K500" s="68">
        <f>J500-M500</f>
        <v>0</v>
      </c>
      <c r="L500" s="60" t="s">
        <v>97</v>
      </c>
      <c r="M500" s="61">
        <v>100000</v>
      </c>
      <c r="N500" s="54">
        <f>2000+200+750+600+3000</f>
        <v>6550</v>
      </c>
      <c r="O500" s="55">
        <f>M500+N500</f>
        <v>106550</v>
      </c>
      <c r="P500" s="47">
        <v>366</v>
      </c>
      <c r="Q500" s="56">
        <v>106550</v>
      </c>
      <c r="R500" s="41">
        <f>O500-Q500</f>
        <v>0</v>
      </c>
      <c r="S500" s="67"/>
      <c r="T500" s="33" t="s">
        <v>748</v>
      </c>
      <c r="U500" s="57">
        <v>1000</v>
      </c>
      <c r="V500" s="57">
        <f>U500+O500</f>
        <v>107550</v>
      </c>
      <c r="W500" s="57">
        <f>V500/0.7</f>
        <v>153642.85714285716</v>
      </c>
      <c r="X500" s="58">
        <f>W500/0.875</f>
        <v>175591.8367346939</v>
      </c>
      <c r="Y500" s="59">
        <f>(X500-W500)/X500</f>
        <v>0.12500000000000003</v>
      </c>
      <c r="Z500" s="58">
        <f>(ROUNDUP((X500/100),0))*100</f>
        <v>175600</v>
      </c>
      <c r="AA500" s="58"/>
      <c r="AB500" s="58"/>
      <c r="AC500" s="180"/>
      <c r="AD500" s="180"/>
      <c r="AE500" s="176"/>
      <c r="AF500" s="176"/>
      <c r="AG500" s="176"/>
      <c r="AH500" s="176"/>
      <c r="AI500" s="85"/>
    </row>
    <row r="501" spans="1:35" ht="14.45" customHeight="1" x14ac:dyDescent="0.2">
      <c r="A501" s="47">
        <v>362</v>
      </c>
      <c r="B501" s="48" t="str">
        <f>REPLACE(E501,1,3, )</f>
        <v xml:space="preserve"> 883</v>
      </c>
      <c r="C501" s="70" t="s">
        <v>745</v>
      </c>
      <c r="D501" s="49">
        <f>IF(E501=C501,0,1)</f>
        <v>0</v>
      </c>
      <c r="E501" s="47" t="s">
        <v>745</v>
      </c>
      <c r="F501" s="30" t="str">
        <f>REPLACE(E501,4,4, )</f>
        <v>SWY</v>
      </c>
      <c r="G501" s="30" t="s">
        <v>91</v>
      </c>
      <c r="H501" s="34" t="s">
        <v>746</v>
      </c>
      <c r="I501" s="30" t="s">
        <v>747</v>
      </c>
      <c r="J501" s="51">
        <f>M501</f>
        <v>89000</v>
      </c>
      <c r="K501" s="68">
        <f>J501-M501</f>
        <v>0</v>
      </c>
      <c r="L501" s="60" t="s">
        <v>97</v>
      </c>
      <c r="M501" s="62">
        <v>89000</v>
      </c>
      <c r="N501" s="53">
        <f>2000+200+750+600+3000</f>
        <v>6550</v>
      </c>
      <c r="O501" s="55">
        <f>M501+N501</f>
        <v>95550</v>
      </c>
      <c r="P501" s="47">
        <v>362</v>
      </c>
      <c r="Q501" s="56">
        <v>95550</v>
      </c>
      <c r="R501" s="41">
        <f>O501-Q501</f>
        <v>0</v>
      </c>
      <c r="S501" s="67"/>
      <c r="T501" s="33" t="s">
        <v>748</v>
      </c>
      <c r="U501" s="57"/>
      <c r="V501" s="57">
        <f>U501+O501</f>
        <v>95550</v>
      </c>
      <c r="W501" s="57">
        <f>V501/0.7</f>
        <v>136500</v>
      </c>
      <c r="X501" s="58">
        <f>W501/0.875</f>
        <v>156000</v>
      </c>
      <c r="Y501" s="59">
        <f>(X501-W501)/X501</f>
        <v>0.125</v>
      </c>
      <c r="Z501" s="58">
        <f>(ROUNDUP((X501/100),0))*100</f>
        <v>156000</v>
      </c>
      <c r="AA501" s="178"/>
      <c r="AB501" s="178"/>
      <c r="AC501" s="177"/>
      <c r="AD501" s="177"/>
      <c r="AE501" s="179"/>
      <c r="AF501" s="179"/>
      <c r="AG501" s="179"/>
      <c r="AH501" s="179"/>
      <c r="AI501" s="85"/>
    </row>
    <row r="502" spans="1:35" ht="14.45" customHeight="1" x14ac:dyDescent="0.2">
      <c r="A502" s="47">
        <v>372</v>
      </c>
      <c r="B502" s="48" t="str">
        <f>REPLACE(E502,1,3, )</f>
        <v xml:space="preserve"> 972</v>
      </c>
      <c r="C502" s="70" t="s">
        <v>764</v>
      </c>
      <c r="D502" s="49">
        <f>IF(E502=C502,0,1)</f>
        <v>0</v>
      </c>
      <c r="E502" s="50" t="s">
        <v>764</v>
      </c>
      <c r="F502" s="30" t="str">
        <f>REPLACE(E502,4,4, )</f>
        <v>SWY</v>
      </c>
      <c r="G502" s="30" t="s">
        <v>34</v>
      </c>
      <c r="H502" s="34" t="s">
        <v>722</v>
      </c>
      <c r="I502" s="30" t="s">
        <v>747</v>
      </c>
      <c r="J502" s="51">
        <f>M502</f>
        <v>86000</v>
      </c>
      <c r="K502" s="68">
        <f>J502-M502</f>
        <v>0</v>
      </c>
      <c r="L502" s="60" t="s">
        <v>97</v>
      </c>
      <c r="M502" s="61">
        <v>86000</v>
      </c>
      <c r="N502" s="54">
        <f>2000+200+750+600+3000</f>
        <v>6550</v>
      </c>
      <c r="O502" s="55">
        <f>M502+N502</f>
        <v>92550</v>
      </c>
      <c r="P502" s="47">
        <v>372</v>
      </c>
      <c r="Q502" s="56">
        <v>92550</v>
      </c>
      <c r="R502" s="41">
        <f>O502-Q502</f>
        <v>0</v>
      </c>
      <c r="S502" s="67"/>
      <c r="T502" s="33" t="s">
        <v>748</v>
      </c>
      <c r="U502" s="57">
        <v>1000</v>
      </c>
      <c r="V502" s="57">
        <f>U502+O502</f>
        <v>93550</v>
      </c>
      <c r="W502" s="57">
        <f>V502/0.7</f>
        <v>133642.85714285716</v>
      </c>
      <c r="X502" s="58">
        <f>W502/0.875</f>
        <v>152734.69387755104</v>
      </c>
      <c r="Y502" s="59">
        <f>(X502-W502)/X502</f>
        <v>0.12499999999999997</v>
      </c>
      <c r="Z502" s="58">
        <f>(ROUNDUP((X502/100),0))*100</f>
        <v>152800</v>
      </c>
      <c r="AA502" s="58"/>
      <c r="AB502" s="58"/>
      <c r="AC502" s="180"/>
      <c r="AD502" s="180"/>
      <c r="AE502" s="176"/>
      <c r="AF502" s="176"/>
      <c r="AG502" s="176"/>
      <c r="AH502" s="176"/>
      <c r="AI502" s="85"/>
    </row>
    <row r="503" spans="1:35" s="91" customFormat="1" ht="14.45" customHeight="1" x14ac:dyDescent="0.2">
      <c r="A503" s="47">
        <v>320</v>
      </c>
      <c r="B503" s="48" t="str">
        <f>REPLACE(E503,1,3, )</f>
        <v xml:space="preserve"> 879</v>
      </c>
      <c r="C503" s="70" t="s">
        <v>669</v>
      </c>
      <c r="D503" s="49">
        <f>IF(E503=C503,0,1)</f>
        <v>0</v>
      </c>
      <c r="E503" s="47" t="s">
        <v>669</v>
      </c>
      <c r="F503" s="30" t="str">
        <f>REPLACE(E503,4,4, )</f>
        <v>SYA</v>
      </c>
      <c r="G503" s="30" t="s">
        <v>91</v>
      </c>
      <c r="H503" s="34" t="s">
        <v>670</v>
      </c>
      <c r="I503" s="30" t="s">
        <v>671</v>
      </c>
      <c r="J503" s="51">
        <v>79000</v>
      </c>
      <c r="K503" s="52">
        <f>J503-M503</f>
        <v>6450</v>
      </c>
      <c r="L503" s="49" t="s">
        <v>94</v>
      </c>
      <c r="M503" s="53">
        <f>J503-N503</f>
        <v>72550</v>
      </c>
      <c r="N503" s="53">
        <f>2000+200+350+600+300+3000</f>
        <v>6450</v>
      </c>
      <c r="O503" s="55">
        <f>M503+N503</f>
        <v>79000</v>
      </c>
      <c r="P503" s="47">
        <v>320</v>
      </c>
      <c r="Q503" s="56">
        <v>79000</v>
      </c>
      <c r="R503" s="41">
        <f>O503-Q503</f>
        <v>0</v>
      </c>
      <c r="S503" s="67" t="s">
        <v>276</v>
      </c>
      <c r="T503" s="33" t="s">
        <v>672</v>
      </c>
      <c r="U503" s="57"/>
      <c r="V503" s="57">
        <f>U503+O503</f>
        <v>79000</v>
      </c>
      <c r="W503" s="57">
        <f>V503/0.7</f>
        <v>112857.14285714287</v>
      </c>
      <c r="X503" s="58">
        <f>W503/0.875</f>
        <v>128979.5918367347</v>
      </c>
      <c r="Y503" s="59">
        <f>(X503-W503)/X503</f>
        <v>0.12499999999999997</v>
      </c>
      <c r="Z503" s="58">
        <f>(ROUNDUP((X503/100),0))*100</f>
        <v>129000</v>
      </c>
      <c r="AA503" s="178"/>
      <c r="AB503" s="178"/>
      <c r="AC503" s="177"/>
      <c r="AD503" s="177"/>
      <c r="AE503" s="179"/>
      <c r="AF503" s="179"/>
      <c r="AG503" s="179"/>
      <c r="AH503" s="179"/>
    </row>
    <row r="504" spans="1:35" s="91" customFormat="1" ht="14.45" customHeight="1" x14ac:dyDescent="0.2">
      <c r="A504" s="47">
        <v>488</v>
      </c>
      <c r="B504" s="48" t="str">
        <f>REPLACE(E504,1,3, )</f>
        <v xml:space="preserve"> 966</v>
      </c>
      <c r="C504" s="32" t="s">
        <v>968</v>
      </c>
      <c r="D504" s="49">
        <f>IF(E504=C504,0,1)</f>
        <v>0</v>
      </c>
      <c r="E504" s="47" t="s">
        <v>968</v>
      </c>
      <c r="F504" s="30" t="str">
        <f>REPLACE(E504,4,4, )</f>
        <v>SYA</v>
      </c>
      <c r="G504" s="30" t="s">
        <v>91</v>
      </c>
      <c r="H504" s="34" t="s">
        <v>969</v>
      </c>
      <c r="I504" s="30" t="s">
        <v>671</v>
      </c>
      <c r="J504" s="51">
        <v>69000</v>
      </c>
      <c r="K504" s="52">
        <f>J504-M504</f>
        <v>4250</v>
      </c>
      <c r="L504" s="49" t="s">
        <v>94</v>
      </c>
      <c r="M504" s="53">
        <f>J504-N504</f>
        <v>64750</v>
      </c>
      <c r="N504" s="53">
        <f>2000+200+350+600+300+800</f>
        <v>4250</v>
      </c>
      <c r="O504" s="55">
        <f>M504+N504</f>
        <v>69000</v>
      </c>
      <c r="P504" s="47">
        <v>488</v>
      </c>
      <c r="Q504" s="56">
        <v>69000</v>
      </c>
      <c r="R504" s="41">
        <f>O504-Q504</f>
        <v>0</v>
      </c>
      <c r="S504" s="67"/>
      <c r="T504" s="33"/>
      <c r="U504" s="57"/>
      <c r="V504" s="57">
        <f>U504+O504</f>
        <v>69000</v>
      </c>
      <c r="W504" s="57">
        <f>V504/0.7</f>
        <v>98571.42857142858</v>
      </c>
      <c r="X504" s="58">
        <f>W504/0.875</f>
        <v>112653.06122448981</v>
      </c>
      <c r="Y504" s="59">
        <f>(X504-W504)/X504</f>
        <v>0.12500000000000003</v>
      </c>
      <c r="Z504" s="58">
        <f>(ROUNDUP((X504/100),0))*100</f>
        <v>112700</v>
      </c>
      <c r="AA504" s="178"/>
      <c r="AB504" s="178"/>
      <c r="AC504" s="177"/>
      <c r="AD504" s="177"/>
      <c r="AE504" s="179"/>
      <c r="AF504" s="179"/>
      <c r="AG504" s="179"/>
      <c r="AH504" s="179"/>
    </row>
    <row r="505" spans="1:35" s="91" customFormat="1" ht="14.45" customHeight="1" x14ac:dyDescent="0.2">
      <c r="A505" s="47">
        <v>124</v>
      </c>
      <c r="B505" s="48" t="str">
        <f>REPLACE(E505,1,3, )</f>
        <v xml:space="preserve"> 148</v>
      </c>
      <c r="C505" s="70" t="s">
        <v>310</v>
      </c>
      <c r="D505" s="49">
        <f>IF(E505=C505,0,1)</f>
        <v>0</v>
      </c>
      <c r="E505" s="49" t="s">
        <v>310</v>
      </c>
      <c r="F505" s="30" t="str">
        <f>REPLACE(E505,4,4, )</f>
        <v>SZK</v>
      </c>
      <c r="G505" s="33" t="s">
        <v>91</v>
      </c>
      <c r="H505" s="71" t="s">
        <v>311</v>
      </c>
      <c r="I505" s="33" t="s">
        <v>312</v>
      </c>
      <c r="J505" s="51">
        <f>M505</f>
        <v>110000</v>
      </c>
      <c r="K505" s="52">
        <f>J505-M505</f>
        <v>0</v>
      </c>
      <c r="L505" s="60" t="s">
        <v>97</v>
      </c>
      <c r="M505" s="62">
        <v>110000</v>
      </c>
      <c r="N505" s="53">
        <f>2000+200+350+600+3000</f>
        <v>6150</v>
      </c>
      <c r="O505" s="55">
        <f>M505+N505</f>
        <v>116150</v>
      </c>
      <c r="P505" s="47">
        <v>124</v>
      </c>
      <c r="Q505" s="56">
        <v>116150</v>
      </c>
      <c r="R505" s="41">
        <f>O505-Q505</f>
        <v>0</v>
      </c>
      <c r="S505" s="67"/>
      <c r="T505" s="33" t="s">
        <v>313</v>
      </c>
      <c r="U505" s="57"/>
      <c r="V505" s="57">
        <f>U505+O505</f>
        <v>116150</v>
      </c>
      <c r="W505" s="57">
        <f>V505/0.7</f>
        <v>165928.57142857145</v>
      </c>
      <c r="X505" s="58">
        <f>W505/0.875</f>
        <v>189632.65306122453</v>
      </c>
      <c r="Y505" s="59">
        <f>(X505-W505)/X505</f>
        <v>0.12500000000000006</v>
      </c>
      <c r="Z505" s="58">
        <f>(ROUNDUP((X505/100),0))*100</f>
        <v>189700</v>
      </c>
      <c r="AA505" s="178"/>
      <c r="AB505" s="178"/>
      <c r="AC505" s="177"/>
      <c r="AD505" s="177"/>
      <c r="AE505" s="179"/>
      <c r="AF505" s="179"/>
      <c r="AG505" s="179"/>
      <c r="AH505" s="179"/>
    </row>
    <row r="506" spans="1:35" s="91" customFormat="1" ht="14.45" customHeight="1" x14ac:dyDescent="0.2">
      <c r="A506" s="47">
        <v>349</v>
      </c>
      <c r="B506" s="48" t="str">
        <f>REPLACE(E506,1,3, )</f>
        <v xml:space="preserve"> 205</v>
      </c>
      <c r="C506" s="70" t="s">
        <v>720</v>
      </c>
      <c r="D506" s="49">
        <f>IF(E506=C506,0,1)</f>
        <v>0</v>
      </c>
      <c r="E506" s="48" t="s">
        <v>720</v>
      </c>
      <c r="F506" s="30" t="str">
        <f>REPLACE(E506,4,4, )</f>
        <v>SZK</v>
      </c>
      <c r="G506" s="33" t="s">
        <v>34</v>
      </c>
      <c r="H506" s="71" t="s">
        <v>715</v>
      </c>
      <c r="I506" s="33" t="s">
        <v>312</v>
      </c>
      <c r="J506" s="51">
        <f>M506</f>
        <v>90000</v>
      </c>
      <c r="K506" s="52">
        <f>J506-M506</f>
        <v>0</v>
      </c>
      <c r="L506" s="60" t="s">
        <v>97</v>
      </c>
      <c r="M506" s="61">
        <v>90000</v>
      </c>
      <c r="N506" s="54">
        <f>2000+200+350+600+3600</f>
        <v>6750</v>
      </c>
      <c r="O506" s="55">
        <f>M506+N506</f>
        <v>96750</v>
      </c>
      <c r="P506" s="47">
        <v>349</v>
      </c>
      <c r="Q506" s="56">
        <v>96750</v>
      </c>
      <c r="R506" s="41">
        <f>O506-Q506</f>
        <v>0</v>
      </c>
      <c r="S506" s="67"/>
      <c r="T506" s="33" t="s">
        <v>719</v>
      </c>
      <c r="U506" s="57">
        <v>-1000</v>
      </c>
      <c r="V506" s="57">
        <f>U506+O506</f>
        <v>95750</v>
      </c>
      <c r="W506" s="57">
        <f>V506/0.7</f>
        <v>136785.71428571429</v>
      </c>
      <c r="X506" s="58">
        <f>W506/0.875</f>
        <v>156326.53061224491</v>
      </c>
      <c r="Y506" s="59">
        <f>(X506-W506)/X506</f>
        <v>0.12500000000000006</v>
      </c>
      <c r="Z506" s="58">
        <f>(ROUNDUP((X506/100),0))*100</f>
        <v>156400</v>
      </c>
      <c r="AA506" s="58"/>
      <c r="AB506" s="58"/>
      <c r="AC506" s="180"/>
      <c r="AD506" s="180"/>
      <c r="AE506" s="176"/>
      <c r="AF506" s="176"/>
      <c r="AG506" s="176"/>
      <c r="AH506" s="176"/>
    </row>
    <row r="507" spans="1:35" s="91" customFormat="1" ht="14.45" customHeight="1" x14ac:dyDescent="0.2">
      <c r="A507" s="47">
        <v>487</v>
      </c>
      <c r="B507" s="48" t="str">
        <f>REPLACE(E507,1,3, )</f>
        <v xml:space="preserve"> 229</v>
      </c>
      <c r="C507" s="32" t="s">
        <v>967</v>
      </c>
      <c r="D507" s="49">
        <f>IF(E507=C507,0,1)</f>
        <v>0</v>
      </c>
      <c r="E507" s="48" t="s">
        <v>967</v>
      </c>
      <c r="F507" s="30" t="str">
        <f>REPLACE(E507,4,4, )</f>
        <v>SZK</v>
      </c>
      <c r="G507" s="33" t="s">
        <v>34</v>
      </c>
      <c r="H507" s="71" t="s">
        <v>955</v>
      </c>
      <c r="I507" s="33" t="s">
        <v>312</v>
      </c>
      <c r="J507" s="51">
        <f>M507</f>
        <v>71000</v>
      </c>
      <c r="K507" s="52">
        <f>J507-M507</f>
        <v>0</v>
      </c>
      <c r="L507" s="60" t="s">
        <v>97</v>
      </c>
      <c r="M507" s="61">
        <v>71000</v>
      </c>
      <c r="N507" s="54">
        <f>2000+200+350+600+3000</f>
        <v>6150</v>
      </c>
      <c r="O507" s="55">
        <f>M507+N507</f>
        <v>77150</v>
      </c>
      <c r="P507" s="47">
        <v>487</v>
      </c>
      <c r="Q507" s="56">
        <v>77150</v>
      </c>
      <c r="R507" s="41">
        <f>O507-Q507</f>
        <v>0</v>
      </c>
      <c r="S507" s="67"/>
      <c r="T507" s="33" t="s">
        <v>313</v>
      </c>
      <c r="U507" s="57">
        <v>-2000</v>
      </c>
      <c r="V507" s="57">
        <f>U507+O507</f>
        <v>75150</v>
      </c>
      <c r="W507" s="57">
        <f>V507/0.7</f>
        <v>107357.14285714287</v>
      </c>
      <c r="X507" s="58">
        <f>W507/0.875</f>
        <v>122693.87755102043</v>
      </c>
      <c r="Y507" s="59">
        <f>(X507-W507)/X507</f>
        <v>0.12500000000000006</v>
      </c>
      <c r="Z507" s="58">
        <f>(ROUNDUP((X507/100),0))*100</f>
        <v>122700</v>
      </c>
      <c r="AA507" s="58"/>
      <c r="AB507" s="58"/>
      <c r="AC507" s="180"/>
      <c r="AD507" s="180"/>
      <c r="AE507" s="176"/>
      <c r="AF507" s="176"/>
      <c r="AG507" s="176"/>
      <c r="AH507" s="176"/>
    </row>
    <row r="508" spans="1:35" s="91" customFormat="1" ht="14.45" customHeight="1" x14ac:dyDescent="0.2">
      <c r="A508" s="47">
        <v>348</v>
      </c>
      <c r="B508" s="48" t="str">
        <f>REPLACE(E508,1,3, )</f>
        <v xml:space="preserve"> 504</v>
      </c>
      <c r="C508" s="70" t="s">
        <v>717</v>
      </c>
      <c r="D508" s="49">
        <f>IF(E508=C508,0,1)</f>
        <v>0</v>
      </c>
      <c r="E508" s="49" t="s">
        <v>717</v>
      </c>
      <c r="F508" s="30" t="str">
        <f>REPLACE(E508,4,4, )</f>
        <v>SZK</v>
      </c>
      <c r="G508" s="33" t="s">
        <v>91</v>
      </c>
      <c r="H508" s="71" t="s">
        <v>718</v>
      </c>
      <c r="I508" s="33" t="s">
        <v>312</v>
      </c>
      <c r="J508" s="51">
        <f>M508</f>
        <v>110000</v>
      </c>
      <c r="K508" s="52">
        <f>J508-M508</f>
        <v>0</v>
      </c>
      <c r="L508" s="60" t="s">
        <v>97</v>
      </c>
      <c r="M508" s="62">
        <v>110000</v>
      </c>
      <c r="N508" s="53">
        <f>2000+200+350+600+3600</f>
        <v>6750</v>
      </c>
      <c r="O508" s="55">
        <f>M508+N508</f>
        <v>116750</v>
      </c>
      <c r="P508" s="47">
        <v>348</v>
      </c>
      <c r="Q508" s="56">
        <v>110000</v>
      </c>
      <c r="R508" s="41">
        <f>O508-Q508</f>
        <v>6750</v>
      </c>
      <c r="S508" s="67"/>
      <c r="T508" s="33" t="s">
        <v>719</v>
      </c>
      <c r="U508" s="57"/>
      <c r="V508" s="57">
        <f>U508+O508</f>
        <v>116750</v>
      </c>
      <c r="W508" s="57">
        <f>V508/0.7</f>
        <v>166785.71428571429</v>
      </c>
      <c r="X508" s="58">
        <f>W508/0.875</f>
        <v>190612.2448979592</v>
      </c>
      <c r="Y508" s="59">
        <f>(X508-W508)/X508</f>
        <v>0.12500000000000006</v>
      </c>
      <c r="Z508" s="58">
        <f>(ROUNDUP((X508/100),0))*100</f>
        <v>190700</v>
      </c>
      <c r="AA508" s="178"/>
      <c r="AB508" s="178"/>
      <c r="AC508" s="177"/>
      <c r="AD508" s="177"/>
      <c r="AE508" s="179"/>
      <c r="AF508" s="179"/>
      <c r="AG508" s="179"/>
      <c r="AH508" s="179"/>
    </row>
    <row r="509" spans="1:35" s="91" customFormat="1" ht="14.45" customHeight="1" x14ac:dyDescent="0.2">
      <c r="A509" s="47">
        <v>352</v>
      </c>
      <c r="B509" s="48" t="str">
        <f>REPLACE(E509,1,3, )</f>
        <v xml:space="preserve"> 679</v>
      </c>
      <c r="C509" s="70" t="s">
        <v>724</v>
      </c>
      <c r="D509" s="49">
        <f>IF(E509=C509,0,1)</f>
        <v>0</v>
      </c>
      <c r="E509" s="48" t="s">
        <v>724</v>
      </c>
      <c r="F509" s="30" t="str">
        <f>REPLACE(E509,4,4, )</f>
        <v>SZK</v>
      </c>
      <c r="G509" s="33" t="s">
        <v>34</v>
      </c>
      <c r="H509" s="71" t="s">
        <v>718</v>
      </c>
      <c r="I509" s="33" t="s">
        <v>312</v>
      </c>
      <c r="J509" s="51">
        <f>M509</f>
        <v>113000</v>
      </c>
      <c r="K509" s="52">
        <f>J509-M509</f>
        <v>0</v>
      </c>
      <c r="L509" s="60" t="s">
        <v>97</v>
      </c>
      <c r="M509" s="61">
        <v>113000</v>
      </c>
      <c r="N509" s="54">
        <f>2000+200+350+600+3600</f>
        <v>6750</v>
      </c>
      <c r="O509" s="55">
        <f>M509+N509</f>
        <v>119750</v>
      </c>
      <c r="P509" s="47">
        <v>352</v>
      </c>
      <c r="Q509" s="56">
        <v>119750</v>
      </c>
      <c r="R509" s="41">
        <f>O509-Q509</f>
        <v>0</v>
      </c>
      <c r="S509" s="67"/>
      <c r="T509" s="33" t="s">
        <v>719</v>
      </c>
      <c r="U509" s="57"/>
      <c r="V509" s="57">
        <f>U509+O509</f>
        <v>119750</v>
      </c>
      <c r="W509" s="57">
        <f>V509/0.7</f>
        <v>171071.42857142858</v>
      </c>
      <c r="X509" s="58">
        <f>W509/0.875</f>
        <v>195510.20408163266</v>
      </c>
      <c r="Y509" s="59">
        <f>(X509-W509)/X509</f>
        <v>0.125</v>
      </c>
      <c r="Z509" s="58">
        <f>(ROUNDUP((X509/100),0))*100</f>
        <v>195600</v>
      </c>
      <c r="AA509" s="58"/>
      <c r="AB509" s="58"/>
      <c r="AC509" s="180"/>
      <c r="AD509" s="180"/>
      <c r="AE509" s="176"/>
      <c r="AF509" s="176"/>
      <c r="AG509" s="176"/>
      <c r="AH509" s="176"/>
    </row>
    <row r="510" spans="1:35" s="91" customFormat="1" ht="14.45" customHeight="1" x14ac:dyDescent="0.2">
      <c r="A510" s="47">
        <v>479</v>
      </c>
      <c r="B510" s="48" t="str">
        <f>REPLACE(E510,1,3, )</f>
        <v xml:space="preserve"> 976</v>
      </c>
      <c r="C510" s="32" t="s">
        <v>954</v>
      </c>
      <c r="D510" s="49">
        <f>IF(E510=C510,0,1)</f>
        <v>0</v>
      </c>
      <c r="E510" s="48" t="s">
        <v>954</v>
      </c>
      <c r="F510" s="30" t="str">
        <f>REPLACE(E510,4,4, )</f>
        <v>SZK</v>
      </c>
      <c r="G510" s="33" t="s">
        <v>34</v>
      </c>
      <c r="H510" s="71" t="s">
        <v>955</v>
      </c>
      <c r="I510" s="33" t="s">
        <v>312</v>
      </c>
      <c r="J510" s="51">
        <f>M510</f>
        <v>63000</v>
      </c>
      <c r="K510" s="52">
        <f>J510-M510</f>
        <v>0</v>
      </c>
      <c r="L510" s="60" t="s">
        <v>97</v>
      </c>
      <c r="M510" s="61">
        <v>63000</v>
      </c>
      <c r="N510" s="54">
        <f>2000+200+350+600+3000</f>
        <v>6150</v>
      </c>
      <c r="O510" s="55">
        <f>M510+N510</f>
        <v>69150</v>
      </c>
      <c r="P510" s="47">
        <v>479</v>
      </c>
      <c r="Q510" s="56">
        <v>69150</v>
      </c>
      <c r="R510" s="41">
        <f>O510-Q510</f>
        <v>0</v>
      </c>
      <c r="S510" s="67"/>
      <c r="T510" s="33" t="s">
        <v>313</v>
      </c>
      <c r="U510" s="57">
        <v>-2000</v>
      </c>
      <c r="V510" s="57">
        <f>U510+O510</f>
        <v>67150</v>
      </c>
      <c r="W510" s="57">
        <f>V510/0.7</f>
        <v>95928.571428571435</v>
      </c>
      <c r="X510" s="58">
        <f>W510/0.875</f>
        <v>109632.6530612245</v>
      </c>
      <c r="Y510" s="59">
        <f>(X510-W510)/X510</f>
        <v>0.125</v>
      </c>
      <c r="Z510" s="58">
        <f>(ROUNDUP((X510/100),0))*100</f>
        <v>109700</v>
      </c>
      <c r="AA510" s="58"/>
      <c r="AB510" s="58"/>
      <c r="AC510" s="180"/>
      <c r="AD510" s="180"/>
      <c r="AE510" s="176"/>
      <c r="AF510" s="176"/>
      <c r="AG510" s="176"/>
      <c r="AH510" s="176"/>
    </row>
    <row r="511" spans="1:35" ht="14.45" customHeight="1" x14ac:dyDescent="0.25">
      <c r="AI511" s="85"/>
    </row>
    <row r="512" spans="1:35" ht="14.45" customHeight="1" x14ac:dyDescent="0.2">
      <c r="I512" s="186"/>
      <c r="J512" s="188"/>
      <c r="K512" s="186"/>
      <c r="L512" s="186"/>
      <c r="M512" s="230"/>
      <c r="N512" s="186"/>
      <c r="O512" s="186"/>
      <c r="Q512" s="186"/>
      <c r="R512" s="186"/>
      <c r="S512" s="94"/>
      <c r="T512" s="186"/>
      <c r="U512" s="189"/>
      <c r="V512" s="187"/>
      <c r="W512" s="187"/>
      <c r="X512" s="187"/>
      <c r="Y512" s="187"/>
      <c r="Z512" s="187"/>
      <c r="AA512" s="186"/>
      <c r="AB512" s="186"/>
      <c r="AI512" s="85"/>
    </row>
    <row r="513" spans="1:35" ht="14.45" customHeight="1" x14ac:dyDescent="0.2">
      <c r="I513" s="186"/>
      <c r="J513" s="188"/>
      <c r="K513" s="186"/>
      <c r="L513" s="186"/>
      <c r="M513" s="230"/>
      <c r="N513" s="186"/>
      <c r="O513" s="186"/>
      <c r="Q513" s="186"/>
      <c r="R513" s="186"/>
      <c r="S513" s="94"/>
      <c r="T513" s="186"/>
      <c r="U513" s="189"/>
      <c r="V513" s="187"/>
      <c r="W513" s="187"/>
      <c r="X513" s="187"/>
      <c r="Y513" s="187"/>
      <c r="Z513" s="187"/>
      <c r="AA513" s="186"/>
      <c r="AB513" s="186"/>
    </row>
    <row r="514" spans="1:35" s="186" customFormat="1" ht="14.45" customHeight="1" x14ac:dyDescent="0.2">
      <c r="A514" s="85"/>
      <c r="B514" s="91"/>
      <c r="C514" s="91"/>
      <c r="D514" s="85"/>
      <c r="E514" s="85"/>
      <c r="F514" s="85"/>
      <c r="G514" s="85"/>
      <c r="H514" s="85"/>
      <c r="J514" s="188"/>
      <c r="M514" s="230"/>
      <c r="P514" s="85"/>
      <c r="S514" s="94"/>
      <c r="U514" s="189"/>
      <c r="V514" s="187"/>
      <c r="W514" s="187"/>
      <c r="X514" s="187"/>
      <c r="Y514" s="187"/>
      <c r="Z514" s="187"/>
      <c r="AC514" s="185"/>
      <c r="AD514" s="185"/>
      <c r="AE514" s="185"/>
      <c r="AF514" s="185"/>
      <c r="AG514" s="185"/>
      <c r="AH514" s="185"/>
      <c r="AI514" s="185"/>
    </row>
    <row r="515" spans="1:35" s="186" customFormat="1" ht="14.45" customHeight="1" x14ac:dyDescent="0.2">
      <c r="A515" s="85"/>
      <c r="B515" s="91"/>
      <c r="C515" s="91"/>
      <c r="D515" s="85"/>
      <c r="E515" s="85"/>
      <c r="F515" s="85"/>
      <c r="G515" s="85"/>
      <c r="H515" s="85"/>
      <c r="I515" s="85"/>
      <c r="J515" s="190"/>
      <c r="K515" s="91"/>
      <c r="L515" s="85"/>
      <c r="M515" s="85"/>
      <c r="N515" s="85"/>
      <c r="O515" s="85"/>
      <c r="P515" s="85"/>
      <c r="Q515" s="85"/>
      <c r="R515" s="85"/>
      <c r="S515" s="4"/>
      <c r="T515" s="85"/>
      <c r="U515" s="93"/>
      <c r="V515" s="91"/>
      <c r="W515" s="91"/>
      <c r="X515" s="91"/>
      <c r="Y515" s="91"/>
      <c r="Z515" s="91"/>
      <c r="AA515" s="85"/>
      <c r="AB515" s="85"/>
      <c r="AC515" s="185"/>
      <c r="AD515" s="185"/>
      <c r="AE515" s="185"/>
      <c r="AF515" s="185"/>
      <c r="AG515" s="185"/>
      <c r="AH515" s="185"/>
      <c r="AI515" s="185"/>
    </row>
    <row r="516" spans="1:35" s="186" customFormat="1" ht="14.45" customHeight="1" x14ac:dyDescent="0.2">
      <c r="A516" s="85"/>
      <c r="B516" s="91"/>
      <c r="C516" s="91"/>
      <c r="D516" s="85"/>
      <c r="E516" s="85"/>
      <c r="F516" s="85"/>
      <c r="G516" s="85"/>
      <c r="H516" s="85" t="s">
        <v>1004</v>
      </c>
      <c r="I516" s="85"/>
      <c r="J516" s="191"/>
      <c r="K516" s="192"/>
      <c r="L516" s="85"/>
      <c r="M516" s="193"/>
      <c r="N516" s="193"/>
      <c r="O516" s="193"/>
      <c r="P516" s="85"/>
      <c r="Q516" s="193"/>
      <c r="R516" s="193"/>
      <c r="S516" s="95"/>
      <c r="T516" s="85"/>
      <c r="U516" s="93"/>
      <c r="V516" s="91"/>
      <c r="W516" s="91"/>
      <c r="X516" s="91"/>
      <c r="Y516" s="91"/>
      <c r="Z516" s="91"/>
      <c r="AA516" s="85"/>
      <c r="AB516" s="85"/>
      <c r="AC516" s="185"/>
      <c r="AD516" s="185"/>
      <c r="AE516" s="185"/>
      <c r="AF516" s="185"/>
      <c r="AG516" s="185"/>
      <c r="AH516" s="185"/>
      <c r="AI516" s="185"/>
    </row>
    <row r="517" spans="1:35" x14ac:dyDescent="0.25">
      <c r="H517" s="85" t="s">
        <v>1005</v>
      </c>
    </row>
    <row r="518" spans="1:35" x14ac:dyDescent="0.25">
      <c r="H518" s="85" t="s">
        <v>1006</v>
      </c>
    </row>
    <row r="519" spans="1:35" x14ac:dyDescent="0.25">
      <c r="H519" s="229"/>
      <c r="S519" s="95"/>
    </row>
    <row r="520" spans="1:35" x14ac:dyDescent="0.25">
      <c r="H520" s="229"/>
    </row>
    <row r="521" spans="1:35" x14ac:dyDescent="0.25">
      <c r="H521" s="229"/>
    </row>
    <row r="522" spans="1:35" x14ac:dyDescent="0.25">
      <c r="H522" s="229"/>
    </row>
  </sheetData>
  <autoFilter ref="A3:AH510">
    <sortState ref="A376:AH387">
      <sortCondition ref="E3:E510"/>
    </sortState>
  </autoFilter>
  <mergeCells count="2">
    <mergeCell ref="AA2:AD2"/>
    <mergeCell ref="AE2:AH2"/>
  </mergeCells>
  <conditionalFormatting sqref="B5:B510 B3">
    <cfRule type="duplicateValues" dxfId="4" priority="4"/>
    <cfRule type="duplicateValues" dxfId="3" priority="5"/>
  </conditionalFormatting>
  <conditionalFormatting sqref="B4:B510">
    <cfRule type="duplicateValues" dxfId="2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17"/>
  <sheetViews>
    <sheetView tabSelected="1" workbookViewId="0">
      <pane ySplit="3" topLeftCell="A461" activePane="bottomLeft" state="frozen"/>
      <selection pane="bottomLeft" activeCell="AG463" sqref="AG463"/>
    </sheetView>
  </sheetViews>
  <sheetFormatPr defaultRowHeight="12.75" x14ac:dyDescent="0.25"/>
  <cols>
    <col min="1" max="1" width="4.85546875" style="85" customWidth="1"/>
    <col min="2" max="4" width="0" style="85" hidden="1" customWidth="1"/>
    <col min="5" max="5" width="9.140625" style="85"/>
    <col min="6" max="6" width="0" style="85" hidden="1" customWidth="1"/>
    <col min="7" max="7" width="9.140625" style="85"/>
    <col min="8" max="8" width="28.5703125" style="85" bestFit="1" customWidth="1"/>
    <col min="9" max="9" width="25.5703125" style="85" bestFit="1" customWidth="1"/>
    <col min="10" max="13" width="0" style="85" hidden="1" customWidth="1"/>
    <col min="14" max="14" width="9.42578125" style="85" hidden="1" customWidth="1"/>
    <col min="15" max="15" width="11.28515625" style="85" hidden="1" customWidth="1"/>
    <col min="16" max="26" width="0" style="85" hidden="1" customWidth="1"/>
    <col min="27" max="27" width="15.28515625" style="85" bestFit="1" customWidth="1"/>
    <col min="28" max="28" width="13.85546875" style="85" bestFit="1" customWidth="1"/>
    <col min="29" max="29" width="14.7109375" style="85" bestFit="1" customWidth="1"/>
    <col min="30" max="30" width="11.5703125" style="85" bestFit="1" customWidth="1"/>
    <col min="31" max="31" width="8.7109375" style="85" bestFit="1" customWidth="1"/>
    <col min="32" max="32" width="13" style="85" customWidth="1"/>
    <col min="33" max="33" width="10.42578125" style="85" bestFit="1" customWidth="1"/>
    <col min="34" max="16384" width="9.140625" style="85"/>
  </cols>
  <sheetData>
    <row r="2" spans="1:33" ht="15" x14ac:dyDescent="0.25">
      <c r="A2" s="182" t="s">
        <v>1174</v>
      </c>
      <c r="AA2" s="238" t="s">
        <v>1169</v>
      </c>
      <c r="AB2" s="238"/>
      <c r="AC2" s="238"/>
      <c r="AD2" s="238"/>
      <c r="AE2" s="239" t="s">
        <v>1168</v>
      </c>
      <c r="AF2" s="239"/>
      <c r="AG2" s="239"/>
    </row>
    <row r="3" spans="1:33" ht="28.5" customHeight="1" x14ac:dyDescent="0.25">
      <c r="A3" s="1" t="s">
        <v>11</v>
      </c>
      <c r="B3" s="1" t="s">
        <v>12</v>
      </c>
      <c r="C3" s="1" t="s">
        <v>13</v>
      </c>
      <c r="D3" s="1">
        <f>SUM(H4:H510)</f>
        <v>0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</row>
    <row r="4" spans="1:33" x14ac:dyDescent="0.25">
      <c r="A4" s="85">
        <v>1</v>
      </c>
      <c r="E4" s="85" t="s">
        <v>1175</v>
      </c>
      <c r="G4" s="85" t="s">
        <v>1029</v>
      </c>
      <c r="H4" s="85" t="s">
        <v>1176</v>
      </c>
      <c r="I4" s="85" t="s">
        <v>1177</v>
      </c>
      <c r="J4" s="181"/>
      <c r="K4" s="181"/>
      <c r="AA4" s="177" t="s">
        <v>1780</v>
      </c>
      <c r="AB4" s="224">
        <v>43446</v>
      </c>
      <c r="AC4" s="177"/>
      <c r="AD4" s="177"/>
      <c r="AE4" s="179"/>
      <c r="AF4" s="179"/>
      <c r="AG4" s="179"/>
    </row>
    <row r="5" spans="1:33" x14ac:dyDescent="0.25">
      <c r="A5" s="85">
        <v>2</v>
      </c>
      <c r="E5" s="85" t="s">
        <v>1178</v>
      </c>
      <c r="G5" s="85" t="s">
        <v>1029</v>
      </c>
      <c r="H5" s="85" t="s">
        <v>1179</v>
      </c>
      <c r="I5" s="85" t="s">
        <v>1180</v>
      </c>
      <c r="J5" s="181"/>
      <c r="K5" s="181"/>
      <c r="AA5" s="177"/>
      <c r="AB5" s="177"/>
      <c r="AC5" s="177"/>
      <c r="AD5" s="177"/>
      <c r="AE5" s="179"/>
      <c r="AF5" s="179"/>
      <c r="AG5" s="179"/>
    </row>
    <row r="6" spans="1:33" x14ac:dyDescent="0.25">
      <c r="A6" s="85">
        <v>3</v>
      </c>
      <c r="E6" s="85" t="s">
        <v>1181</v>
      </c>
      <c r="G6" s="85" t="s">
        <v>1029</v>
      </c>
      <c r="H6" s="85" t="s">
        <v>1176</v>
      </c>
      <c r="I6" s="85" t="s">
        <v>1177</v>
      </c>
      <c r="J6" s="181"/>
      <c r="K6" s="181"/>
      <c r="AA6" s="177" t="s">
        <v>1780</v>
      </c>
      <c r="AB6" s="224">
        <v>43446</v>
      </c>
      <c r="AC6" s="177"/>
      <c r="AD6" s="177"/>
      <c r="AE6" s="179"/>
      <c r="AF6" s="179"/>
      <c r="AG6" s="179"/>
    </row>
    <row r="7" spans="1:33" x14ac:dyDescent="0.25">
      <c r="A7" s="85">
        <v>4</v>
      </c>
      <c r="E7" s="85" t="s">
        <v>1182</v>
      </c>
      <c r="G7" s="85" t="s">
        <v>1029</v>
      </c>
      <c r="H7" s="85" t="s">
        <v>1183</v>
      </c>
      <c r="I7" s="85" t="s">
        <v>1184</v>
      </c>
      <c r="J7" s="181"/>
      <c r="K7" s="181"/>
      <c r="AA7" s="177"/>
      <c r="AB7" s="177"/>
      <c r="AC7" s="177"/>
      <c r="AD7" s="177"/>
      <c r="AE7" s="179"/>
      <c r="AF7" s="179"/>
      <c r="AG7" s="179"/>
    </row>
    <row r="8" spans="1:33" x14ac:dyDescent="0.25">
      <c r="A8" s="85">
        <v>5</v>
      </c>
      <c r="E8" s="85" t="s">
        <v>1185</v>
      </c>
      <c r="G8" s="85" t="s">
        <v>1011</v>
      </c>
      <c r="H8" s="85" t="s">
        <v>1183</v>
      </c>
      <c r="I8" s="85" t="s">
        <v>1186</v>
      </c>
      <c r="J8" s="181"/>
      <c r="K8" s="181"/>
      <c r="AA8" s="177"/>
      <c r="AB8" s="177"/>
      <c r="AC8" s="177"/>
      <c r="AD8" s="177"/>
      <c r="AE8" s="179"/>
      <c r="AF8" s="179"/>
      <c r="AG8" s="179"/>
    </row>
    <row r="9" spans="1:33" x14ac:dyDescent="0.25">
      <c r="A9" s="85">
        <v>6</v>
      </c>
      <c r="E9" s="85" t="s">
        <v>1187</v>
      </c>
      <c r="G9" s="85" t="s">
        <v>1029</v>
      </c>
      <c r="H9" s="85" t="s">
        <v>1183</v>
      </c>
      <c r="I9" s="85" t="s">
        <v>1184</v>
      </c>
      <c r="J9" s="181"/>
      <c r="K9" s="181"/>
      <c r="AA9" s="177"/>
      <c r="AB9" s="177"/>
      <c r="AC9" s="177"/>
      <c r="AD9" s="177"/>
      <c r="AE9" s="179"/>
      <c r="AF9" s="179"/>
      <c r="AG9" s="179"/>
    </row>
    <row r="10" spans="1:33" x14ac:dyDescent="0.25">
      <c r="A10" s="85">
        <v>7</v>
      </c>
      <c r="E10" s="85" t="s">
        <v>1188</v>
      </c>
      <c r="G10" s="85" t="s">
        <v>1011</v>
      </c>
      <c r="H10" s="85" t="s">
        <v>1183</v>
      </c>
      <c r="I10" s="85" t="s">
        <v>1189</v>
      </c>
      <c r="AA10" s="177"/>
      <c r="AB10" s="177"/>
      <c r="AC10" s="177"/>
      <c r="AD10" s="177"/>
      <c r="AE10" s="179"/>
      <c r="AF10" s="179"/>
      <c r="AG10" s="179"/>
    </row>
    <row r="11" spans="1:33" x14ac:dyDescent="0.25">
      <c r="A11" s="85">
        <v>8</v>
      </c>
      <c r="E11" s="85" t="s">
        <v>1190</v>
      </c>
      <c r="G11" s="85" t="s">
        <v>1029</v>
      </c>
      <c r="H11" s="85" t="s">
        <v>1179</v>
      </c>
      <c r="I11" s="85" t="s">
        <v>1177</v>
      </c>
      <c r="J11" s="181"/>
      <c r="K11" s="181"/>
      <c r="AA11" s="177" t="s">
        <v>1780</v>
      </c>
      <c r="AB11" s="224">
        <v>43446</v>
      </c>
      <c r="AC11" s="177"/>
      <c r="AD11" s="177"/>
      <c r="AE11" s="179"/>
      <c r="AF11" s="179"/>
      <c r="AG11" s="179"/>
    </row>
    <row r="12" spans="1:33" x14ac:dyDescent="0.25">
      <c r="A12" s="85">
        <v>9</v>
      </c>
      <c r="E12" s="85" t="s">
        <v>1191</v>
      </c>
      <c r="G12" s="85" t="s">
        <v>1011</v>
      </c>
      <c r="H12" s="85" t="s">
        <v>1179</v>
      </c>
      <c r="I12" s="85" t="s">
        <v>1184</v>
      </c>
      <c r="J12" s="181"/>
      <c r="K12" s="181"/>
      <c r="AA12" s="177"/>
      <c r="AB12" s="177"/>
      <c r="AC12" s="177"/>
      <c r="AD12" s="177"/>
      <c r="AE12" s="179"/>
      <c r="AF12" s="179"/>
      <c r="AG12" s="179"/>
    </row>
    <row r="13" spans="1:33" x14ac:dyDescent="0.25">
      <c r="A13" s="85">
        <v>10</v>
      </c>
      <c r="E13" s="85" t="s">
        <v>1192</v>
      </c>
      <c r="G13" s="85" t="s">
        <v>1029</v>
      </c>
      <c r="H13" s="85" t="s">
        <v>1183</v>
      </c>
      <c r="I13" s="85" t="s">
        <v>1193</v>
      </c>
      <c r="J13" s="181"/>
      <c r="AA13" s="177"/>
      <c r="AB13" s="177"/>
      <c r="AC13" s="177"/>
      <c r="AD13" s="177"/>
      <c r="AE13" s="179"/>
      <c r="AF13" s="179"/>
      <c r="AG13" s="179"/>
    </row>
    <row r="14" spans="1:33" x14ac:dyDescent="0.25">
      <c r="A14" s="85">
        <v>11</v>
      </c>
      <c r="E14" s="85" t="s">
        <v>1194</v>
      </c>
      <c r="G14" s="85" t="s">
        <v>1011</v>
      </c>
      <c r="H14" s="85" t="s">
        <v>1183</v>
      </c>
      <c r="I14" s="85" t="s">
        <v>1186</v>
      </c>
      <c r="J14" s="181"/>
      <c r="K14" s="181"/>
      <c r="AA14" s="177"/>
      <c r="AB14" s="177"/>
      <c r="AC14" s="177"/>
      <c r="AD14" s="177"/>
      <c r="AE14" s="179"/>
      <c r="AF14" s="179"/>
      <c r="AG14" s="179"/>
    </row>
    <row r="15" spans="1:33" x14ac:dyDescent="0.25">
      <c r="A15" s="85">
        <v>12</v>
      </c>
      <c r="E15" s="85" t="s">
        <v>1195</v>
      </c>
      <c r="G15" s="85" t="s">
        <v>1029</v>
      </c>
      <c r="H15" s="85" t="s">
        <v>1183</v>
      </c>
      <c r="I15" s="85" t="s">
        <v>1196</v>
      </c>
      <c r="J15" s="181"/>
      <c r="K15" s="181"/>
      <c r="AA15" s="177"/>
      <c r="AB15" s="177"/>
      <c r="AC15" s="177"/>
      <c r="AD15" s="177"/>
      <c r="AE15" s="179"/>
      <c r="AF15" s="179"/>
      <c r="AG15" s="179"/>
    </row>
    <row r="16" spans="1:33" x14ac:dyDescent="0.25">
      <c r="A16" s="85">
        <v>13</v>
      </c>
      <c r="E16" s="85" t="s">
        <v>1197</v>
      </c>
      <c r="G16" s="85" t="s">
        <v>1029</v>
      </c>
      <c r="H16" s="85" t="s">
        <v>1183</v>
      </c>
      <c r="I16" s="85" t="s">
        <v>1186</v>
      </c>
      <c r="J16" s="181"/>
      <c r="K16" s="181"/>
      <c r="AA16" s="177"/>
      <c r="AB16" s="177"/>
      <c r="AC16" s="177"/>
      <c r="AD16" s="177"/>
      <c r="AE16" s="179"/>
      <c r="AF16" s="179"/>
      <c r="AG16" s="179"/>
    </row>
    <row r="17" spans="1:33" x14ac:dyDescent="0.25">
      <c r="A17" s="85">
        <v>14</v>
      </c>
      <c r="E17" s="85" t="s">
        <v>1198</v>
      </c>
      <c r="G17" s="85" t="s">
        <v>1029</v>
      </c>
      <c r="H17" s="85" t="s">
        <v>1183</v>
      </c>
      <c r="I17" s="85" t="s">
        <v>1199</v>
      </c>
      <c r="J17" s="181"/>
      <c r="AA17" s="177"/>
      <c r="AB17" s="177"/>
      <c r="AC17" s="177"/>
      <c r="AD17" s="177"/>
      <c r="AE17" s="179"/>
      <c r="AF17" s="179"/>
      <c r="AG17" s="179"/>
    </row>
    <row r="18" spans="1:33" x14ac:dyDescent="0.25">
      <c r="A18" s="85">
        <v>15</v>
      </c>
      <c r="E18" s="85" t="s">
        <v>1200</v>
      </c>
      <c r="G18" s="85" t="s">
        <v>1029</v>
      </c>
      <c r="H18" s="85" t="s">
        <v>1201</v>
      </c>
      <c r="I18" s="85" t="s">
        <v>1202</v>
      </c>
      <c r="J18" s="181"/>
      <c r="K18" s="181"/>
      <c r="AA18" s="177"/>
      <c r="AB18" s="177"/>
      <c r="AC18" s="177"/>
      <c r="AD18" s="177"/>
      <c r="AE18" s="179"/>
      <c r="AF18" s="179"/>
      <c r="AG18" s="179"/>
    </row>
    <row r="19" spans="1:33" x14ac:dyDescent="0.25">
      <c r="A19" s="85">
        <v>16</v>
      </c>
      <c r="E19" s="85" t="s">
        <v>1203</v>
      </c>
      <c r="G19" s="85" t="s">
        <v>1011</v>
      </c>
      <c r="H19" s="85" t="s">
        <v>1183</v>
      </c>
      <c r="I19" s="85" t="s">
        <v>1204</v>
      </c>
      <c r="J19" s="181"/>
      <c r="K19" s="181"/>
      <c r="AA19" s="177"/>
      <c r="AB19" s="177"/>
      <c r="AC19" s="177"/>
      <c r="AD19" s="177"/>
      <c r="AE19" s="179"/>
      <c r="AF19" s="179"/>
      <c r="AG19" s="179"/>
    </row>
    <row r="20" spans="1:33" x14ac:dyDescent="0.25">
      <c r="A20" s="85">
        <v>17</v>
      </c>
      <c r="E20" s="85" t="s">
        <v>1205</v>
      </c>
      <c r="G20" s="85" t="s">
        <v>1029</v>
      </c>
      <c r="H20" s="85" t="s">
        <v>1183</v>
      </c>
      <c r="I20" s="85" t="s">
        <v>1199</v>
      </c>
      <c r="J20" s="181"/>
      <c r="AA20" s="177"/>
      <c r="AB20" s="177"/>
      <c r="AC20" s="177"/>
      <c r="AD20" s="177"/>
      <c r="AE20" s="179"/>
      <c r="AF20" s="179"/>
      <c r="AG20" s="179"/>
    </row>
    <row r="21" spans="1:33" x14ac:dyDescent="0.25">
      <c r="A21" s="85">
        <v>18</v>
      </c>
      <c r="E21" s="85" t="s">
        <v>1206</v>
      </c>
      <c r="G21" s="85" t="s">
        <v>1011</v>
      </c>
      <c r="H21" s="85" t="s">
        <v>1183</v>
      </c>
      <c r="I21" s="85" t="s">
        <v>1207</v>
      </c>
      <c r="AA21" s="177"/>
      <c r="AB21" s="177"/>
      <c r="AC21" s="177"/>
      <c r="AD21" s="177"/>
      <c r="AE21" s="179"/>
      <c r="AF21" s="179"/>
      <c r="AG21" s="179"/>
    </row>
    <row r="22" spans="1:33" x14ac:dyDescent="0.25">
      <c r="A22" s="85">
        <v>19</v>
      </c>
      <c r="E22" s="85" t="s">
        <v>1208</v>
      </c>
      <c r="G22" s="85" t="s">
        <v>1029</v>
      </c>
      <c r="H22" s="85" t="s">
        <v>1183</v>
      </c>
      <c r="I22" s="85" t="s">
        <v>1209</v>
      </c>
      <c r="K22" s="181"/>
      <c r="AA22" s="177"/>
      <c r="AB22" s="177"/>
      <c r="AC22" s="177"/>
      <c r="AD22" s="177"/>
      <c r="AE22" s="179"/>
      <c r="AF22" s="179"/>
      <c r="AG22" s="179"/>
    </row>
    <row r="23" spans="1:33" x14ac:dyDescent="0.25">
      <c r="A23" s="85">
        <v>20</v>
      </c>
      <c r="E23" s="85" t="s">
        <v>1210</v>
      </c>
      <c r="G23" s="85" t="s">
        <v>1011</v>
      </c>
      <c r="H23" s="85" t="s">
        <v>1183</v>
      </c>
      <c r="I23" s="85" t="s">
        <v>1211</v>
      </c>
      <c r="AA23" s="177"/>
      <c r="AB23" s="177"/>
      <c r="AC23" s="177"/>
      <c r="AD23" s="177"/>
      <c r="AE23" s="179"/>
      <c r="AF23" s="179"/>
      <c r="AG23" s="179"/>
    </row>
    <row r="24" spans="1:33" x14ac:dyDescent="0.25">
      <c r="A24" s="85">
        <v>21</v>
      </c>
      <c r="E24" s="85" t="s">
        <v>1212</v>
      </c>
      <c r="G24" s="85" t="s">
        <v>1029</v>
      </c>
      <c r="H24" s="85" t="s">
        <v>1183</v>
      </c>
      <c r="I24" s="85" t="s">
        <v>1213</v>
      </c>
      <c r="J24" s="181"/>
      <c r="AA24" s="177"/>
      <c r="AB24" s="177"/>
      <c r="AC24" s="177"/>
      <c r="AD24" s="177"/>
      <c r="AE24" s="179"/>
      <c r="AF24" s="179"/>
      <c r="AG24" s="179"/>
    </row>
    <row r="25" spans="1:33" x14ac:dyDescent="0.25">
      <c r="A25" s="85">
        <v>22</v>
      </c>
      <c r="E25" s="85" t="s">
        <v>1214</v>
      </c>
      <c r="G25" s="85" t="s">
        <v>1029</v>
      </c>
      <c r="H25" s="85" t="s">
        <v>1183</v>
      </c>
      <c r="I25" s="85" t="s">
        <v>1215</v>
      </c>
      <c r="J25" s="181"/>
      <c r="K25" s="181"/>
      <c r="AA25" s="177"/>
      <c r="AB25" s="177"/>
      <c r="AC25" s="177"/>
      <c r="AD25" s="177"/>
      <c r="AE25" s="179"/>
      <c r="AF25" s="179"/>
      <c r="AG25" s="179"/>
    </row>
    <row r="26" spans="1:33" x14ac:dyDescent="0.25">
      <c r="A26" s="85">
        <v>23</v>
      </c>
      <c r="E26" s="85" t="s">
        <v>1216</v>
      </c>
      <c r="G26" s="85" t="s">
        <v>1011</v>
      </c>
      <c r="H26" s="85" t="s">
        <v>1183</v>
      </c>
      <c r="I26" s="85" t="s">
        <v>1217</v>
      </c>
      <c r="AA26" s="177"/>
      <c r="AB26" s="177"/>
      <c r="AC26" s="177"/>
      <c r="AD26" s="177"/>
      <c r="AE26" s="179"/>
      <c r="AF26" s="179"/>
      <c r="AG26" s="179"/>
    </row>
    <row r="27" spans="1:33" x14ac:dyDescent="0.25">
      <c r="A27" s="85">
        <v>24</v>
      </c>
      <c r="E27" s="85" t="s">
        <v>1218</v>
      </c>
      <c r="G27" s="85" t="s">
        <v>1029</v>
      </c>
      <c r="H27" s="85" t="s">
        <v>1183</v>
      </c>
      <c r="I27" s="85" t="s">
        <v>1215</v>
      </c>
      <c r="J27" s="181"/>
      <c r="K27" s="181"/>
      <c r="AA27" s="177"/>
      <c r="AB27" s="177"/>
      <c r="AC27" s="177"/>
      <c r="AD27" s="177"/>
      <c r="AE27" s="179"/>
      <c r="AF27" s="179"/>
      <c r="AG27" s="179"/>
    </row>
    <row r="28" spans="1:33" x14ac:dyDescent="0.25">
      <c r="A28" s="85">
        <v>76</v>
      </c>
      <c r="E28" s="85" t="s">
        <v>1290</v>
      </c>
      <c r="G28" s="85" t="s">
        <v>1029</v>
      </c>
      <c r="H28" s="85" t="s">
        <v>1176</v>
      </c>
      <c r="I28" s="85" t="s">
        <v>1221</v>
      </c>
      <c r="AA28" s="177"/>
      <c r="AB28" s="177"/>
      <c r="AC28" s="177"/>
      <c r="AD28" s="177"/>
      <c r="AE28" s="179"/>
      <c r="AF28" s="179"/>
      <c r="AG28" s="179"/>
    </row>
    <row r="29" spans="1:33" x14ac:dyDescent="0.25">
      <c r="A29" s="85">
        <v>26</v>
      </c>
      <c r="E29" s="85" t="s">
        <v>1222</v>
      </c>
      <c r="G29" s="85" t="s">
        <v>1011</v>
      </c>
      <c r="H29" s="85" t="s">
        <v>1220</v>
      </c>
      <c r="I29" s="85" t="s">
        <v>1223</v>
      </c>
      <c r="AA29" s="177"/>
      <c r="AB29" s="177"/>
      <c r="AC29" s="177"/>
      <c r="AD29" s="177"/>
      <c r="AE29" s="179"/>
      <c r="AF29" s="179"/>
      <c r="AG29" s="179"/>
    </row>
    <row r="30" spans="1:33" x14ac:dyDescent="0.25">
      <c r="A30" s="85">
        <v>27</v>
      </c>
      <c r="E30" s="85" t="s">
        <v>1224</v>
      </c>
      <c r="G30" s="85" t="s">
        <v>1029</v>
      </c>
      <c r="H30" s="85" t="s">
        <v>1176</v>
      </c>
      <c r="I30" s="85" t="s">
        <v>1221</v>
      </c>
      <c r="AA30" s="177"/>
      <c r="AB30" s="177"/>
      <c r="AC30" s="177"/>
      <c r="AD30" s="177"/>
      <c r="AE30" s="179"/>
      <c r="AF30" s="179"/>
      <c r="AG30" s="179"/>
    </row>
    <row r="31" spans="1:33" x14ac:dyDescent="0.25">
      <c r="A31" s="85">
        <v>28</v>
      </c>
      <c r="E31" s="85" t="s">
        <v>1225</v>
      </c>
      <c r="G31" s="85" t="s">
        <v>1011</v>
      </c>
      <c r="H31" s="85" t="s">
        <v>1220</v>
      </c>
      <c r="I31" s="85" t="s">
        <v>1226</v>
      </c>
      <c r="J31" s="181"/>
      <c r="K31" s="181"/>
      <c r="AA31" s="177"/>
      <c r="AB31" s="177"/>
      <c r="AC31" s="177"/>
      <c r="AD31" s="177"/>
      <c r="AE31" s="179"/>
      <c r="AF31" s="179"/>
      <c r="AG31" s="179"/>
    </row>
    <row r="32" spans="1:33" x14ac:dyDescent="0.25">
      <c r="A32" s="85">
        <v>29</v>
      </c>
      <c r="E32" s="85" t="s">
        <v>1227</v>
      </c>
      <c r="G32" s="85" t="s">
        <v>1029</v>
      </c>
      <c r="H32" s="85" t="s">
        <v>1220</v>
      </c>
      <c r="I32" s="85" t="s">
        <v>1221</v>
      </c>
      <c r="AA32" s="177"/>
      <c r="AB32" s="177"/>
      <c r="AC32" s="177"/>
      <c r="AD32" s="177"/>
      <c r="AE32" s="179"/>
      <c r="AF32" s="179"/>
      <c r="AG32" s="179"/>
    </row>
    <row r="33" spans="1:33" x14ac:dyDescent="0.25">
      <c r="A33" s="85">
        <v>63</v>
      </c>
      <c r="E33" s="85" t="s">
        <v>1272</v>
      </c>
      <c r="G33" s="85" t="s">
        <v>1011</v>
      </c>
      <c r="H33" s="85" t="s">
        <v>1220</v>
      </c>
      <c r="I33" s="85" t="s">
        <v>1221</v>
      </c>
      <c r="AA33" s="177"/>
      <c r="AB33" s="177"/>
      <c r="AC33" s="177"/>
      <c r="AD33" s="177"/>
      <c r="AE33" s="179"/>
      <c r="AF33" s="179"/>
      <c r="AG33" s="179"/>
    </row>
    <row r="34" spans="1:33" x14ac:dyDescent="0.25">
      <c r="A34" s="85">
        <v>31</v>
      </c>
      <c r="E34" s="85" t="s">
        <v>1229</v>
      </c>
      <c r="G34" s="85" t="s">
        <v>1029</v>
      </c>
      <c r="H34" s="85" t="s">
        <v>1176</v>
      </c>
      <c r="I34" s="85" t="s">
        <v>1230</v>
      </c>
      <c r="J34" s="181"/>
      <c r="K34" s="181"/>
      <c r="AA34" s="177"/>
      <c r="AB34" s="177"/>
      <c r="AC34" s="177"/>
      <c r="AD34" s="177"/>
      <c r="AE34" s="179"/>
      <c r="AF34" s="179"/>
      <c r="AG34" s="179"/>
    </row>
    <row r="35" spans="1:33" x14ac:dyDescent="0.25">
      <c r="A35" s="85">
        <v>32</v>
      </c>
      <c r="E35" s="85" t="s">
        <v>1231</v>
      </c>
      <c r="G35" s="85" t="s">
        <v>1011</v>
      </c>
      <c r="H35" s="85" t="s">
        <v>1220</v>
      </c>
      <c r="I35" s="85" t="s">
        <v>1232</v>
      </c>
      <c r="AA35" s="177"/>
      <c r="AB35" s="177"/>
      <c r="AC35" s="177"/>
      <c r="AD35" s="177"/>
      <c r="AE35" s="179"/>
      <c r="AF35" s="179"/>
      <c r="AG35" s="179"/>
    </row>
    <row r="36" spans="1:33" x14ac:dyDescent="0.25">
      <c r="A36" s="85">
        <v>33</v>
      </c>
      <c r="E36" s="85" t="s">
        <v>1233</v>
      </c>
      <c r="G36" s="85" t="s">
        <v>1029</v>
      </c>
      <c r="H36" s="85" t="s">
        <v>1220</v>
      </c>
      <c r="I36" s="85" t="s">
        <v>1180</v>
      </c>
      <c r="J36" s="181"/>
      <c r="K36" s="181"/>
      <c r="AA36" s="177"/>
      <c r="AB36" s="177"/>
      <c r="AC36" s="177"/>
      <c r="AD36" s="177"/>
      <c r="AE36" s="179"/>
      <c r="AF36" s="179"/>
      <c r="AG36" s="179"/>
    </row>
    <row r="37" spans="1:33" x14ac:dyDescent="0.25">
      <c r="A37" s="85">
        <v>34</v>
      </c>
      <c r="E37" s="85" t="s">
        <v>1234</v>
      </c>
      <c r="G37" s="85" t="s">
        <v>1029</v>
      </c>
      <c r="H37" s="85" t="s">
        <v>1220</v>
      </c>
      <c r="I37" s="85" t="s">
        <v>1221</v>
      </c>
      <c r="AA37" s="177"/>
      <c r="AB37" s="177"/>
      <c r="AC37" s="177"/>
      <c r="AD37" s="177"/>
      <c r="AE37" s="179"/>
      <c r="AF37" s="179"/>
      <c r="AG37" s="179"/>
    </row>
    <row r="38" spans="1:33" x14ac:dyDescent="0.25">
      <c r="A38" s="85">
        <v>35</v>
      </c>
      <c r="E38" s="85" t="s">
        <v>1235</v>
      </c>
      <c r="G38" s="85" t="s">
        <v>1011</v>
      </c>
      <c r="H38" s="85" t="s">
        <v>1220</v>
      </c>
      <c r="I38" s="85" t="s">
        <v>1223</v>
      </c>
      <c r="AA38" s="177"/>
      <c r="AB38" s="177"/>
      <c r="AC38" s="177"/>
      <c r="AD38" s="177"/>
      <c r="AE38" s="179"/>
      <c r="AF38" s="179"/>
      <c r="AG38" s="179"/>
    </row>
    <row r="39" spans="1:33" x14ac:dyDescent="0.25">
      <c r="A39" s="85">
        <v>36</v>
      </c>
      <c r="E39" s="85" t="s">
        <v>1236</v>
      </c>
      <c r="G39" s="85" t="s">
        <v>1029</v>
      </c>
      <c r="H39" s="85" t="s">
        <v>1176</v>
      </c>
      <c r="I39" s="85" t="s">
        <v>1237</v>
      </c>
      <c r="J39" s="181"/>
      <c r="K39" s="181"/>
      <c r="AA39" s="177" t="s">
        <v>1780</v>
      </c>
      <c r="AB39" s="224">
        <v>43444</v>
      </c>
      <c r="AC39" s="177"/>
      <c r="AD39" s="177"/>
      <c r="AE39" s="179"/>
      <c r="AF39" s="179"/>
      <c r="AG39" s="179"/>
    </row>
    <row r="40" spans="1:33" x14ac:dyDescent="0.25">
      <c r="A40" s="85">
        <v>37</v>
      </c>
      <c r="E40" s="85" t="s">
        <v>1238</v>
      </c>
      <c r="G40" s="85" t="s">
        <v>1011</v>
      </c>
      <c r="H40" s="85" t="s">
        <v>1176</v>
      </c>
      <c r="I40" s="85" t="s">
        <v>1193</v>
      </c>
      <c r="AA40" s="177"/>
      <c r="AB40" s="177"/>
      <c r="AC40" s="177"/>
      <c r="AD40" s="177"/>
      <c r="AE40" s="179"/>
      <c r="AF40" s="179"/>
      <c r="AG40" s="179"/>
    </row>
    <row r="41" spans="1:33" x14ac:dyDescent="0.25">
      <c r="A41" s="85">
        <v>38</v>
      </c>
      <c r="E41" s="85" t="s">
        <v>1239</v>
      </c>
      <c r="G41" s="85" t="s">
        <v>1029</v>
      </c>
      <c r="H41" s="85" t="s">
        <v>1176</v>
      </c>
      <c r="I41" s="85" t="s">
        <v>1221</v>
      </c>
      <c r="AA41" s="177"/>
      <c r="AB41" s="177"/>
      <c r="AC41" s="177"/>
      <c r="AD41" s="177"/>
      <c r="AE41" s="179"/>
      <c r="AF41" s="179"/>
      <c r="AG41" s="179"/>
    </row>
    <row r="42" spans="1:33" x14ac:dyDescent="0.25">
      <c r="A42" s="85">
        <v>39</v>
      </c>
      <c r="E42" s="85" t="s">
        <v>1240</v>
      </c>
      <c r="G42" s="85" t="s">
        <v>1011</v>
      </c>
      <c r="H42" s="85" t="s">
        <v>1176</v>
      </c>
      <c r="I42" s="85" t="s">
        <v>1241</v>
      </c>
      <c r="J42" s="181"/>
      <c r="K42" s="181"/>
      <c r="AA42" s="177"/>
      <c r="AB42" s="177"/>
      <c r="AC42" s="177"/>
      <c r="AD42" s="177"/>
      <c r="AE42" s="179"/>
      <c r="AF42" s="179"/>
      <c r="AG42" s="179"/>
    </row>
    <row r="43" spans="1:33" x14ac:dyDescent="0.25">
      <c r="A43" s="85">
        <v>40</v>
      </c>
      <c r="E43" s="85" t="s">
        <v>1242</v>
      </c>
      <c r="G43" s="85" t="s">
        <v>1029</v>
      </c>
      <c r="H43" s="85" t="s">
        <v>1176</v>
      </c>
      <c r="I43" s="85" t="s">
        <v>1221</v>
      </c>
      <c r="AA43" s="177"/>
      <c r="AB43" s="177"/>
      <c r="AC43" s="177"/>
      <c r="AD43" s="177"/>
      <c r="AE43" s="179"/>
      <c r="AF43" s="179"/>
      <c r="AG43" s="179"/>
    </row>
    <row r="44" spans="1:33" x14ac:dyDescent="0.25">
      <c r="A44" s="85">
        <v>41</v>
      </c>
      <c r="E44" s="85" t="s">
        <v>1243</v>
      </c>
      <c r="G44" s="85" t="s">
        <v>1011</v>
      </c>
      <c r="H44" s="85" t="s">
        <v>1176</v>
      </c>
      <c r="I44" s="85" t="s">
        <v>1244</v>
      </c>
      <c r="AA44" s="177"/>
      <c r="AB44" s="177"/>
      <c r="AC44" s="177"/>
      <c r="AD44" s="177"/>
      <c r="AE44" s="179"/>
      <c r="AF44" s="179"/>
      <c r="AG44" s="179"/>
    </row>
    <row r="45" spans="1:33" x14ac:dyDescent="0.25">
      <c r="A45" s="85">
        <v>42</v>
      </c>
      <c r="E45" s="85" t="s">
        <v>1245</v>
      </c>
      <c r="G45" s="85" t="s">
        <v>1029</v>
      </c>
      <c r="H45" s="85" t="s">
        <v>1176</v>
      </c>
      <c r="I45" s="85" t="s">
        <v>1221</v>
      </c>
      <c r="AA45" s="177"/>
      <c r="AB45" s="177"/>
      <c r="AC45" s="177"/>
      <c r="AD45" s="177"/>
      <c r="AE45" s="179"/>
      <c r="AF45" s="179"/>
      <c r="AG45" s="179"/>
    </row>
    <row r="46" spans="1:33" x14ac:dyDescent="0.25">
      <c r="A46" s="85">
        <v>43</v>
      </c>
      <c r="E46" s="85" t="s">
        <v>1246</v>
      </c>
      <c r="G46" s="85" t="s">
        <v>1011</v>
      </c>
      <c r="H46" s="85" t="s">
        <v>1176</v>
      </c>
      <c r="I46" s="85" t="s">
        <v>1221</v>
      </c>
      <c r="AA46" s="177"/>
      <c r="AB46" s="177"/>
      <c r="AC46" s="177"/>
      <c r="AD46" s="177"/>
      <c r="AE46" s="179"/>
      <c r="AF46" s="179"/>
      <c r="AG46" s="179"/>
    </row>
    <row r="47" spans="1:33" x14ac:dyDescent="0.25">
      <c r="A47" s="85">
        <v>44</v>
      </c>
      <c r="E47" s="85" t="s">
        <v>1247</v>
      </c>
      <c r="G47" s="85" t="s">
        <v>1029</v>
      </c>
      <c r="H47" s="85" t="s">
        <v>1176</v>
      </c>
      <c r="I47" s="85" t="s">
        <v>1204</v>
      </c>
      <c r="J47" s="181"/>
      <c r="K47" s="181"/>
      <c r="AA47" s="177"/>
      <c r="AB47" s="177"/>
      <c r="AC47" s="177"/>
      <c r="AD47" s="177"/>
      <c r="AE47" s="179"/>
      <c r="AF47" s="179"/>
      <c r="AG47" s="179"/>
    </row>
    <row r="48" spans="1:33" x14ac:dyDescent="0.25">
      <c r="A48" s="85">
        <v>45</v>
      </c>
      <c r="E48" s="85" t="s">
        <v>1248</v>
      </c>
      <c r="G48" s="85" t="s">
        <v>1011</v>
      </c>
      <c r="H48" s="85" t="s">
        <v>1176</v>
      </c>
      <c r="I48" s="85" t="s">
        <v>1249</v>
      </c>
      <c r="J48" s="181"/>
      <c r="K48" s="181"/>
      <c r="AA48" s="177"/>
      <c r="AB48" s="177"/>
      <c r="AC48" s="177"/>
      <c r="AD48" s="177"/>
      <c r="AE48" s="179"/>
      <c r="AF48" s="179"/>
      <c r="AG48" s="179"/>
    </row>
    <row r="49" spans="1:33" x14ac:dyDescent="0.25">
      <c r="A49" s="85">
        <v>46</v>
      </c>
      <c r="E49" s="85" t="s">
        <v>1250</v>
      </c>
      <c r="G49" s="85" t="s">
        <v>1029</v>
      </c>
      <c r="H49" s="85" t="s">
        <v>1176</v>
      </c>
      <c r="I49" s="85" t="s">
        <v>1249</v>
      </c>
      <c r="J49" s="181"/>
      <c r="K49" s="181"/>
      <c r="AA49" s="177"/>
      <c r="AB49" s="177"/>
      <c r="AC49" s="177"/>
      <c r="AD49" s="177"/>
      <c r="AE49" s="179"/>
      <c r="AF49" s="179"/>
      <c r="AG49" s="179"/>
    </row>
    <row r="50" spans="1:33" x14ac:dyDescent="0.25">
      <c r="A50" s="85">
        <v>47</v>
      </c>
      <c r="E50" s="85" t="s">
        <v>1251</v>
      </c>
      <c r="G50" s="85" t="s">
        <v>1011</v>
      </c>
      <c r="H50" s="85" t="s">
        <v>1183</v>
      </c>
      <c r="I50" s="85" t="s">
        <v>1252</v>
      </c>
      <c r="AA50" s="177"/>
      <c r="AB50" s="177"/>
      <c r="AC50" s="177"/>
      <c r="AD50" s="177"/>
      <c r="AE50" s="179"/>
      <c r="AF50" s="179"/>
      <c r="AG50" s="179"/>
    </row>
    <row r="51" spans="1:33" x14ac:dyDescent="0.25">
      <c r="A51" s="85">
        <v>48</v>
      </c>
      <c r="E51" s="85" t="s">
        <v>1253</v>
      </c>
      <c r="G51" s="85" t="s">
        <v>1029</v>
      </c>
      <c r="H51" s="85" t="s">
        <v>1176</v>
      </c>
      <c r="I51" s="85" t="s">
        <v>1217</v>
      </c>
      <c r="AA51" s="177"/>
      <c r="AB51" s="177"/>
      <c r="AC51" s="177"/>
      <c r="AD51" s="177"/>
      <c r="AE51" s="179"/>
      <c r="AF51" s="179"/>
      <c r="AG51" s="179"/>
    </row>
    <row r="52" spans="1:33" x14ac:dyDescent="0.25">
      <c r="A52" s="85">
        <v>49</v>
      </c>
      <c r="E52" s="85" t="s">
        <v>1254</v>
      </c>
      <c r="G52" s="85" t="s">
        <v>1029</v>
      </c>
      <c r="H52" s="85" t="s">
        <v>1176</v>
      </c>
      <c r="I52" s="85" t="s">
        <v>1204</v>
      </c>
      <c r="J52" s="181"/>
      <c r="K52" s="181"/>
      <c r="AA52" s="177"/>
      <c r="AB52" s="177"/>
      <c r="AC52" s="177"/>
      <c r="AD52" s="177"/>
      <c r="AE52" s="179"/>
      <c r="AF52" s="179"/>
      <c r="AG52" s="179"/>
    </row>
    <row r="53" spans="1:33" x14ac:dyDescent="0.25">
      <c r="A53" s="85">
        <v>50</v>
      </c>
      <c r="E53" s="85" t="s">
        <v>1255</v>
      </c>
      <c r="G53" s="85" t="s">
        <v>1029</v>
      </c>
      <c r="H53" s="85" t="s">
        <v>1176</v>
      </c>
      <c r="I53" s="85" t="s">
        <v>1256</v>
      </c>
      <c r="J53" s="181"/>
      <c r="K53" s="181"/>
      <c r="AA53" s="177"/>
      <c r="AB53" s="177"/>
      <c r="AC53" s="177"/>
      <c r="AD53" s="177"/>
      <c r="AE53" s="179"/>
      <c r="AF53" s="179"/>
      <c r="AG53" s="179"/>
    </row>
    <row r="54" spans="1:33" x14ac:dyDescent="0.25">
      <c r="A54" s="85">
        <v>51</v>
      </c>
      <c r="E54" s="85" t="s">
        <v>1257</v>
      </c>
      <c r="G54" s="85" t="s">
        <v>1029</v>
      </c>
      <c r="H54" s="85" t="s">
        <v>1176</v>
      </c>
      <c r="I54" s="85" t="s">
        <v>1241</v>
      </c>
      <c r="J54" s="181"/>
      <c r="K54" s="181"/>
      <c r="AA54" s="177"/>
      <c r="AB54" s="177"/>
      <c r="AC54" s="177"/>
      <c r="AD54" s="177"/>
      <c r="AE54" s="179"/>
      <c r="AF54" s="179"/>
      <c r="AG54" s="179"/>
    </row>
    <row r="55" spans="1:33" x14ac:dyDescent="0.25">
      <c r="A55" s="85">
        <v>52</v>
      </c>
      <c r="E55" s="85" t="s">
        <v>1258</v>
      </c>
      <c r="G55" s="85" t="s">
        <v>1011</v>
      </c>
      <c r="H55" s="85" t="s">
        <v>1176</v>
      </c>
      <c r="I55" s="85" t="s">
        <v>1204</v>
      </c>
      <c r="J55" s="181"/>
      <c r="K55" s="181"/>
      <c r="AA55" s="177"/>
      <c r="AB55" s="177"/>
      <c r="AC55" s="177"/>
      <c r="AD55" s="177"/>
      <c r="AE55" s="179"/>
      <c r="AF55" s="179"/>
      <c r="AG55" s="179"/>
    </row>
    <row r="56" spans="1:33" x14ac:dyDescent="0.25">
      <c r="A56" s="85">
        <v>53</v>
      </c>
      <c r="E56" s="85" t="s">
        <v>1259</v>
      </c>
      <c r="G56" s="85" t="s">
        <v>1029</v>
      </c>
      <c r="H56" s="85" t="s">
        <v>1176</v>
      </c>
      <c r="I56" s="85" t="s">
        <v>1204</v>
      </c>
      <c r="J56" s="181"/>
      <c r="K56" s="181"/>
      <c r="AA56" s="177"/>
      <c r="AB56" s="177"/>
      <c r="AC56" s="177"/>
      <c r="AD56" s="177"/>
      <c r="AE56" s="179"/>
      <c r="AF56" s="179"/>
      <c r="AG56" s="179"/>
    </row>
    <row r="57" spans="1:33" x14ac:dyDescent="0.25">
      <c r="A57" s="85">
        <v>54</v>
      </c>
      <c r="E57" s="85" t="s">
        <v>1260</v>
      </c>
      <c r="G57" s="85" t="s">
        <v>1011</v>
      </c>
      <c r="H57" s="85" t="s">
        <v>1176</v>
      </c>
      <c r="I57" s="85" t="s">
        <v>1252</v>
      </c>
      <c r="AA57" s="177"/>
      <c r="AB57" s="177"/>
      <c r="AC57" s="177"/>
      <c r="AD57" s="177"/>
      <c r="AE57" s="179"/>
      <c r="AF57" s="179"/>
      <c r="AG57" s="179"/>
    </row>
    <row r="58" spans="1:33" x14ac:dyDescent="0.25">
      <c r="A58" s="85">
        <v>55</v>
      </c>
      <c r="E58" s="85" t="s">
        <v>1261</v>
      </c>
      <c r="G58" s="85" t="s">
        <v>1011</v>
      </c>
      <c r="H58" s="85" t="s">
        <v>1183</v>
      </c>
      <c r="I58" s="85" t="s">
        <v>1252</v>
      </c>
      <c r="AA58" s="177"/>
      <c r="AB58" s="177"/>
      <c r="AC58" s="177"/>
      <c r="AD58" s="177"/>
      <c r="AE58" s="179"/>
      <c r="AF58" s="179"/>
      <c r="AG58" s="179"/>
    </row>
    <row r="59" spans="1:33" x14ac:dyDescent="0.25">
      <c r="A59" s="85">
        <v>56</v>
      </c>
      <c r="E59" s="85" t="s">
        <v>1262</v>
      </c>
      <c r="G59" s="85" t="s">
        <v>1029</v>
      </c>
      <c r="H59" s="85" t="s">
        <v>1183</v>
      </c>
      <c r="I59" s="85" t="s">
        <v>1263</v>
      </c>
      <c r="J59" s="181"/>
      <c r="AA59" s="177"/>
      <c r="AB59" s="177"/>
      <c r="AC59" s="177"/>
      <c r="AD59" s="177"/>
      <c r="AE59" s="179"/>
      <c r="AF59" s="179"/>
      <c r="AG59" s="179"/>
    </row>
    <row r="60" spans="1:33" x14ac:dyDescent="0.25">
      <c r="A60" s="85">
        <v>57</v>
      </c>
      <c r="E60" s="85" t="s">
        <v>1264</v>
      </c>
      <c r="G60" s="85" t="s">
        <v>1011</v>
      </c>
      <c r="H60" s="85" t="s">
        <v>1183</v>
      </c>
      <c r="I60" s="85" t="s">
        <v>1252</v>
      </c>
      <c r="AA60" s="177"/>
      <c r="AB60" s="177"/>
      <c r="AC60" s="177"/>
      <c r="AD60" s="177"/>
      <c r="AE60" s="179"/>
      <c r="AF60" s="179"/>
      <c r="AG60" s="179"/>
    </row>
    <row r="61" spans="1:33" x14ac:dyDescent="0.25">
      <c r="A61" s="85">
        <v>58</v>
      </c>
      <c r="E61" s="85" t="s">
        <v>1265</v>
      </c>
      <c r="G61" s="85" t="s">
        <v>1029</v>
      </c>
      <c r="H61" s="85" t="s">
        <v>1176</v>
      </c>
      <c r="I61" s="85" t="s">
        <v>1237</v>
      </c>
      <c r="J61" s="181"/>
      <c r="K61" s="181"/>
      <c r="AA61" s="177"/>
      <c r="AB61" s="177"/>
      <c r="AC61" s="177"/>
      <c r="AD61" s="177"/>
      <c r="AE61" s="179"/>
      <c r="AF61" s="179"/>
      <c r="AG61" s="179"/>
    </row>
    <row r="62" spans="1:33" x14ac:dyDescent="0.25">
      <c r="A62" s="85">
        <v>25</v>
      </c>
      <c r="E62" s="85" t="s">
        <v>1219</v>
      </c>
      <c r="G62" s="85" t="s">
        <v>1029</v>
      </c>
      <c r="H62" s="85" t="s">
        <v>1220</v>
      </c>
      <c r="I62" s="85" t="s">
        <v>1221</v>
      </c>
      <c r="AA62" s="177"/>
      <c r="AB62" s="177"/>
      <c r="AC62" s="177"/>
      <c r="AD62" s="177"/>
      <c r="AE62" s="179"/>
      <c r="AF62" s="179"/>
      <c r="AG62" s="179"/>
    </row>
    <row r="63" spans="1:33" x14ac:dyDescent="0.25">
      <c r="A63" s="85">
        <v>60</v>
      </c>
      <c r="E63" s="85" t="s">
        <v>1268</v>
      </c>
      <c r="G63" s="85" t="s">
        <v>1029</v>
      </c>
      <c r="H63" s="85" t="s">
        <v>1220</v>
      </c>
      <c r="I63" s="85" t="s">
        <v>1269</v>
      </c>
      <c r="J63" s="181"/>
      <c r="K63" s="181"/>
      <c r="AA63" s="177"/>
      <c r="AB63" s="177"/>
      <c r="AC63" s="177"/>
      <c r="AD63" s="177"/>
      <c r="AE63" s="179"/>
      <c r="AF63" s="179"/>
      <c r="AG63" s="179"/>
    </row>
    <row r="64" spans="1:33" x14ac:dyDescent="0.25">
      <c r="A64" s="85">
        <v>124</v>
      </c>
      <c r="E64" s="85" t="s">
        <v>1349</v>
      </c>
      <c r="G64" s="85" t="s">
        <v>1029</v>
      </c>
      <c r="H64" s="85" t="s">
        <v>1176</v>
      </c>
      <c r="I64" s="85" t="s">
        <v>1221</v>
      </c>
      <c r="AA64" s="177"/>
      <c r="AB64" s="177"/>
      <c r="AC64" s="177"/>
      <c r="AD64" s="177"/>
      <c r="AE64" s="179"/>
      <c r="AF64" s="179"/>
      <c r="AG64" s="179"/>
    </row>
    <row r="65" spans="1:33" x14ac:dyDescent="0.25">
      <c r="A65" s="85">
        <v>62</v>
      </c>
      <c r="E65" s="85" t="s">
        <v>1271</v>
      </c>
      <c r="G65" s="85" t="s">
        <v>1029</v>
      </c>
      <c r="H65" s="85" t="s">
        <v>1220</v>
      </c>
      <c r="I65" s="85" t="s">
        <v>1269</v>
      </c>
      <c r="J65" s="181"/>
      <c r="K65" s="181"/>
      <c r="AA65" s="177"/>
      <c r="AB65" s="177"/>
      <c r="AC65" s="177"/>
      <c r="AD65" s="177"/>
      <c r="AE65" s="179"/>
      <c r="AF65" s="179"/>
      <c r="AG65" s="179"/>
    </row>
    <row r="66" spans="1:33" x14ac:dyDescent="0.25">
      <c r="A66" s="85">
        <v>103</v>
      </c>
      <c r="E66" s="85" t="s">
        <v>1325</v>
      </c>
      <c r="G66" s="85" t="s">
        <v>1029</v>
      </c>
      <c r="H66" s="85" t="s">
        <v>1267</v>
      </c>
      <c r="I66" s="85" t="s">
        <v>1221</v>
      </c>
      <c r="AA66" s="177"/>
      <c r="AB66" s="177"/>
      <c r="AC66" s="177"/>
      <c r="AD66" s="177"/>
      <c r="AE66" s="179"/>
      <c r="AF66" s="179"/>
      <c r="AG66" s="179"/>
    </row>
    <row r="67" spans="1:33" x14ac:dyDescent="0.25">
      <c r="A67" s="85">
        <v>64</v>
      </c>
      <c r="E67" s="85" t="s">
        <v>1273</v>
      </c>
      <c r="G67" s="85" t="s">
        <v>1029</v>
      </c>
      <c r="H67" s="85" t="s">
        <v>1176</v>
      </c>
      <c r="I67" s="85" t="s">
        <v>1177</v>
      </c>
      <c r="J67" s="181"/>
      <c r="K67" s="181"/>
      <c r="AA67" s="177"/>
      <c r="AB67" s="177"/>
      <c r="AC67" s="177"/>
      <c r="AD67" s="177"/>
      <c r="AE67" s="179"/>
      <c r="AF67" s="179"/>
      <c r="AG67" s="179"/>
    </row>
    <row r="68" spans="1:33" x14ac:dyDescent="0.25">
      <c r="A68" s="85">
        <v>65</v>
      </c>
      <c r="E68" s="85" t="s">
        <v>1274</v>
      </c>
      <c r="G68" s="85" t="s">
        <v>1011</v>
      </c>
      <c r="H68" s="85" t="s">
        <v>1275</v>
      </c>
      <c r="I68" s="85" t="s">
        <v>1276</v>
      </c>
      <c r="AA68" s="177"/>
      <c r="AB68" s="177"/>
      <c r="AC68" s="177"/>
      <c r="AD68" s="177"/>
      <c r="AE68" s="179"/>
      <c r="AF68" s="179"/>
      <c r="AG68" s="179"/>
    </row>
    <row r="69" spans="1:33" x14ac:dyDescent="0.25">
      <c r="A69" s="85">
        <v>66</v>
      </c>
      <c r="E69" s="85" t="s">
        <v>1277</v>
      </c>
      <c r="G69" s="85" t="s">
        <v>1029</v>
      </c>
      <c r="H69" s="85" t="s">
        <v>1176</v>
      </c>
      <c r="I69" s="85" t="s">
        <v>1237</v>
      </c>
      <c r="J69" s="181"/>
      <c r="K69" s="181"/>
      <c r="AA69" s="177" t="s">
        <v>1780</v>
      </c>
      <c r="AB69" s="224">
        <v>43444</v>
      </c>
      <c r="AC69" s="177"/>
      <c r="AD69" s="177"/>
      <c r="AE69" s="179"/>
      <c r="AF69" s="179"/>
      <c r="AG69" s="179"/>
    </row>
    <row r="70" spans="1:33" x14ac:dyDescent="0.25">
      <c r="A70" s="85">
        <v>67</v>
      </c>
      <c r="E70" s="85" t="s">
        <v>1278</v>
      </c>
      <c r="G70" s="85" t="s">
        <v>1029</v>
      </c>
      <c r="H70" s="85" t="s">
        <v>1176</v>
      </c>
      <c r="I70" s="85" t="s">
        <v>1223</v>
      </c>
      <c r="J70" s="181"/>
      <c r="AA70" s="177"/>
      <c r="AB70" s="177"/>
      <c r="AC70" s="177"/>
      <c r="AD70" s="177"/>
      <c r="AE70" s="179"/>
      <c r="AF70" s="179"/>
      <c r="AG70" s="179"/>
    </row>
    <row r="71" spans="1:33" x14ac:dyDescent="0.25">
      <c r="A71" s="85">
        <v>125</v>
      </c>
      <c r="E71" s="85" t="s">
        <v>1350</v>
      </c>
      <c r="G71" s="85" t="s">
        <v>1029</v>
      </c>
      <c r="H71" s="85" t="s">
        <v>1201</v>
      </c>
      <c r="I71" s="85" t="s">
        <v>1221</v>
      </c>
      <c r="AA71" s="177"/>
      <c r="AB71" s="177"/>
      <c r="AC71" s="177"/>
      <c r="AD71" s="177"/>
      <c r="AE71" s="179"/>
      <c r="AF71" s="179"/>
      <c r="AG71" s="179"/>
    </row>
    <row r="72" spans="1:33" x14ac:dyDescent="0.25">
      <c r="A72" s="85">
        <v>69</v>
      </c>
      <c r="E72" s="85" t="s">
        <v>1280</v>
      </c>
      <c r="G72" s="85" t="s">
        <v>1029</v>
      </c>
      <c r="H72" s="85" t="s">
        <v>1176</v>
      </c>
      <c r="I72" s="85" t="s">
        <v>1186</v>
      </c>
      <c r="J72" s="181"/>
      <c r="K72" s="181"/>
      <c r="AA72" s="177"/>
      <c r="AB72" s="177"/>
      <c r="AC72" s="177"/>
      <c r="AD72" s="177"/>
      <c r="AE72" s="179"/>
      <c r="AF72" s="179"/>
      <c r="AG72" s="179"/>
    </row>
    <row r="73" spans="1:33" x14ac:dyDescent="0.25">
      <c r="A73" s="85">
        <v>68</v>
      </c>
      <c r="E73" s="85" t="s">
        <v>1279</v>
      </c>
      <c r="G73" s="85" t="s">
        <v>1011</v>
      </c>
      <c r="H73" s="85" t="s">
        <v>1267</v>
      </c>
      <c r="I73" s="85" t="s">
        <v>1221</v>
      </c>
      <c r="AA73" s="177"/>
      <c r="AB73" s="177"/>
      <c r="AC73" s="177"/>
      <c r="AD73" s="177"/>
      <c r="AE73" s="179"/>
      <c r="AF73" s="179"/>
      <c r="AG73" s="179"/>
    </row>
    <row r="74" spans="1:33" x14ac:dyDescent="0.25">
      <c r="A74" s="85">
        <v>71</v>
      </c>
      <c r="E74" s="85" t="s">
        <v>1282</v>
      </c>
      <c r="G74" s="85" t="s">
        <v>1029</v>
      </c>
      <c r="H74" s="85" t="s">
        <v>1220</v>
      </c>
      <c r="I74" s="85" t="s">
        <v>1283</v>
      </c>
      <c r="J74" s="181"/>
      <c r="K74" s="181"/>
      <c r="AA74" s="177"/>
      <c r="AB74" s="177"/>
      <c r="AC74" s="177"/>
      <c r="AD74" s="177"/>
      <c r="AE74" s="179"/>
      <c r="AF74" s="179"/>
      <c r="AG74" s="179"/>
    </row>
    <row r="75" spans="1:33" x14ac:dyDescent="0.25">
      <c r="A75" s="85">
        <v>111</v>
      </c>
      <c r="E75" s="85" t="s">
        <v>1334</v>
      </c>
      <c r="G75" s="85" t="s">
        <v>1029</v>
      </c>
      <c r="H75" s="85" t="s">
        <v>1179</v>
      </c>
      <c r="I75" s="85" t="s">
        <v>1221</v>
      </c>
      <c r="AA75" s="177"/>
      <c r="AB75" s="177"/>
      <c r="AC75" s="177"/>
      <c r="AD75" s="177"/>
      <c r="AE75" s="179"/>
      <c r="AF75" s="179"/>
      <c r="AG75" s="179"/>
    </row>
    <row r="76" spans="1:33" x14ac:dyDescent="0.25">
      <c r="A76" s="85">
        <v>73</v>
      </c>
      <c r="E76" s="85" t="s">
        <v>1285</v>
      </c>
      <c r="G76" s="85" t="s">
        <v>1029</v>
      </c>
      <c r="H76" s="85" t="s">
        <v>1220</v>
      </c>
      <c r="I76" s="85" t="s">
        <v>1286</v>
      </c>
      <c r="J76" s="181"/>
      <c r="K76" s="181"/>
      <c r="AA76" s="177"/>
      <c r="AB76" s="177"/>
      <c r="AC76" s="177"/>
      <c r="AD76" s="177"/>
      <c r="AE76" s="179"/>
      <c r="AF76" s="179"/>
      <c r="AG76" s="179"/>
    </row>
    <row r="77" spans="1:33" x14ac:dyDescent="0.25">
      <c r="A77" s="85">
        <v>74</v>
      </c>
      <c r="E77" s="85" t="s">
        <v>1287</v>
      </c>
      <c r="G77" s="85" t="s">
        <v>1011</v>
      </c>
      <c r="H77" s="85" t="s">
        <v>1267</v>
      </c>
      <c r="I77" s="85" t="s">
        <v>1288</v>
      </c>
      <c r="AA77" s="177"/>
      <c r="AB77" s="177"/>
      <c r="AC77" s="177"/>
      <c r="AD77" s="177"/>
      <c r="AE77" s="179"/>
      <c r="AF77" s="179"/>
      <c r="AG77" s="179"/>
    </row>
    <row r="78" spans="1:33" x14ac:dyDescent="0.25">
      <c r="A78" s="85">
        <v>75</v>
      </c>
      <c r="E78" s="85" t="s">
        <v>1289</v>
      </c>
      <c r="G78" s="85" t="s">
        <v>1029</v>
      </c>
      <c r="H78" s="85" t="s">
        <v>1220</v>
      </c>
      <c r="I78" s="85" t="s">
        <v>1286</v>
      </c>
      <c r="J78" s="181"/>
      <c r="K78" s="181"/>
      <c r="AA78" s="177"/>
      <c r="AB78" s="177"/>
      <c r="AC78" s="177"/>
      <c r="AD78" s="177"/>
      <c r="AE78" s="179"/>
      <c r="AF78" s="179"/>
      <c r="AG78" s="179"/>
    </row>
    <row r="79" spans="1:33" x14ac:dyDescent="0.25">
      <c r="A79" s="85">
        <v>30</v>
      </c>
      <c r="E79" s="85" t="s">
        <v>1228</v>
      </c>
      <c r="G79" s="85" t="s">
        <v>1011</v>
      </c>
      <c r="H79" s="85" t="s">
        <v>1220</v>
      </c>
      <c r="I79" s="85" t="s">
        <v>1221</v>
      </c>
      <c r="AA79" s="177"/>
      <c r="AB79" s="177"/>
      <c r="AC79" s="177"/>
      <c r="AD79" s="177"/>
      <c r="AE79" s="179"/>
      <c r="AF79" s="179"/>
      <c r="AG79" s="179"/>
    </row>
    <row r="80" spans="1:33" x14ac:dyDescent="0.25">
      <c r="A80" s="85">
        <v>77</v>
      </c>
      <c r="E80" s="85" t="s">
        <v>1291</v>
      </c>
      <c r="G80" s="85" t="s">
        <v>1011</v>
      </c>
      <c r="H80" s="85" t="s">
        <v>1176</v>
      </c>
      <c r="I80" s="85" t="s">
        <v>1249</v>
      </c>
      <c r="J80" s="181"/>
      <c r="K80" s="181"/>
      <c r="AA80" s="177"/>
      <c r="AB80" s="177"/>
      <c r="AC80" s="177"/>
      <c r="AD80" s="177"/>
      <c r="AE80" s="179"/>
      <c r="AF80" s="179"/>
      <c r="AG80" s="179"/>
    </row>
    <row r="81" spans="1:33" x14ac:dyDescent="0.25">
      <c r="A81" s="85">
        <v>78</v>
      </c>
      <c r="E81" s="85" t="s">
        <v>1292</v>
      </c>
      <c r="G81" s="85" t="s">
        <v>1029</v>
      </c>
      <c r="H81" s="85" t="s">
        <v>1176</v>
      </c>
      <c r="I81" s="85" t="s">
        <v>1180</v>
      </c>
      <c r="J81" s="181"/>
      <c r="K81" s="181"/>
      <c r="AA81" s="177"/>
      <c r="AB81" s="177"/>
      <c r="AC81" s="177"/>
      <c r="AD81" s="177"/>
      <c r="AE81" s="179"/>
      <c r="AF81" s="179"/>
      <c r="AG81" s="179"/>
    </row>
    <row r="82" spans="1:33" x14ac:dyDescent="0.25">
      <c r="A82" s="85">
        <v>79</v>
      </c>
      <c r="E82" s="85" t="s">
        <v>1293</v>
      </c>
      <c r="G82" s="85" t="s">
        <v>1029</v>
      </c>
      <c r="H82" s="85" t="s">
        <v>1275</v>
      </c>
      <c r="I82" s="85" t="s">
        <v>1217</v>
      </c>
      <c r="AA82" s="177"/>
      <c r="AB82" s="177"/>
      <c r="AC82" s="177"/>
      <c r="AD82" s="177"/>
      <c r="AE82" s="179"/>
      <c r="AF82" s="179"/>
      <c r="AG82" s="179"/>
    </row>
    <row r="83" spans="1:33" x14ac:dyDescent="0.25">
      <c r="A83" s="85">
        <v>80</v>
      </c>
      <c r="E83" s="85" t="s">
        <v>1294</v>
      </c>
      <c r="G83" s="85" t="s">
        <v>1011</v>
      </c>
      <c r="H83" s="85" t="s">
        <v>1176</v>
      </c>
      <c r="I83" s="85" t="s">
        <v>1217</v>
      </c>
      <c r="AA83" s="177"/>
      <c r="AB83" s="177"/>
      <c r="AC83" s="177"/>
      <c r="AD83" s="177"/>
      <c r="AE83" s="179"/>
      <c r="AF83" s="179"/>
      <c r="AG83" s="179"/>
    </row>
    <row r="84" spans="1:33" x14ac:dyDescent="0.25">
      <c r="A84" s="85">
        <v>81</v>
      </c>
      <c r="E84" s="85" t="s">
        <v>1295</v>
      </c>
      <c r="G84" s="85" t="s">
        <v>1029</v>
      </c>
      <c r="H84" s="85" t="s">
        <v>1176</v>
      </c>
      <c r="I84" s="85" t="s">
        <v>1230</v>
      </c>
      <c r="J84" s="181"/>
      <c r="K84" s="181"/>
      <c r="AA84" s="177"/>
      <c r="AB84" s="177"/>
      <c r="AC84" s="177"/>
      <c r="AD84" s="177"/>
      <c r="AE84" s="179"/>
      <c r="AF84" s="179"/>
      <c r="AG84" s="179"/>
    </row>
    <row r="85" spans="1:33" x14ac:dyDescent="0.25">
      <c r="A85" s="85">
        <v>82</v>
      </c>
      <c r="E85" s="85" t="s">
        <v>1296</v>
      </c>
      <c r="G85" s="85" t="s">
        <v>1029</v>
      </c>
      <c r="H85" s="85" t="s">
        <v>1176</v>
      </c>
      <c r="I85" s="85" t="s">
        <v>1297</v>
      </c>
      <c r="J85" s="181"/>
      <c r="AA85" s="177"/>
      <c r="AB85" s="177"/>
      <c r="AC85" s="177"/>
      <c r="AD85" s="177"/>
      <c r="AE85" s="179"/>
      <c r="AF85" s="179"/>
      <c r="AG85" s="179"/>
    </row>
    <row r="86" spans="1:33" x14ac:dyDescent="0.25">
      <c r="A86" s="85">
        <v>83</v>
      </c>
      <c r="E86" s="85" t="s">
        <v>1298</v>
      </c>
      <c r="G86" s="85" t="s">
        <v>1011</v>
      </c>
      <c r="H86" s="85" t="s">
        <v>1176</v>
      </c>
      <c r="I86" s="85" t="s">
        <v>1217</v>
      </c>
      <c r="AA86" s="177"/>
      <c r="AB86" s="177"/>
      <c r="AC86" s="177"/>
      <c r="AD86" s="177"/>
      <c r="AE86" s="179"/>
      <c r="AF86" s="179"/>
      <c r="AG86" s="179"/>
    </row>
    <row r="87" spans="1:33" x14ac:dyDescent="0.25">
      <c r="A87" s="85">
        <v>84</v>
      </c>
      <c r="E87" s="85" t="s">
        <v>1299</v>
      </c>
      <c r="G87" s="85" t="s">
        <v>1029</v>
      </c>
      <c r="H87" s="85" t="s">
        <v>1176</v>
      </c>
      <c r="I87" s="85" t="s">
        <v>1300</v>
      </c>
      <c r="J87" s="181"/>
      <c r="AA87" s="177"/>
      <c r="AB87" s="177"/>
      <c r="AC87" s="177"/>
      <c r="AD87" s="177"/>
      <c r="AE87" s="179"/>
      <c r="AF87" s="179"/>
      <c r="AG87" s="179"/>
    </row>
    <row r="88" spans="1:33" x14ac:dyDescent="0.25">
      <c r="A88" s="85">
        <v>85</v>
      </c>
      <c r="E88" s="85" t="s">
        <v>1301</v>
      </c>
      <c r="G88" s="85" t="s">
        <v>1029</v>
      </c>
      <c r="H88" s="85" t="s">
        <v>1176</v>
      </c>
      <c r="I88" s="85" t="s">
        <v>1249</v>
      </c>
      <c r="J88" s="181"/>
      <c r="K88" s="181"/>
      <c r="AA88" s="177"/>
      <c r="AB88" s="177"/>
      <c r="AC88" s="177"/>
      <c r="AD88" s="177"/>
      <c r="AE88" s="179"/>
      <c r="AF88" s="179"/>
      <c r="AG88" s="179"/>
    </row>
    <row r="89" spans="1:33" x14ac:dyDescent="0.25">
      <c r="A89" s="85">
        <v>86</v>
      </c>
      <c r="E89" s="85" t="s">
        <v>1302</v>
      </c>
      <c r="G89" s="85" t="s">
        <v>1011</v>
      </c>
      <c r="H89" s="85" t="s">
        <v>1176</v>
      </c>
      <c r="I89" s="85" t="s">
        <v>1297</v>
      </c>
      <c r="AA89" s="177"/>
      <c r="AB89" s="177"/>
      <c r="AC89" s="177"/>
      <c r="AD89" s="177"/>
      <c r="AE89" s="179"/>
      <c r="AF89" s="179"/>
      <c r="AG89" s="179"/>
    </row>
    <row r="90" spans="1:33" x14ac:dyDescent="0.25">
      <c r="A90" s="85">
        <v>87</v>
      </c>
      <c r="E90" s="85" t="s">
        <v>1303</v>
      </c>
      <c r="G90" s="85" t="s">
        <v>1029</v>
      </c>
      <c r="H90" s="85" t="s">
        <v>1176</v>
      </c>
      <c r="I90" s="85" t="s">
        <v>1249</v>
      </c>
      <c r="J90" s="181"/>
      <c r="K90" s="181"/>
      <c r="AA90" s="177"/>
      <c r="AB90" s="177"/>
      <c r="AC90" s="177"/>
      <c r="AD90" s="177"/>
      <c r="AE90" s="179"/>
      <c r="AF90" s="179"/>
      <c r="AG90" s="179"/>
    </row>
    <row r="91" spans="1:33" x14ac:dyDescent="0.25">
      <c r="A91" s="85">
        <v>88</v>
      </c>
      <c r="E91" s="85" t="s">
        <v>1304</v>
      </c>
      <c r="G91" s="85" t="s">
        <v>1011</v>
      </c>
      <c r="H91" s="85" t="s">
        <v>1176</v>
      </c>
      <c r="I91" s="85" t="s">
        <v>1217</v>
      </c>
      <c r="AA91" s="177"/>
      <c r="AB91" s="177"/>
      <c r="AC91" s="177"/>
      <c r="AD91" s="177"/>
      <c r="AE91" s="179"/>
      <c r="AF91" s="179"/>
      <c r="AG91" s="179"/>
    </row>
    <row r="92" spans="1:33" x14ac:dyDescent="0.25">
      <c r="A92" s="85">
        <v>89</v>
      </c>
      <c r="E92" s="85" t="s">
        <v>1305</v>
      </c>
      <c r="G92" s="85" t="s">
        <v>1029</v>
      </c>
      <c r="H92" s="85" t="s">
        <v>1176</v>
      </c>
      <c r="I92" s="85" t="s">
        <v>1306</v>
      </c>
      <c r="J92" s="181"/>
      <c r="AA92" s="177"/>
      <c r="AB92" s="177"/>
      <c r="AC92" s="177"/>
      <c r="AD92" s="177"/>
      <c r="AE92" s="179"/>
      <c r="AF92" s="179"/>
      <c r="AG92" s="179"/>
    </row>
    <row r="93" spans="1:33" x14ac:dyDescent="0.25">
      <c r="A93" s="85">
        <v>90</v>
      </c>
      <c r="E93" s="85" t="s">
        <v>1307</v>
      </c>
      <c r="G93" s="85" t="s">
        <v>1011</v>
      </c>
      <c r="H93" s="85" t="s">
        <v>1176</v>
      </c>
      <c r="I93" s="85" t="s">
        <v>1217</v>
      </c>
      <c r="AA93" s="177"/>
      <c r="AB93" s="177"/>
      <c r="AC93" s="177"/>
      <c r="AD93" s="177"/>
      <c r="AE93" s="179"/>
      <c r="AF93" s="179"/>
      <c r="AG93" s="179"/>
    </row>
    <row r="94" spans="1:33" x14ac:dyDescent="0.25">
      <c r="A94" s="85">
        <v>91</v>
      </c>
      <c r="E94" s="85" t="s">
        <v>1308</v>
      </c>
      <c r="G94" s="85" t="s">
        <v>1029</v>
      </c>
      <c r="H94" s="85" t="s">
        <v>1176</v>
      </c>
      <c r="I94" s="85" t="s">
        <v>1309</v>
      </c>
      <c r="J94" s="181"/>
      <c r="AA94" s="177"/>
      <c r="AB94" s="177"/>
      <c r="AC94" s="177"/>
      <c r="AD94" s="177"/>
      <c r="AE94" s="179"/>
      <c r="AF94" s="179"/>
      <c r="AG94" s="179"/>
    </row>
    <row r="95" spans="1:33" x14ac:dyDescent="0.25">
      <c r="A95" s="85">
        <v>92</v>
      </c>
      <c r="E95" s="85" t="s">
        <v>1310</v>
      </c>
      <c r="G95" s="85" t="s">
        <v>1029</v>
      </c>
      <c r="H95" s="85" t="s">
        <v>1176</v>
      </c>
      <c r="I95" s="85" t="s">
        <v>1309</v>
      </c>
      <c r="J95" s="181"/>
      <c r="AA95" s="177"/>
      <c r="AB95" s="177"/>
      <c r="AC95" s="177"/>
      <c r="AD95" s="177"/>
      <c r="AE95" s="179"/>
      <c r="AF95" s="179"/>
      <c r="AG95" s="179"/>
    </row>
    <row r="96" spans="1:33" x14ac:dyDescent="0.25">
      <c r="A96" s="85">
        <v>93</v>
      </c>
      <c r="E96" s="85" t="s">
        <v>1311</v>
      </c>
      <c r="G96" s="85" t="s">
        <v>1029</v>
      </c>
      <c r="H96" s="85" t="s">
        <v>1176</v>
      </c>
      <c r="I96" s="85" t="s">
        <v>1312</v>
      </c>
      <c r="J96" s="181"/>
      <c r="K96" s="181"/>
      <c r="AA96" s="177"/>
      <c r="AB96" s="177"/>
      <c r="AC96" s="177"/>
      <c r="AD96" s="177"/>
      <c r="AE96" s="179"/>
      <c r="AF96" s="179"/>
      <c r="AG96" s="179"/>
    </row>
    <row r="97" spans="1:33" x14ac:dyDescent="0.25">
      <c r="A97" s="85">
        <v>94</v>
      </c>
      <c r="E97" s="85" t="s">
        <v>1313</v>
      </c>
      <c r="G97" s="85" t="s">
        <v>1029</v>
      </c>
      <c r="H97" s="85" t="s">
        <v>1201</v>
      </c>
      <c r="I97" s="85" t="s">
        <v>1314</v>
      </c>
      <c r="J97" s="181"/>
      <c r="AA97" s="177"/>
      <c r="AB97" s="177"/>
      <c r="AC97" s="177"/>
      <c r="AD97" s="177"/>
      <c r="AE97" s="179"/>
      <c r="AF97" s="179"/>
      <c r="AG97" s="179"/>
    </row>
    <row r="98" spans="1:33" x14ac:dyDescent="0.25">
      <c r="A98" s="85">
        <v>95</v>
      </c>
      <c r="E98" s="85" t="s">
        <v>1315</v>
      </c>
      <c r="G98" s="85" t="s">
        <v>1029</v>
      </c>
      <c r="H98" s="85" t="s">
        <v>1176</v>
      </c>
      <c r="I98" s="85" t="s">
        <v>1217</v>
      </c>
      <c r="AA98" s="177"/>
      <c r="AB98" s="177"/>
      <c r="AC98" s="177"/>
      <c r="AD98" s="177"/>
      <c r="AE98" s="179"/>
      <c r="AF98" s="179"/>
      <c r="AG98" s="179"/>
    </row>
    <row r="99" spans="1:33" x14ac:dyDescent="0.25">
      <c r="A99" s="85">
        <v>96</v>
      </c>
      <c r="E99" s="85" t="s">
        <v>1316</v>
      </c>
      <c r="G99" s="85" t="s">
        <v>1011</v>
      </c>
      <c r="H99" s="85" t="s">
        <v>1176</v>
      </c>
      <c r="I99" s="85" t="s">
        <v>1317</v>
      </c>
      <c r="AA99" s="177"/>
      <c r="AB99" s="177"/>
      <c r="AC99" s="177"/>
      <c r="AD99" s="177"/>
      <c r="AE99" s="179"/>
      <c r="AF99" s="179"/>
      <c r="AG99" s="179"/>
    </row>
    <row r="100" spans="1:33" x14ac:dyDescent="0.25">
      <c r="A100" s="85">
        <v>97</v>
      </c>
      <c r="E100" s="85" t="s">
        <v>1318</v>
      </c>
      <c r="G100" s="85" t="s">
        <v>1029</v>
      </c>
      <c r="H100" s="85" t="s">
        <v>1176</v>
      </c>
      <c r="I100" s="85" t="s">
        <v>1230</v>
      </c>
      <c r="J100" s="181"/>
      <c r="K100" s="181"/>
      <c r="AA100" s="177"/>
      <c r="AB100" s="177"/>
      <c r="AC100" s="177"/>
      <c r="AD100" s="177"/>
      <c r="AE100" s="179"/>
      <c r="AF100" s="179"/>
      <c r="AG100" s="179"/>
    </row>
    <row r="101" spans="1:33" x14ac:dyDescent="0.25">
      <c r="A101" s="85">
        <v>98</v>
      </c>
      <c r="E101" s="85" t="s">
        <v>1319</v>
      </c>
      <c r="G101" s="85" t="s">
        <v>1011</v>
      </c>
      <c r="H101" s="85" t="s">
        <v>1267</v>
      </c>
      <c r="I101" s="85" t="s">
        <v>1186</v>
      </c>
      <c r="J101" s="181"/>
      <c r="K101" s="181"/>
      <c r="AA101" s="177"/>
      <c r="AB101" s="177"/>
      <c r="AC101" s="177"/>
      <c r="AD101" s="177"/>
      <c r="AE101" s="179"/>
      <c r="AF101" s="179"/>
      <c r="AG101" s="179"/>
    </row>
    <row r="102" spans="1:33" x14ac:dyDescent="0.25">
      <c r="A102" s="85">
        <v>107</v>
      </c>
      <c r="E102" s="85" t="s">
        <v>1329</v>
      </c>
      <c r="G102" s="85" t="s">
        <v>1011</v>
      </c>
      <c r="H102" s="85" t="s">
        <v>1267</v>
      </c>
      <c r="I102" s="85" t="s">
        <v>1221</v>
      </c>
      <c r="AA102" s="177"/>
      <c r="AB102" s="177"/>
      <c r="AC102" s="177"/>
      <c r="AD102" s="177"/>
      <c r="AE102" s="179"/>
      <c r="AF102" s="179"/>
      <c r="AG102" s="179"/>
    </row>
    <row r="103" spans="1:33" x14ac:dyDescent="0.25">
      <c r="A103" s="85">
        <v>100</v>
      </c>
      <c r="E103" s="85" t="s">
        <v>1321</v>
      </c>
      <c r="G103" s="85" t="s">
        <v>1029</v>
      </c>
      <c r="H103" s="85" t="s">
        <v>1267</v>
      </c>
      <c r="I103" s="85" t="s">
        <v>1177</v>
      </c>
      <c r="J103" s="181"/>
      <c r="K103" s="181"/>
      <c r="AA103" s="177"/>
      <c r="AB103" s="177"/>
      <c r="AC103" s="177"/>
      <c r="AD103" s="177"/>
      <c r="AE103" s="179"/>
      <c r="AF103" s="179"/>
      <c r="AG103" s="179"/>
    </row>
    <row r="104" spans="1:33" x14ac:dyDescent="0.25">
      <c r="A104" s="85">
        <v>101</v>
      </c>
      <c r="E104" s="85" t="s">
        <v>1322</v>
      </c>
      <c r="G104" s="85" t="s">
        <v>1011</v>
      </c>
      <c r="H104" s="85" t="s">
        <v>1267</v>
      </c>
      <c r="I104" s="85" t="s">
        <v>1323</v>
      </c>
      <c r="AA104" s="177"/>
      <c r="AB104" s="177"/>
      <c r="AC104" s="177"/>
      <c r="AD104" s="177"/>
      <c r="AE104" s="179"/>
      <c r="AF104" s="179"/>
      <c r="AG104" s="179"/>
    </row>
    <row r="105" spans="1:33" x14ac:dyDescent="0.25">
      <c r="A105" s="85">
        <v>102</v>
      </c>
      <c r="E105" s="85" t="s">
        <v>1324</v>
      </c>
      <c r="G105" s="85" t="s">
        <v>1029</v>
      </c>
      <c r="H105" s="85" t="s">
        <v>1201</v>
      </c>
      <c r="I105" s="85" t="s">
        <v>1217</v>
      </c>
      <c r="AA105" s="177"/>
      <c r="AB105" s="177"/>
      <c r="AC105" s="177"/>
      <c r="AD105" s="177"/>
      <c r="AE105" s="179"/>
      <c r="AF105" s="179"/>
      <c r="AG105" s="179"/>
    </row>
    <row r="106" spans="1:33" x14ac:dyDescent="0.25">
      <c r="A106" s="85">
        <v>59</v>
      </c>
      <c r="E106" s="85" t="s">
        <v>1266</v>
      </c>
      <c r="G106" s="85" t="s">
        <v>1011</v>
      </c>
      <c r="H106" s="85" t="s">
        <v>1267</v>
      </c>
      <c r="I106" s="85" t="s">
        <v>1221</v>
      </c>
      <c r="AA106" s="177"/>
      <c r="AB106" s="177"/>
      <c r="AC106" s="177"/>
      <c r="AD106" s="177"/>
      <c r="AE106" s="179"/>
      <c r="AF106" s="179"/>
      <c r="AG106" s="179"/>
    </row>
    <row r="107" spans="1:33" x14ac:dyDescent="0.25">
      <c r="A107" s="85">
        <v>104</v>
      </c>
      <c r="E107" s="85" t="s">
        <v>1326</v>
      </c>
      <c r="G107" s="85" t="s">
        <v>1029</v>
      </c>
      <c r="H107" s="85" t="s">
        <v>1201</v>
      </c>
      <c r="I107" s="85" t="s">
        <v>1217</v>
      </c>
      <c r="AA107" s="177"/>
      <c r="AB107" s="177"/>
      <c r="AC107" s="177"/>
      <c r="AD107" s="177"/>
      <c r="AE107" s="179"/>
      <c r="AF107" s="179"/>
      <c r="AG107" s="179"/>
    </row>
    <row r="108" spans="1:33" x14ac:dyDescent="0.25">
      <c r="A108" s="85">
        <v>105</v>
      </c>
      <c r="E108" s="85" t="s">
        <v>1327</v>
      </c>
      <c r="G108" s="85" t="s">
        <v>1011</v>
      </c>
      <c r="H108" s="85" t="s">
        <v>1267</v>
      </c>
      <c r="I108" s="85" t="s">
        <v>1283</v>
      </c>
      <c r="J108" s="181"/>
      <c r="K108" s="181"/>
      <c r="AA108" s="177"/>
      <c r="AB108" s="177"/>
      <c r="AC108" s="177"/>
      <c r="AD108" s="177"/>
      <c r="AE108" s="179"/>
      <c r="AF108" s="179"/>
      <c r="AG108" s="179"/>
    </row>
    <row r="109" spans="1:33" x14ac:dyDescent="0.25">
      <c r="A109" s="85">
        <v>106</v>
      </c>
      <c r="E109" s="85" t="s">
        <v>1328</v>
      </c>
      <c r="G109" s="85" t="s">
        <v>1029</v>
      </c>
      <c r="H109" s="85" t="s">
        <v>1267</v>
      </c>
      <c r="I109" s="85" t="s">
        <v>1177</v>
      </c>
      <c r="J109" s="181"/>
      <c r="K109" s="181"/>
      <c r="AA109" s="177" t="s">
        <v>1780</v>
      </c>
      <c r="AB109" s="224">
        <v>43446</v>
      </c>
      <c r="AC109" s="177"/>
      <c r="AD109" s="177"/>
      <c r="AE109" s="179"/>
      <c r="AF109" s="179"/>
      <c r="AG109" s="179"/>
    </row>
    <row r="110" spans="1:33" x14ac:dyDescent="0.25">
      <c r="A110" s="85">
        <v>61</v>
      </c>
      <c r="E110" s="85" t="s">
        <v>1270</v>
      </c>
      <c r="G110" s="85" t="s">
        <v>1029</v>
      </c>
      <c r="H110" s="85" t="s">
        <v>1220</v>
      </c>
      <c r="I110" s="85" t="s">
        <v>1221</v>
      </c>
      <c r="AA110" s="177"/>
      <c r="AB110" s="177"/>
      <c r="AC110" s="177"/>
      <c r="AD110" s="177"/>
      <c r="AE110" s="179"/>
      <c r="AF110" s="179"/>
      <c r="AG110" s="179"/>
    </row>
    <row r="111" spans="1:33" x14ac:dyDescent="0.25">
      <c r="A111" s="85">
        <v>108</v>
      </c>
      <c r="E111" s="85" t="s">
        <v>1330</v>
      </c>
      <c r="G111" s="85" t="s">
        <v>1029</v>
      </c>
      <c r="H111" s="85" t="s">
        <v>1267</v>
      </c>
      <c r="I111" s="85" t="s">
        <v>1237</v>
      </c>
      <c r="J111" s="181"/>
      <c r="K111" s="181"/>
      <c r="AA111" s="177" t="s">
        <v>1780</v>
      </c>
      <c r="AB111" s="224">
        <v>43444</v>
      </c>
      <c r="AC111" s="177"/>
      <c r="AD111" s="177"/>
      <c r="AE111" s="179"/>
      <c r="AF111" s="179"/>
      <c r="AG111" s="179"/>
    </row>
    <row r="112" spans="1:33" x14ac:dyDescent="0.25">
      <c r="A112" s="85">
        <v>99</v>
      </c>
      <c r="E112" s="85" t="s">
        <v>1320</v>
      </c>
      <c r="G112" s="85" t="s">
        <v>1029</v>
      </c>
      <c r="H112" s="85" t="s">
        <v>1267</v>
      </c>
      <c r="I112" s="85" t="s">
        <v>1221</v>
      </c>
      <c r="AA112" s="177" t="s">
        <v>1780</v>
      </c>
      <c r="AB112" s="224">
        <v>43441</v>
      </c>
      <c r="AC112" s="177"/>
      <c r="AD112" s="177"/>
      <c r="AE112" s="179"/>
      <c r="AF112" s="179"/>
      <c r="AG112" s="179"/>
    </row>
    <row r="113" spans="1:33" x14ac:dyDescent="0.25">
      <c r="A113" s="85">
        <v>110</v>
      </c>
      <c r="E113" s="85" t="s">
        <v>1332</v>
      </c>
      <c r="G113" s="85" t="s">
        <v>1029</v>
      </c>
      <c r="H113" s="85" t="s">
        <v>1201</v>
      </c>
      <c r="I113" s="85" t="s">
        <v>1333</v>
      </c>
      <c r="J113" s="181"/>
      <c r="K113" s="181"/>
      <c r="AA113" s="177"/>
      <c r="AB113" s="177"/>
      <c r="AC113" s="177"/>
      <c r="AD113" s="177"/>
      <c r="AE113" s="179"/>
      <c r="AF113" s="179"/>
      <c r="AG113" s="179"/>
    </row>
    <row r="114" spans="1:33" x14ac:dyDescent="0.25">
      <c r="A114" s="85">
        <v>72</v>
      </c>
      <c r="E114" s="85" t="s">
        <v>1284</v>
      </c>
      <c r="G114" s="85" t="s">
        <v>1011</v>
      </c>
      <c r="H114" s="85" t="s">
        <v>1220</v>
      </c>
      <c r="I114" s="85" t="s">
        <v>1221</v>
      </c>
      <c r="AA114" s="177"/>
      <c r="AB114" s="177"/>
      <c r="AC114" s="177"/>
      <c r="AD114" s="177"/>
      <c r="AE114" s="179"/>
      <c r="AF114" s="179"/>
      <c r="AG114" s="179"/>
    </row>
    <row r="115" spans="1:33" x14ac:dyDescent="0.25">
      <c r="A115" s="85">
        <v>112</v>
      </c>
      <c r="E115" s="85" t="s">
        <v>1335</v>
      </c>
      <c r="G115" s="85" t="s">
        <v>1029</v>
      </c>
      <c r="H115" s="85" t="s">
        <v>1267</v>
      </c>
      <c r="I115" s="85" t="s">
        <v>1177</v>
      </c>
      <c r="J115" s="181"/>
      <c r="AA115" s="177" t="s">
        <v>1790</v>
      </c>
      <c r="AB115" s="224">
        <v>43446</v>
      </c>
      <c r="AC115" s="177"/>
      <c r="AD115" s="177"/>
      <c r="AE115" s="179"/>
      <c r="AF115" s="179"/>
      <c r="AG115" s="179"/>
    </row>
    <row r="116" spans="1:33" x14ac:dyDescent="0.25">
      <c r="A116" s="85">
        <v>113</v>
      </c>
      <c r="E116" s="85" t="s">
        <v>1336</v>
      </c>
      <c r="G116" s="85" t="s">
        <v>1029</v>
      </c>
      <c r="H116" s="85" t="s">
        <v>1267</v>
      </c>
      <c r="I116" s="85" t="s">
        <v>1337</v>
      </c>
      <c r="J116" s="181"/>
      <c r="AA116" s="177"/>
      <c r="AB116" s="177"/>
      <c r="AC116" s="177"/>
      <c r="AD116" s="177"/>
      <c r="AE116" s="179"/>
      <c r="AF116" s="179"/>
      <c r="AG116" s="179"/>
    </row>
    <row r="117" spans="1:33" x14ac:dyDescent="0.25">
      <c r="A117" s="85">
        <v>114</v>
      </c>
      <c r="E117" s="85" t="s">
        <v>1338</v>
      </c>
      <c r="G117" s="85" t="s">
        <v>1029</v>
      </c>
      <c r="H117" s="85" t="s">
        <v>1267</v>
      </c>
      <c r="I117" s="85" t="s">
        <v>1339</v>
      </c>
      <c r="J117" s="181"/>
      <c r="K117" s="181"/>
      <c r="AA117" s="177"/>
      <c r="AB117" s="177"/>
      <c r="AC117" s="177"/>
      <c r="AD117" s="177"/>
      <c r="AE117" s="179"/>
      <c r="AF117" s="179"/>
      <c r="AG117" s="179"/>
    </row>
    <row r="118" spans="1:33" x14ac:dyDescent="0.25">
      <c r="A118" s="85">
        <v>115</v>
      </c>
      <c r="E118" s="85" t="s">
        <v>1340</v>
      </c>
      <c r="G118" s="85" t="s">
        <v>1029</v>
      </c>
      <c r="H118" s="85" t="s">
        <v>1201</v>
      </c>
      <c r="I118" s="85" t="s">
        <v>1339</v>
      </c>
      <c r="J118" s="181"/>
      <c r="K118" s="181"/>
      <c r="AA118" s="177"/>
      <c r="AB118" s="177"/>
      <c r="AC118" s="177"/>
      <c r="AD118" s="177"/>
      <c r="AE118" s="179"/>
      <c r="AF118" s="179"/>
      <c r="AG118" s="179"/>
    </row>
    <row r="119" spans="1:33" x14ac:dyDescent="0.25">
      <c r="A119" s="85">
        <v>116</v>
      </c>
      <c r="E119" s="85" t="s">
        <v>1341</v>
      </c>
      <c r="G119" s="85" t="s">
        <v>1029</v>
      </c>
      <c r="H119" s="85" t="s">
        <v>1201</v>
      </c>
      <c r="I119" s="85" t="s">
        <v>1323</v>
      </c>
      <c r="J119" s="181"/>
      <c r="AA119" s="177"/>
      <c r="AB119" s="177"/>
      <c r="AC119" s="177"/>
      <c r="AD119" s="177"/>
      <c r="AE119" s="179"/>
      <c r="AF119" s="179"/>
      <c r="AG119" s="179"/>
    </row>
    <row r="120" spans="1:33" x14ac:dyDescent="0.25">
      <c r="A120" s="85">
        <v>122</v>
      </c>
      <c r="E120" s="85" t="s">
        <v>1347</v>
      </c>
      <c r="G120" s="85" t="s">
        <v>1029</v>
      </c>
      <c r="H120" s="85" t="s">
        <v>1267</v>
      </c>
      <c r="I120" s="85" t="s">
        <v>1221</v>
      </c>
      <c r="AA120" s="177"/>
      <c r="AB120" s="177"/>
      <c r="AC120" s="177"/>
      <c r="AD120" s="177"/>
      <c r="AE120" s="179"/>
      <c r="AF120" s="179"/>
      <c r="AG120" s="179"/>
    </row>
    <row r="121" spans="1:33" x14ac:dyDescent="0.25">
      <c r="A121" s="85">
        <v>118</v>
      </c>
      <c r="E121" s="85" t="s">
        <v>1343</v>
      </c>
      <c r="G121" s="85" t="s">
        <v>1029</v>
      </c>
      <c r="H121" s="85" t="s">
        <v>1201</v>
      </c>
      <c r="I121" s="85" t="s">
        <v>1237</v>
      </c>
      <c r="J121" s="181"/>
      <c r="K121" s="181"/>
      <c r="AA121" s="177" t="s">
        <v>1780</v>
      </c>
      <c r="AB121" s="224">
        <v>43444</v>
      </c>
      <c r="AC121" s="177"/>
      <c r="AD121" s="177"/>
      <c r="AE121" s="179"/>
      <c r="AF121" s="179"/>
      <c r="AG121" s="179"/>
    </row>
    <row r="122" spans="1:33" x14ac:dyDescent="0.25">
      <c r="A122" s="85">
        <v>119</v>
      </c>
      <c r="E122" s="85" t="s">
        <v>1344</v>
      </c>
      <c r="G122" s="85" t="s">
        <v>1029</v>
      </c>
      <c r="H122" s="85" t="s">
        <v>1201</v>
      </c>
      <c r="I122" s="85" t="s">
        <v>1269</v>
      </c>
      <c r="J122" s="181"/>
      <c r="K122" s="181"/>
      <c r="AA122" s="177"/>
      <c r="AB122" s="177"/>
      <c r="AC122" s="177"/>
      <c r="AD122" s="177"/>
      <c r="AE122" s="179"/>
      <c r="AF122" s="179"/>
      <c r="AG122" s="179"/>
    </row>
    <row r="123" spans="1:33" x14ac:dyDescent="0.25">
      <c r="A123" s="85">
        <v>120</v>
      </c>
      <c r="E123" s="85" t="s">
        <v>1345</v>
      </c>
      <c r="G123" s="85" t="s">
        <v>1029</v>
      </c>
      <c r="H123" s="85" t="s">
        <v>1201</v>
      </c>
      <c r="I123" s="85" t="s">
        <v>1237</v>
      </c>
      <c r="J123" s="181"/>
      <c r="K123" s="181"/>
      <c r="AA123" s="177"/>
      <c r="AB123" s="177"/>
      <c r="AC123" s="177"/>
      <c r="AD123" s="177"/>
      <c r="AE123" s="179"/>
      <c r="AF123" s="179"/>
      <c r="AG123" s="179"/>
    </row>
    <row r="124" spans="1:33" x14ac:dyDescent="0.25">
      <c r="A124" s="85">
        <v>121</v>
      </c>
      <c r="E124" s="85" t="s">
        <v>1346</v>
      </c>
      <c r="G124" s="85" t="s">
        <v>1029</v>
      </c>
      <c r="H124" s="85" t="s">
        <v>1176</v>
      </c>
      <c r="I124" s="85" t="s">
        <v>1323</v>
      </c>
      <c r="J124" s="181"/>
      <c r="AA124" s="177"/>
      <c r="AB124" s="177"/>
      <c r="AC124" s="177"/>
      <c r="AD124" s="177"/>
      <c r="AE124" s="179"/>
      <c r="AF124" s="179"/>
      <c r="AG124" s="179"/>
    </row>
    <row r="125" spans="1:33" x14ac:dyDescent="0.25">
      <c r="A125" s="85">
        <v>70</v>
      </c>
      <c r="E125" s="85" t="s">
        <v>1281</v>
      </c>
      <c r="G125" s="85" t="s">
        <v>1011</v>
      </c>
      <c r="H125" s="85" t="s">
        <v>1220</v>
      </c>
      <c r="I125" s="85" t="s">
        <v>1221</v>
      </c>
      <c r="AA125" s="177"/>
      <c r="AB125" s="177"/>
      <c r="AC125" s="177"/>
      <c r="AD125" s="177"/>
      <c r="AE125" s="179"/>
      <c r="AF125" s="179"/>
      <c r="AG125" s="179"/>
    </row>
    <row r="126" spans="1:33" x14ac:dyDescent="0.25">
      <c r="A126" s="85">
        <v>123</v>
      </c>
      <c r="E126" s="85" t="s">
        <v>1348</v>
      </c>
      <c r="G126" s="85" t="s">
        <v>1011</v>
      </c>
      <c r="H126" s="85" t="s">
        <v>1275</v>
      </c>
      <c r="I126" s="85" t="s">
        <v>1339</v>
      </c>
      <c r="J126" s="181"/>
      <c r="K126" s="181"/>
      <c r="AA126" s="177"/>
      <c r="AB126" s="177"/>
      <c r="AC126" s="177"/>
      <c r="AD126" s="177"/>
      <c r="AE126" s="179"/>
      <c r="AF126" s="179"/>
      <c r="AG126" s="179"/>
    </row>
    <row r="127" spans="1:33" x14ac:dyDescent="0.25">
      <c r="A127" s="85">
        <v>109</v>
      </c>
      <c r="E127" s="85" t="s">
        <v>1331</v>
      </c>
      <c r="G127" s="85" t="s">
        <v>1029</v>
      </c>
      <c r="H127" s="85" t="s">
        <v>1176</v>
      </c>
      <c r="I127" s="85" t="s">
        <v>1221</v>
      </c>
      <c r="AA127" s="177"/>
      <c r="AB127" s="177"/>
      <c r="AC127" s="177"/>
      <c r="AD127" s="177"/>
      <c r="AE127" s="179"/>
      <c r="AF127" s="179"/>
      <c r="AG127" s="179"/>
    </row>
    <row r="128" spans="1:33" x14ac:dyDescent="0.25">
      <c r="A128" s="85">
        <v>128</v>
      </c>
      <c r="E128" s="85" t="s">
        <v>1354</v>
      </c>
      <c r="G128" s="85" t="s">
        <v>1029</v>
      </c>
      <c r="H128" s="85" t="s">
        <v>1201</v>
      </c>
      <c r="I128" s="85" t="s">
        <v>1221</v>
      </c>
      <c r="AA128" s="177"/>
      <c r="AB128" s="177"/>
      <c r="AC128" s="177"/>
      <c r="AD128" s="177"/>
      <c r="AE128" s="179"/>
      <c r="AF128" s="179"/>
      <c r="AG128" s="179"/>
    </row>
    <row r="129" spans="1:33" x14ac:dyDescent="0.25">
      <c r="A129" s="85">
        <v>126</v>
      </c>
      <c r="E129" s="85" t="s">
        <v>1351</v>
      </c>
      <c r="G129" s="85" t="s">
        <v>1029</v>
      </c>
      <c r="H129" s="85" t="s">
        <v>1201</v>
      </c>
      <c r="I129" s="85" t="s">
        <v>1339</v>
      </c>
      <c r="J129" s="181"/>
      <c r="K129" s="181"/>
      <c r="AA129" s="177" t="s">
        <v>1780</v>
      </c>
      <c r="AB129" s="224">
        <v>43444</v>
      </c>
      <c r="AC129" s="177"/>
      <c r="AD129" s="177"/>
      <c r="AE129" s="179"/>
      <c r="AF129" s="179"/>
      <c r="AG129" s="179"/>
    </row>
    <row r="130" spans="1:33" x14ac:dyDescent="0.25">
      <c r="A130" s="85">
        <v>127</v>
      </c>
      <c r="E130" s="85" t="s">
        <v>1352</v>
      </c>
      <c r="G130" s="85" t="s">
        <v>1029</v>
      </c>
      <c r="H130" s="85" t="s">
        <v>1201</v>
      </c>
      <c r="I130" s="85" t="s">
        <v>1353</v>
      </c>
      <c r="J130" s="181"/>
      <c r="AA130" s="177"/>
      <c r="AB130" s="177"/>
      <c r="AC130" s="177"/>
      <c r="AD130" s="177"/>
      <c r="AE130" s="179"/>
      <c r="AF130" s="179"/>
      <c r="AG130" s="179"/>
    </row>
    <row r="131" spans="1:33" x14ac:dyDescent="0.25">
      <c r="A131" s="85">
        <v>117</v>
      </c>
      <c r="E131" s="85" t="s">
        <v>1342</v>
      </c>
      <c r="G131" s="85" t="s">
        <v>1029</v>
      </c>
      <c r="H131" s="85" t="s">
        <v>1275</v>
      </c>
      <c r="I131" s="85" t="s">
        <v>1221</v>
      </c>
      <c r="AA131" s="177"/>
      <c r="AB131" s="177"/>
      <c r="AC131" s="177"/>
      <c r="AD131" s="177"/>
      <c r="AE131" s="179"/>
      <c r="AF131" s="179"/>
      <c r="AG131" s="179"/>
    </row>
    <row r="132" spans="1:33" x14ac:dyDescent="0.25">
      <c r="A132" s="85">
        <v>129</v>
      </c>
      <c r="E132" s="85" t="s">
        <v>1355</v>
      </c>
      <c r="G132" s="85" t="s">
        <v>1011</v>
      </c>
      <c r="H132" s="85" t="s">
        <v>1201</v>
      </c>
      <c r="I132" s="85" t="s">
        <v>1283</v>
      </c>
      <c r="AA132" s="177"/>
      <c r="AB132" s="177"/>
      <c r="AC132" s="177"/>
      <c r="AD132" s="177"/>
      <c r="AE132" s="179"/>
      <c r="AF132" s="179"/>
      <c r="AG132" s="179"/>
    </row>
    <row r="133" spans="1:33" x14ac:dyDescent="0.25">
      <c r="A133" s="85">
        <v>130</v>
      </c>
      <c r="E133" s="85" t="s">
        <v>1356</v>
      </c>
      <c r="G133" s="85" t="s">
        <v>1011</v>
      </c>
      <c r="H133" s="85" t="s">
        <v>1201</v>
      </c>
      <c r="I133" s="85" t="s">
        <v>1357</v>
      </c>
      <c r="AA133" s="177"/>
      <c r="AB133" s="177"/>
      <c r="AC133" s="177"/>
      <c r="AD133" s="177"/>
      <c r="AE133" s="179"/>
      <c r="AF133" s="179"/>
      <c r="AG133" s="179"/>
    </row>
    <row r="134" spans="1:33" x14ac:dyDescent="0.25">
      <c r="A134" s="85">
        <v>131</v>
      </c>
      <c r="E134" s="85" t="s">
        <v>1358</v>
      </c>
      <c r="G134" s="85" t="s">
        <v>1029</v>
      </c>
      <c r="H134" s="85" t="s">
        <v>1201</v>
      </c>
      <c r="I134" s="85" t="s">
        <v>1269</v>
      </c>
      <c r="J134" s="181"/>
      <c r="K134" s="181"/>
      <c r="AA134" s="177"/>
      <c r="AB134" s="177"/>
      <c r="AC134" s="177"/>
      <c r="AD134" s="177"/>
      <c r="AE134" s="179"/>
      <c r="AF134" s="179"/>
      <c r="AG134" s="179"/>
    </row>
    <row r="135" spans="1:33" x14ac:dyDescent="0.25">
      <c r="A135" s="85">
        <v>132</v>
      </c>
      <c r="E135" s="85" t="s">
        <v>1359</v>
      </c>
      <c r="G135" s="85" t="s">
        <v>1011</v>
      </c>
      <c r="H135" s="85" t="s">
        <v>1201</v>
      </c>
      <c r="I135" s="85" t="s">
        <v>1339</v>
      </c>
      <c r="J135" s="181"/>
      <c r="K135" s="181"/>
      <c r="AA135" s="177"/>
      <c r="AB135" s="177"/>
      <c r="AC135" s="177"/>
      <c r="AD135" s="177"/>
      <c r="AE135" s="179"/>
      <c r="AF135" s="179"/>
      <c r="AG135" s="179"/>
    </row>
    <row r="136" spans="1:33" x14ac:dyDescent="0.25">
      <c r="A136" s="85">
        <v>133</v>
      </c>
      <c r="E136" s="85" t="s">
        <v>1360</v>
      </c>
      <c r="G136" s="85" t="s">
        <v>1029</v>
      </c>
      <c r="H136" s="85" t="s">
        <v>1176</v>
      </c>
      <c r="I136" s="85" t="s">
        <v>1230</v>
      </c>
      <c r="J136" s="181"/>
      <c r="K136" s="181"/>
      <c r="AA136" s="177"/>
      <c r="AB136" s="177"/>
      <c r="AC136" s="177"/>
      <c r="AD136" s="177"/>
      <c r="AE136" s="179"/>
      <c r="AF136" s="179"/>
      <c r="AG136" s="179"/>
    </row>
    <row r="137" spans="1:33" x14ac:dyDescent="0.25">
      <c r="A137" s="85">
        <v>134</v>
      </c>
      <c r="E137" s="85" t="s">
        <v>1361</v>
      </c>
      <c r="G137" s="85" t="s">
        <v>1011</v>
      </c>
      <c r="H137" s="85" t="s">
        <v>1201</v>
      </c>
      <c r="I137" s="85" t="s">
        <v>1362</v>
      </c>
      <c r="J137" s="181"/>
      <c r="K137" s="181"/>
      <c r="AA137" s="177"/>
      <c r="AB137" s="177"/>
      <c r="AC137" s="177"/>
      <c r="AD137" s="177"/>
      <c r="AE137" s="179"/>
      <c r="AF137" s="179"/>
      <c r="AG137" s="179"/>
    </row>
    <row r="138" spans="1:33" x14ac:dyDescent="0.25">
      <c r="A138" s="85">
        <v>135</v>
      </c>
      <c r="E138" s="85" t="s">
        <v>1363</v>
      </c>
      <c r="G138" s="85" t="s">
        <v>1029</v>
      </c>
      <c r="H138" s="85" t="s">
        <v>1201</v>
      </c>
      <c r="I138" s="85" t="s">
        <v>1364</v>
      </c>
      <c r="J138" s="181"/>
      <c r="K138" s="181"/>
      <c r="AA138" s="177"/>
      <c r="AB138" s="177"/>
      <c r="AC138" s="177"/>
      <c r="AD138" s="177"/>
      <c r="AE138" s="179"/>
      <c r="AF138" s="179"/>
      <c r="AG138" s="179"/>
    </row>
    <row r="139" spans="1:33" x14ac:dyDescent="0.25">
      <c r="A139" s="85">
        <v>136</v>
      </c>
      <c r="E139" s="85" t="s">
        <v>1365</v>
      </c>
      <c r="G139" s="85" t="s">
        <v>1029</v>
      </c>
      <c r="H139" s="85" t="s">
        <v>1366</v>
      </c>
      <c r="I139" s="85" t="s">
        <v>1367</v>
      </c>
      <c r="J139" s="181"/>
      <c r="K139" s="181"/>
      <c r="AA139" s="177"/>
      <c r="AB139" s="177"/>
      <c r="AC139" s="177"/>
      <c r="AD139" s="177"/>
      <c r="AE139" s="179"/>
      <c r="AF139" s="179"/>
      <c r="AG139" s="179"/>
    </row>
    <row r="140" spans="1:33" x14ac:dyDescent="0.25">
      <c r="A140" s="85">
        <v>137</v>
      </c>
      <c r="E140" s="85" t="s">
        <v>1368</v>
      </c>
      <c r="G140" s="85" t="s">
        <v>1011</v>
      </c>
      <c r="H140" s="85" t="s">
        <v>1369</v>
      </c>
      <c r="I140" s="85" t="s">
        <v>1186</v>
      </c>
      <c r="J140" s="181"/>
      <c r="K140" s="181"/>
      <c r="AA140" s="177"/>
      <c r="AB140" s="177"/>
      <c r="AC140" s="177"/>
      <c r="AD140" s="177"/>
      <c r="AE140" s="179"/>
      <c r="AF140" s="179"/>
      <c r="AG140" s="179"/>
    </row>
    <row r="141" spans="1:33" x14ac:dyDescent="0.25">
      <c r="A141" s="85">
        <v>138</v>
      </c>
      <c r="E141" s="85" t="s">
        <v>1370</v>
      </c>
      <c r="G141" s="85" t="s">
        <v>1029</v>
      </c>
      <c r="H141" s="85" t="s">
        <v>1371</v>
      </c>
      <c r="I141" s="85" t="s">
        <v>1372</v>
      </c>
      <c r="J141" s="181"/>
      <c r="AA141" s="177"/>
      <c r="AB141" s="177"/>
      <c r="AC141" s="177"/>
      <c r="AD141" s="177"/>
      <c r="AE141" s="179"/>
      <c r="AF141" s="179"/>
      <c r="AG141" s="179"/>
    </row>
    <row r="142" spans="1:33" x14ac:dyDescent="0.25">
      <c r="A142" s="85">
        <v>139</v>
      </c>
      <c r="E142" s="85" t="s">
        <v>1373</v>
      </c>
      <c r="G142" s="85" t="s">
        <v>1029</v>
      </c>
      <c r="H142" s="85" t="s">
        <v>1366</v>
      </c>
      <c r="I142" s="85" t="s">
        <v>1367</v>
      </c>
      <c r="J142" s="181"/>
      <c r="K142" s="181"/>
      <c r="AA142" s="177"/>
      <c r="AB142" s="177"/>
      <c r="AC142" s="177"/>
      <c r="AD142" s="177"/>
      <c r="AE142" s="179"/>
      <c r="AF142" s="179"/>
      <c r="AG142" s="179"/>
    </row>
    <row r="143" spans="1:33" x14ac:dyDescent="0.25">
      <c r="A143" s="85">
        <v>140</v>
      </c>
      <c r="E143" s="85" t="s">
        <v>1374</v>
      </c>
      <c r="G143" s="85" t="s">
        <v>1011</v>
      </c>
      <c r="H143" s="85" t="s">
        <v>1369</v>
      </c>
      <c r="I143" s="85" t="s">
        <v>1375</v>
      </c>
      <c r="J143" s="181"/>
      <c r="K143" s="181"/>
      <c r="AA143" s="177"/>
      <c r="AB143" s="177"/>
      <c r="AC143" s="177"/>
      <c r="AD143" s="177"/>
      <c r="AE143" s="179"/>
      <c r="AF143" s="179"/>
      <c r="AG143" s="179"/>
    </row>
    <row r="144" spans="1:33" x14ac:dyDescent="0.25">
      <c r="A144" s="85">
        <v>141</v>
      </c>
      <c r="E144" s="85" t="s">
        <v>1376</v>
      </c>
      <c r="G144" s="85" t="s">
        <v>1029</v>
      </c>
      <c r="H144" s="85" t="s">
        <v>1371</v>
      </c>
      <c r="I144" s="85" t="s">
        <v>1377</v>
      </c>
      <c r="J144" s="181"/>
      <c r="K144" s="181"/>
      <c r="AA144" s="177"/>
      <c r="AB144" s="177"/>
      <c r="AC144" s="177"/>
      <c r="AD144" s="177"/>
      <c r="AE144" s="179"/>
      <c r="AF144" s="179"/>
      <c r="AG144" s="179"/>
    </row>
    <row r="145" spans="1:33" x14ac:dyDescent="0.25">
      <c r="A145" s="85">
        <v>288</v>
      </c>
      <c r="E145" s="85" t="s">
        <v>1588</v>
      </c>
      <c r="G145" s="85" t="s">
        <v>1029</v>
      </c>
      <c r="H145" s="85" t="s">
        <v>1486</v>
      </c>
      <c r="I145" s="85" t="s">
        <v>1379</v>
      </c>
      <c r="J145" s="181"/>
      <c r="AA145" s="177" t="s">
        <v>1790</v>
      </c>
      <c r="AB145" s="224">
        <v>43446</v>
      </c>
      <c r="AC145" s="177"/>
      <c r="AD145" s="177"/>
      <c r="AE145" s="179"/>
      <c r="AF145" s="179"/>
      <c r="AG145" s="179"/>
    </row>
    <row r="146" spans="1:33" x14ac:dyDescent="0.25">
      <c r="A146" s="85">
        <v>143</v>
      </c>
      <c r="E146" s="85" t="s">
        <v>1380</v>
      </c>
      <c r="G146" s="85" t="s">
        <v>1029</v>
      </c>
      <c r="H146" s="85" t="s">
        <v>1369</v>
      </c>
      <c r="I146" s="85" t="s">
        <v>1381</v>
      </c>
      <c r="J146" s="181"/>
      <c r="K146" s="181"/>
      <c r="AA146" s="177"/>
      <c r="AB146" s="177"/>
      <c r="AC146" s="177"/>
      <c r="AD146" s="177"/>
      <c r="AE146" s="179"/>
      <c r="AF146" s="179"/>
      <c r="AG146" s="179"/>
    </row>
    <row r="147" spans="1:33" x14ac:dyDescent="0.25">
      <c r="A147" s="85">
        <v>144</v>
      </c>
      <c r="E147" s="85" t="s">
        <v>1382</v>
      </c>
      <c r="G147" s="85" t="s">
        <v>1011</v>
      </c>
      <c r="H147" s="85" t="s">
        <v>1369</v>
      </c>
      <c r="I147" s="85" t="s">
        <v>1383</v>
      </c>
      <c r="AA147" s="177"/>
      <c r="AB147" s="177"/>
      <c r="AC147" s="177"/>
      <c r="AD147" s="177"/>
      <c r="AE147" s="179"/>
      <c r="AF147" s="179"/>
      <c r="AG147" s="179"/>
    </row>
    <row r="148" spans="1:33" x14ac:dyDescent="0.25">
      <c r="A148" s="85">
        <v>145</v>
      </c>
      <c r="E148" s="85" t="s">
        <v>1384</v>
      </c>
      <c r="G148" s="85" t="s">
        <v>1029</v>
      </c>
      <c r="H148" s="85" t="s">
        <v>1371</v>
      </c>
      <c r="I148" s="85" t="s">
        <v>1377</v>
      </c>
      <c r="J148" s="181"/>
      <c r="K148" s="181"/>
      <c r="AA148" s="177"/>
      <c r="AB148" s="177"/>
      <c r="AC148" s="177"/>
      <c r="AD148" s="177"/>
      <c r="AE148" s="179"/>
      <c r="AF148" s="179"/>
      <c r="AG148" s="179"/>
    </row>
    <row r="149" spans="1:33" x14ac:dyDescent="0.25">
      <c r="A149" s="85">
        <v>146</v>
      </c>
      <c r="E149" s="85" t="s">
        <v>1385</v>
      </c>
      <c r="G149" s="85" t="s">
        <v>1011</v>
      </c>
      <c r="H149" s="85" t="s">
        <v>1369</v>
      </c>
      <c r="I149" s="85" t="s">
        <v>1217</v>
      </c>
      <c r="AA149" s="177"/>
      <c r="AB149" s="177"/>
      <c r="AC149" s="177"/>
      <c r="AD149" s="177"/>
      <c r="AE149" s="179"/>
      <c r="AF149" s="179"/>
      <c r="AG149" s="179"/>
    </row>
    <row r="150" spans="1:33" x14ac:dyDescent="0.25">
      <c r="A150" s="85">
        <v>147</v>
      </c>
      <c r="E150" s="85" t="s">
        <v>1386</v>
      </c>
      <c r="G150" s="85" t="s">
        <v>1029</v>
      </c>
      <c r="H150" s="85" t="s">
        <v>1371</v>
      </c>
      <c r="I150" s="85" t="s">
        <v>1377</v>
      </c>
      <c r="J150" s="181"/>
      <c r="K150" s="181"/>
      <c r="AA150" s="177"/>
      <c r="AB150" s="177"/>
      <c r="AC150" s="177"/>
      <c r="AD150" s="177"/>
      <c r="AE150" s="179"/>
      <c r="AF150" s="179"/>
      <c r="AG150" s="179"/>
    </row>
    <row r="151" spans="1:33" x14ac:dyDescent="0.25">
      <c r="A151" s="85">
        <v>148</v>
      </c>
      <c r="E151" s="85" t="s">
        <v>1387</v>
      </c>
      <c r="G151" s="85" t="s">
        <v>1029</v>
      </c>
      <c r="H151" s="85" t="s">
        <v>1366</v>
      </c>
      <c r="I151" s="85" t="s">
        <v>1388</v>
      </c>
      <c r="J151" s="181"/>
      <c r="K151" s="181"/>
      <c r="AA151" s="177" t="s">
        <v>1780</v>
      </c>
      <c r="AB151" s="224">
        <v>43439</v>
      </c>
      <c r="AC151" s="177"/>
      <c r="AD151" s="177"/>
      <c r="AE151" s="179"/>
      <c r="AF151" s="179"/>
      <c r="AG151" s="179"/>
    </row>
    <row r="152" spans="1:33" x14ac:dyDescent="0.25">
      <c r="A152" s="85">
        <v>149</v>
      </c>
      <c r="E152" s="85" t="s">
        <v>1389</v>
      </c>
      <c r="G152" s="85" t="s">
        <v>1011</v>
      </c>
      <c r="H152" s="85" t="s">
        <v>1366</v>
      </c>
      <c r="I152" s="85" t="s">
        <v>1390</v>
      </c>
      <c r="J152" s="181"/>
      <c r="K152" s="181"/>
      <c r="AA152" s="177"/>
      <c r="AB152" s="177"/>
      <c r="AC152" s="177"/>
      <c r="AD152" s="177"/>
      <c r="AE152" s="179"/>
      <c r="AF152" s="179"/>
      <c r="AG152" s="179"/>
    </row>
    <row r="153" spans="1:33" x14ac:dyDescent="0.25">
      <c r="A153" s="85">
        <v>150</v>
      </c>
      <c r="E153" s="85" t="s">
        <v>1391</v>
      </c>
      <c r="G153" s="85" t="s">
        <v>1029</v>
      </c>
      <c r="H153" s="85" t="s">
        <v>1366</v>
      </c>
      <c r="I153" s="85" t="s">
        <v>1388</v>
      </c>
      <c r="J153" s="181"/>
      <c r="K153" s="181"/>
      <c r="AA153" s="177" t="s">
        <v>1780</v>
      </c>
      <c r="AB153" s="224">
        <v>43439</v>
      </c>
      <c r="AC153" s="177"/>
      <c r="AD153" s="177"/>
      <c r="AE153" s="179"/>
      <c r="AF153" s="179"/>
      <c r="AG153" s="179"/>
    </row>
    <row r="154" spans="1:33" x14ac:dyDescent="0.25">
      <c r="A154" s="85">
        <v>151</v>
      </c>
      <c r="E154" s="85" t="s">
        <v>1392</v>
      </c>
      <c r="G154" s="85" t="s">
        <v>1029</v>
      </c>
      <c r="H154" s="85" t="s">
        <v>1366</v>
      </c>
      <c r="I154" s="85" t="s">
        <v>1393</v>
      </c>
      <c r="J154" s="181"/>
      <c r="AA154" s="177"/>
      <c r="AB154" s="177"/>
      <c r="AC154" s="177"/>
      <c r="AD154" s="177"/>
      <c r="AE154" s="179"/>
      <c r="AF154" s="179"/>
      <c r="AG154" s="179"/>
    </row>
    <row r="155" spans="1:33" x14ac:dyDescent="0.25">
      <c r="A155" s="85">
        <v>152</v>
      </c>
      <c r="E155" s="85" t="s">
        <v>1394</v>
      </c>
      <c r="G155" s="85" t="s">
        <v>1029</v>
      </c>
      <c r="H155" s="85" t="s">
        <v>1366</v>
      </c>
      <c r="I155" s="85" t="s">
        <v>1395</v>
      </c>
      <c r="J155" s="181"/>
      <c r="AA155" s="177"/>
      <c r="AB155" s="177"/>
      <c r="AC155" s="177"/>
      <c r="AD155" s="177"/>
      <c r="AE155" s="179"/>
      <c r="AF155" s="179"/>
      <c r="AG155" s="179"/>
    </row>
    <row r="156" spans="1:33" x14ac:dyDescent="0.25">
      <c r="A156" s="85">
        <v>153</v>
      </c>
      <c r="E156" s="85" t="s">
        <v>1396</v>
      </c>
      <c r="G156" s="85" t="s">
        <v>1029</v>
      </c>
      <c r="H156" s="85" t="s">
        <v>1366</v>
      </c>
      <c r="I156" s="85" t="s">
        <v>1381</v>
      </c>
      <c r="J156" s="181"/>
      <c r="K156" s="181"/>
      <c r="AA156" s="177"/>
      <c r="AB156" s="177"/>
      <c r="AC156" s="177"/>
      <c r="AD156" s="177"/>
      <c r="AE156" s="179"/>
      <c r="AF156" s="179"/>
      <c r="AG156" s="179"/>
    </row>
    <row r="157" spans="1:33" x14ac:dyDescent="0.25">
      <c r="A157" s="85">
        <v>154</v>
      </c>
      <c r="E157" s="85" t="s">
        <v>1397</v>
      </c>
      <c r="G157" s="85" t="s">
        <v>1011</v>
      </c>
      <c r="H157" s="85" t="s">
        <v>1398</v>
      </c>
      <c r="I157" s="85" t="s">
        <v>1399</v>
      </c>
      <c r="AA157" s="177"/>
      <c r="AB157" s="177"/>
      <c r="AC157" s="177"/>
      <c r="AD157" s="177"/>
      <c r="AE157" s="179"/>
      <c r="AF157" s="179"/>
      <c r="AG157" s="179"/>
    </row>
    <row r="158" spans="1:33" x14ac:dyDescent="0.25">
      <c r="A158" s="85">
        <v>155</v>
      </c>
      <c r="E158" s="85" t="s">
        <v>1400</v>
      </c>
      <c r="G158" s="85" t="s">
        <v>1029</v>
      </c>
      <c r="H158" s="85" t="s">
        <v>1398</v>
      </c>
      <c r="I158" s="85" t="s">
        <v>1390</v>
      </c>
      <c r="J158" s="181"/>
      <c r="K158" s="181"/>
      <c r="AA158" s="177"/>
      <c r="AB158" s="177"/>
      <c r="AC158" s="177"/>
      <c r="AD158" s="177"/>
      <c r="AE158" s="179"/>
      <c r="AF158" s="179"/>
      <c r="AG158" s="179"/>
    </row>
    <row r="159" spans="1:33" x14ac:dyDescent="0.25">
      <c r="A159" s="85">
        <v>156</v>
      </c>
      <c r="E159" s="85" t="s">
        <v>1401</v>
      </c>
      <c r="G159" s="85" t="s">
        <v>1011</v>
      </c>
      <c r="H159" s="85" t="s">
        <v>1402</v>
      </c>
      <c r="I159" s="85" t="s">
        <v>1403</v>
      </c>
      <c r="AA159" s="177"/>
      <c r="AB159" s="177"/>
      <c r="AC159" s="177"/>
      <c r="AD159" s="177"/>
      <c r="AE159" s="179"/>
      <c r="AF159" s="179"/>
      <c r="AG159" s="179"/>
    </row>
    <row r="160" spans="1:33" x14ac:dyDescent="0.25">
      <c r="A160" s="85">
        <v>157</v>
      </c>
      <c r="E160" s="85" t="s">
        <v>1404</v>
      </c>
      <c r="G160" s="85" t="s">
        <v>1029</v>
      </c>
      <c r="H160" s="85" t="s">
        <v>1398</v>
      </c>
      <c r="I160" s="85" t="s">
        <v>830</v>
      </c>
      <c r="J160" s="181"/>
      <c r="AA160" s="177"/>
      <c r="AB160" s="177"/>
      <c r="AC160" s="177"/>
      <c r="AD160" s="177"/>
      <c r="AE160" s="179"/>
      <c r="AF160" s="179"/>
      <c r="AG160" s="179"/>
    </row>
    <row r="161" spans="1:33" x14ac:dyDescent="0.25">
      <c r="A161" s="85">
        <v>158</v>
      </c>
      <c r="E161" s="85" t="s">
        <v>1405</v>
      </c>
      <c r="G161" s="85" t="s">
        <v>1029</v>
      </c>
      <c r="H161" s="85" t="s">
        <v>1398</v>
      </c>
      <c r="I161" s="85" t="s">
        <v>830</v>
      </c>
      <c r="J161" s="181"/>
      <c r="AA161" s="177"/>
      <c r="AB161" s="177"/>
      <c r="AC161" s="177"/>
      <c r="AD161" s="177"/>
      <c r="AE161" s="179"/>
      <c r="AF161" s="179"/>
      <c r="AG161" s="179"/>
    </row>
    <row r="162" spans="1:33" x14ac:dyDescent="0.25">
      <c r="A162" s="85">
        <v>159</v>
      </c>
      <c r="E162" s="85" t="s">
        <v>1406</v>
      </c>
      <c r="G162" s="85" t="s">
        <v>1029</v>
      </c>
      <c r="H162" s="85" t="s">
        <v>1366</v>
      </c>
      <c r="I162" s="85" t="s">
        <v>1407</v>
      </c>
      <c r="J162" s="181"/>
      <c r="K162" s="181"/>
      <c r="AA162" s="177" t="s">
        <v>1780</v>
      </c>
      <c r="AB162" s="224">
        <v>43440</v>
      </c>
      <c r="AC162" s="177"/>
      <c r="AD162" s="177"/>
      <c r="AE162" s="179"/>
      <c r="AF162" s="179"/>
      <c r="AG162" s="179"/>
    </row>
    <row r="163" spans="1:33" x14ac:dyDescent="0.25">
      <c r="A163" s="85">
        <v>160</v>
      </c>
      <c r="E163" s="85" t="s">
        <v>1408</v>
      </c>
      <c r="G163" s="85" t="s">
        <v>1029</v>
      </c>
      <c r="H163" s="85" t="s">
        <v>1366</v>
      </c>
      <c r="I163" s="85" t="s">
        <v>1409</v>
      </c>
      <c r="J163" s="181"/>
      <c r="AA163" s="177" t="s">
        <v>1780</v>
      </c>
      <c r="AB163" s="224">
        <v>43440</v>
      </c>
      <c r="AC163" s="177"/>
      <c r="AD163" s="177"/>
      <c r="AE163" s="179"/>
      <c r="AF163" s="179"/>
      <c r="AG163" s="179"/>
    </row>
    <row r="164" spans="1:33" x14ac:dyDescent="0.25">
      <c r="A164" s="85">
        <v>161</v>
      </c>
      <c r="E164" s="85" t="s">
        <v>1410</v>
      </c>
      <c r="G164" s="85" t="s">
        <v>1029</v>
      </c>
      <c r="H164" s="85" t="s">
        <v>1366</v>
      </c>
      <c r="I164" s="85" t="s">
        <v>1403</v>
      </c>
      <c r="J164" s="181"/>
      <c r="AA164" s="177"/>
      <c r="AB164" s="177"/>
      <c r="AC164" s="177"/>
      <c r="AD164" s="177"/>
      <c r="AE164" s="179"/>
      <c r="AF164" s="179"/>
      <c r="AG164" s="179"/>
    </row>
    <row r="165" spans="1:33" x14ac:dyDescent="0.25">
      <c r="A165" s="85">
        <v>162</v>
      </c>
      <c r="E165" s="85" t="s">
        <v>1411</v>
      </c>
      <c r="G165" s="85" t="s">
        <v>1029</v>
      </c>
      <c r="H165" s="85" t="s">
        <v>1366</v>
      </c>
      <c r="I165" s="85" t="s">
        <v>1375</v>
      </c>
      <c r="J165" s="181"/>
      <c r="K165" s="181"/>
      <c r="AA165" s="177"/>
      <c r="AB165" s="177"/>
      <c r="AC165" s="177"/>
      <c r="AD165" s="177"/>
      <c r="AE165" s="179"/>
      <c r="AF165" s="179"/>
      <c r="AG165" s="179"/>
    </row>
    <row r="166" spans="1:33" x14ac:dyDescent="0.25">
      <c r="A166" s="85">
        <v>163</v>
      </c>
      <c r="E166" s="85" t="s">
        <v>1412</v>
      </c>
      <c r="G166" s="85" t="s">
        <v>1029</v>
      </c>
      <c r="H166" s="85" t="s">
        <v>1371</v>
      </c>
      <c r="I166" s="85" t="s">
        <v>1413</v>
      </c>
      <c r="J166" s="181"/>
      <c r="AA166" s="177"/>
      <c r="AB166" s="177"/>
      <c r="AC166" s="177"/>
      <c r="AD166" s="177"/>
      <c r="AE166" s="179"/>
      <c r="AF166" s="179"/>
      <c r="AG166" s="179"/>
    </row>
    <row r="167" spans="1:33" x14ac:dyDescent="0.25">
      <c r="A167" s="85">
        <v>164</v>
      </c>
      <c r="E167" s="85" t="s">
        <v>1414</v>
      </c>
      <c r="G167" s="85" t="s">
        <v>1011</v>
      </c>
      <c r="H167" s="85" t="s">
        <v>1366</v>
      </c>
      <c r="I167" s="85" t="s">
        <v>1399</v>
      </c>
      <c r="AA167" s="177"/>
      <c r="AB167" s="177"/>
      <c r="AC167" s="177"/>
      <c r="AD167" s="177"/>
      <c r="AE167" s="179"/>
      <c r="AF167" s="179"/>
      <c r="AG167" s="179"/>
    </row>
    <row r="168" spans="1:33" x14ac:dyDescent="0.25">
      <c r="A168" s="85">
        <v>165</v>
      </c>
      <c r="E168" s="85" t="s">
        <v>1415</v>
      </c>
      <c r="G168" s="85" t="s">
        <v>1029</v>
      </c>
      <c r="H168" s="85" t="s">
        <v>1371</v>
      </c>
      <c r="I168" s="85" t="s">
        <v>1416</v>
      </c>
      <c r="J168" s="181"/>
      <c r="K168" s="181"/>
      <c r="AA168" s="177"/>
      <c r="AB168" s="177"/>
      <c r="AC168" s="177"/>
      <c r="AD168" s="177"/>
      <c r="AE168" s="179"/>
      <c r="AF168" s="179"/>
      <c r="AG168" s="179"/>
    </row>
    <row r="169" spans="1:33" x14ac:dyDescent="0.25">
      <c r="A169" s="85">
        <v>166</v>
      </c>
      <c r="E169" s="85" t="s">
        <v>1417</v>
      </c>
      <c r="G169" s="85" t="s">
        <v>1011</v>
      </c>
      <c r="H169" s="85" t="s">
        <v>1366</v>
      </c>
      <c r="I169" s="85" t="s">
        <v>1211</v>
      </c>
      <c r="AA169" s="177"/>
      <c r="AB169" s="177"/>
      <c r="AC169" s="177"/>
      <c r="AD169" s="177"/>
      <c r="AE169" s="179"/>
      <c r="AF169" s="179"/>
      <c r="AG169" s="179"/>
    </row>
    <row r="170" spans="1:33" x14ac:dyDescent="0.25">
      <c r="A170" s="85">
        <v>167</v>
      </c>
      <c r="E170" s="85" t="s">
        <v>1418</v>
      </c>
      <c r="G170" s="85" t="s">
        <v>1029</v>
      </c>
      <c r="H170" s="85" t="s">
        <v>1419</v>
      </c>
      <c r="I170" s="85" t="s">
        <v>1416</v>
      </c>
      <c r="J170" s="181"/>
      <c r="K170" s="181"/>
      <c r="AA170" s="177"/>
      <c r="AB170" s="177"/>
      <c r="AC170" s="177"/>
      <c r="AD170" s="177"/>
      <c r="AE170" s="179"/>
      <c r="AF170" s="179"/>
      <c r="AG170" s="179"/>
    </row>
    <row r="171" spans="1:33" x14ac:dyDescent="0.25">
      <c r="A171" s="85">
        <v>168</v>
      </c>
      <c r="E171" s="85" t="s">
        <v>1420</v>
      </c>
      <c r="G171" s="85" t="s">
        <v>1011</v>
      </c>
      <c r="H171" s="85" t="s">
        <v>1176</v>
      </c>
      <c r="I171" s="85" t="s">
        <v>1226</v>
      </c>
      <c r="J171" s="181"/>
      <c r="K171" s="181"/>
      <c r="AA171" s="177"/>
      <c r="AB171" s="177"/>
      <c r="AC171" s="177"/>
      <c r="AD171" s="177"/>
      <c r="AE171" s="179"/>
      <c r="AF171" s="179"/>
      <c r="AG171" s="179"/>
    </row>
    <row r="172" spans="1:33" x14ac:dyDescent="0.25">
      <c r="A172" s="85">
        <v>169</v>
      </c>
      <c r="E172" s="85" t="s">
        <v>1421</v>
      </c>
      <c r="G172" s="85" t="s">
        <v>1029</v>
      </c>
      <c r="H172" s="85" t="s">
        <v>1371</v>
      </c>
      <c r="I172" s="85" t="s">
        <v>1422</v>
      </c>
      <c r="J172" s="181"/>
      <c r="AA172" s="177"/>
      <c r="AB172" s="177"/>
      <c r="AC172" s="177"/>
      <c r="AD172" s="177"/>
      <c r="AE172" s="179"/>
      <c r="AF172" s="179"/>
      <c r="AG172" s="179"/>
    </row>
    <row r="173" spans="1:33" x14ac:dyDescent="0.25">
      <c r="A173" s="85">
        <v>170</v>
      </c>
      <c r="E173" s="85" t="s">
        <v>1423</v>
      </c>
      <c r="G173" s="85" t="s">
        <v>1011</v>
      </c>
      <c r="H173" s="85" t="s">
        <v>1366</v>
      </c>
      <c r="I173" s="85" t="s">
        <v>1424</v>
      </c>
      <c r="AA173" s="177"/>
      <c r="AB173" s="177"/>
      <c r="AC173" s="177"/>
      <c r="AD173" s="177"/>
      <c r="AE173" s="179"/>
      <c r="AF173" s="179"/>
      <c r="AG173" s="179"/>
    </row>
    <row r="174" spans="1:33" x14ac:dyDescent="0.25">
      <c r="A174" s="85">
        <v>171</v>
      </c>
      <c r="E174" s="85" t="s">
        <v>1425</v>
      </c>
      <c r="G174" s="85" t="s">
        <v>1029</v>
      </c>
      <c r="H174" s="85" t="s">
        <v>1419</v>
      </c>
      <c r="I174" s="85" t="s">
        <v>1426</v>
      </c>
      <c r="J174" s="181"/>
      <c r="K174" s="181"/>
      <c r="AA174" s="177"/>
      <c r="AB174" s="177"/>
      <c r="AC174" s="177"/>
      <c r="AD174" s="177"/>
      <c r="AE174" s="179"/>
      <c r="AF174" s="179"/>
      <c r="AG174" s="179"/>
    </row>
    <row r="175" spans="1:33" x14ac:dyDescent="0.25">
      <c r="A175" s="85">
        <v>172</v>
      </c>
      <c r="E175" s="85" t="s">
        <v>1427</v>
      </c>
      <c r="G175" s="85" t="s">
        <v>1011</v>
      </c>
      <c r="H175" s="85" t="s">
        <v>1366</v>
      </c>
      <c r="I175" s="85" t="s">
        <v>1217</v>
      </c>
      <c r="AA175" s="177"/>
      <c r="AB175" s="177"/>
      <c r="AC175" s="177"/>
      <c r="AD175" s="177"/>
      <c r="AE175" s="179"/>
      <c r="AF175" s="179"/>
      <c r="AG175" s="179"/>
    </row>
    <row r="176" spans="1:33" x14ac:dyDescent="0.25">
      <c r="A176" s="85">
        <v>173</v>
      </c>
      <c r="E176" s="85" t="s">
        <v>1428</v>
      </c>
      <c r="G176" s="85" t="s">
        <v>1029</v>
      </c>
      <c r="H176" s="85" t="s">
        <v>1366</v>
      </c>
      <c r="I176" s="85" t="s">
        <v>1429</v>
      </c>
      <c r="J176" s="181"/>
      <c r="AA176" s="177"/>
      <c r="AB176" s="177"/>
      <c r="AC176" s="177"/>
      <c r="AD176" s="177"/>
      <c r="AE176" s="179"/>
      <c r="AF176" s="179"/>
      <c r="AG176" s="179"/>
    </row>
    <row r="177" spans="1:33" x14ac:dyDescent="0.25">
      <c r="A177" s="85">
        <v>174</v>
      </c>
      <c r="E177" s="85" t="s">
        <v>1063</v>
      </c>
      <c r="AA177" s="177"/>
      <c r="AB177" s="177"/>
      <c r="AC177" s="177"/>
      <c r="AD177" s="177"/>
      <c r="AE177" s="179"/>
      <c r="AF177" s="179"/>
      <c r="AG177" s="179"/>
    </row>
    <row r="178" spans="1:33" x14ac:dyDescent="0.25">
      <c r="A178" s="85">
        <v>175</v>
      </c>
      <c r="E178" s="85" t="s">
        <v>1430</v>
      </c>
      <c r="G178" s="85" t="s">
        <v>1029</v>
      </c>
      <c r="H178" s="85" t="s">
        <v>1419</v>
      </c>
      <c r="I178" s="85" t="s">
        <v>1202</v>
      </c>
      <c r="J178" s="181"/>
      <c r="K178" s="181"/>
      <c r="AA178" s="177"/>
      <c r="AB178" s="177"/>
      <c r="AC178" s="177"/>
      <c r="AD178" s="177"/>
      <c r="AE178" s="179"/>
      <c r="AF178" s="179"/>
      <c r="AG178" s="179"/>
    </row>
    <row r="179" spans="1:33" x14ac:dyDescent="0.25">
      <c r="A179" s="85">
        <v>176</v>
      </c>
      <c r="E179" s="85" t="s">
        <v>1431</v>
      </c>
      <c r="G179" s="85" t="s">
        <v>1029</v>
      </c>
      <c r="H179" s="85" t="s">
        <v>1419</v>
      </c>
      <c r="I179" s="85" t="s">
        <v>1432</v>
      </c>
      <c r="J179" s="181"/>
      <c r="K179" s="181"/>
      <c r="AA179" s="177"/>
      <c r="AB179" s="177"/>
      <c r="AC179" s="177"/>
      <c r="AD179" s="177"/>
      <c r="AE179" s="179"/>
      <c r="AF179" s="179"/>
      <c r="AG179" s="179"/>
    </row>
    <row r="180" spans="1:33" x14ac:dyDescent="0.25">
      <c r="A180" s="85">
        <v>177</v>
      </c>
      <c r="E180" s="85" t="s">
        <v>1433</v>
      </c>
      <c r="G180" s="85" t="s">
        <v>1029</v>
      </c>
      <c r="H180" s="85" t="s">
        <v>1419</v>
      </c>
      <c r="I180" s="85" t="s">
        <v>1202</v>
      </c>
      <c r="J180" s="181"/>
      <c r="K180" s="181"/>
      <c r="AA180" s="177"/>
      <c r="AB180" s="177"/>
      <c r="AC180" s="177"/>
      <c r="AD180" s="177"/>
      <c r="AE180" s="179"/>
      <c r="AF180" s="179"/>
      <c r="AG180" s="179"/>
    </row>
    <row r="181" spans="1:33" x14ac:dyDescent="0.25">
      <c r="A181" s="85">
        <v>178</v>
      </c>
      <c r="E181" s="85" t="s">
        <v>1434</v>
      </c>
      <c r="G181" s="85" t="s">
        <v>1011</v>
      </c>
      <c r="H181" s="85" t="s">
        <v>1435</v>
      </c>
      <c r="I181" s="85" t="s">
        <v>1432</v>
      </c>
      <c r="J181" s="181"/>
      <c r="K181" s="181"/>
      <c r="AA181" s="177"/>
      <c r="AB181" s="177"/>
      <c r="AC181" s="177"/>
      <c r="AD181" s="177"/>
      <c r="AE181" s="179"/>
      <c r="AF181" s="179"/>
      <c r="AG181" s="179"/>
    </row>
    <row r="182" spans="1:33" x14ac:dyDescent="0.25">
      <c r="A182" s="85">
        <v>179</v>
      </c>
      <c r="E182" s="85" t="s">
        <v>1436</v>
      </c>
      <c r="G182" s="85" t="s">
        <v>1029</v>
      </c>
      <c r="H182" s="85" t="s">
        <v>1201</v>
      </c>
      <c r="I182" s="85" t="s">
        <v>1202</v>
      </c>
      <c r="J182" s="181"/>
      <c r="K182" s="181"/>
      <c r="AA182" s="177"/>
      <c r="AB182" s="177"/>
      <c r="AC182" s="177"/>
      <c r="AD182" s="177"/>
      <c r="AE182" s="179"/>
      <c r="AF182" s="179"/>
      <c r="AG182" s="179"/>
    </row>
    <row r="183" spans="1:33" x14ac:dyDescent="0.25">
      <c r="A183" s="85">
        <v>180</v>
      </c>
      <c r="E183" s="85" t="s">
        <v>1437</v>
      </c>
      <c r="G183" s="85" t="s">
        <v>1011</v>
      </c>
      <c r="H183" s="85" t="s">
        <v>1419</v>
      </c>
      <c r="I183" s="85" t="s">
        <v>1367</v>
      </c>
      <c r="J183" s="181"/>
      <c r="K183" s="181"/>
      <c r="AA183" s="177"/>
      <c r="AB183" s="177"/>
      <c r="AC183" s="177"/>
      <c r="AD183" s="177"/>
      <c r="AE183" s="179"/>
      <c r="AF183" s="179"/>
      <c r="AG183" s="179"/>
    </row>
    <row r="184" spans="1:33" x14ac:dyDescent="0.25">
      <c r="A184" s="85">
        <v>181</v>
      </c>
      <c r="E184" s="85" t="s">
        <v>1438</v>
      </c>
      <c r="G184" s="85" t="s">
        <v>1029</v>
      </c>
      <c r="H184" s="85" t="s">
        <v>1366</v>
      </c>
      <c r="I184" s="85" t="s">
        <v>1375</v>
      </c>
      <c r="J184" s="181"/>
      <c r="K184" s="181"/>
      <c r="AA184" s="177"/>
      <c r="AB184" s="177"/>
      <c r="AC184" s="177"/>
      <c r="AD184" s="177"/>
      <c r="AE184" s="179"/>
      <c r="AF184" s="179"/>
      <c r="AG184" s="179"/>
    </row>
    <row r="185" spans="1:33" x14ac:dyDescent="0.25">
      <c r="A185" s="85">
        <v>182</v>
      </c>
      <c r="E185" s="85" t="s">
        <v>1439</v>
      </c>
      <c r="G185" s="85" t="s">
        <v>1011</v>
      </c>
      <c r="H185" s="85" t="s">
        <v>1435</v>
      </c>
      <c r="I185" s="85" t="s">
        <v>1367</v>
      </c>
      <c r="J185" s="181"/>
      <c r="K185" s="181"/>
      <c r="AA185" s="177"/>
      <c r="AB185" s="177"/>
      <c r="AC185" s="177"/>
      <c r="AD185" s="177"/>
      <c r="AE185" s="179"/>
      <c r="AF185" s="179"/>
      <c r="AG185" s="179"/>
    </row>
    <row r="186" spans="1:33" x14ac:dyDescent="0.25">
      <c r="A186" s="85">
        <v>183</v>
      </c>
      <c r="E186" s="85" t="s">
        <v>1440</v>
      </c>
      <c r="G186" s="85" t="s">
        <v>1029</v>
      </c>
      <c r="H186" s="85" t="s">
        <v>1435</v>
      </c>
      <c r="I186" s="85" t="s">
        <v>1196</v>
      </c>
      <c r="J186" s="181"/>
      <c r="K186" s="181"/>
      <c r="AA186" s="177"/>
      <c r="AB186" s="177"/>
      <c r="AC186" s="177"/>
      <c r="AD186" s="177"/>
      <c r="AE186" s="179"/>
      <c r="AF186" s="179"/>
      <c r="AG186" s="179"/>
    </row>
    <row r="187" spans="1:33" x14ac:dyDescent="0.25">
      <c r="A187" s="85">
        <v>184</v>
      </c>
      <c r="E187" s="85" t="s">
        <v>1441</v>
      </c>
      <c r="G187" s="85" t="s">
        <v>1029</v>
      </c>
      <c r="H187" s="85" t="s">
        <v>1419</v>
      </c>
      <c r="I187" s="85" t="s">
        <v>1202</v>
      </c>
      <c r="J187" s="181"/>
      <c r="K187" s="181"/>
      <c r="AA187" s="177"/>
      <c r="AB187" s="177"/>
      <c r="AC187" s="177"/>
      <c r="AD187" s="177"/>
      <c r="AE187" s="179"/>
      <c r="AF187" s="179"/>
      <c r="AG187" s="179"/>
    </row>
    <row r="188" spans="1:33" x14ac:dyDescent="0.25">
      <c r="A188" s="85">
        <v>185</v>
      </c>
      <c r="E188" s="85" t="s">
        <v>1442</v>
      </c>
      <c r="G188" s="85" t="s">
        <v>1029</v>
      </c>
      <c r="H188" s="85" t="s">
        <v>1419</v>
      </c>
      <c r="I188" s="85" t="s">
        <v>1443</v>
      </c>
      <c r="J188" s="181"/>
      <c r="AA188" s="177"/>
      <c r="AB188" s="177"/>
      <c r="AC188" s="177"/>
      <c r="AD188" s="177"/>
      <c r="AE188" s="179"/>
      <c r="AF188" s="179"/>
      <c r="AG188" s="179"/>
    </row>
    <row r="189" spans="1:33" x14ac:dyDescent="0.25">
      <c r="A189" s="85">
        <v>186</v>
      </c>
      <c r="E189" s="85" t="s">
        <v>1444</v>
      </c>
      <c r="G189" s="85" t="s">
        <v>1029</v>
      </c>
      <c r="H189" s="85" t="s">
        <v>1435</v>
      </c>
      <c r="I189" s="85" t="s">
        <v>1445</v>
      </c>
      <c r="J189" s="181"/>
      <c r="K189" s="181"/>
      <c r="AA189" s="177"/>
      <c r="AB189" s="177"/>
      <c r="AC189" s="177"/>
      <c r="AD189" s="177"/>
      <c r="AE189" s="179"/>
      <c r="AF189" s="179"/>
      <c r="AG189" s="179"/>
    </row>
    <row r="190" spans="1:33" x14ac:dyDescent="0.25">
      <c r="A190" s="85">
        <v>187</v>
      </c>
      <c r="E190" s="85" t="s">
        <v>1446</v>
      </c>
      <c r="G190" s="85" t="s">
        <v>1029</v>
      </c>
      <c r="H190" s="85" t="s">
        <v>1447</v>
      </c>
      <c r="I190" s="85" t="s">
        <v>1177</v>
      </c>
      <c r="J190" s="181"/>
      <c r="K190" s="181"/>
      <c r="AA190" s="177"/>
      <c r="AB190" s="177"/>
      <c r="AC190" s="177"/>
      <c r="AD190" s="177"/>
      <c r="AE190" s="179"/>
      <c r="AF190" s="179"/>
      <c r="AG190" s="179"/>
    </row>
    <row r="191" spans="1:33" x14ac:dyDescent="0.25">
      <c r="A191" s="85">
        <v>188</v>
      </c>
      <c r="E191" s="85" t="s">
        <v>1448</v>
      </c>
      <c r="G191" s="85" t="s">
        <v>1029</v>
      </c>
      <c r="H191" s="85" t="s">
        <v>1447</v>
      </c>
      <c r="I191" s="85" t="s">
        <v>1177</v>
      </c>
      <c r="J191" s="181"/>
      <c r="K191" s="181"/>
      <c r="AA191" s="177"/>
      <c r="AB191" s="177"/>
      <c r="AC191" s="177"/>
      <c r="AD191" s="177"/>
      <c r="AE191" s="179"/>
      <c r="AF191" s="179"/>
      <c r="AG191" s="179"/>
    </row>
    <row r="192" spans="1:33" x14ac:dyDescent="0.25">
      <c r="A192" s="85">
        <v>189</v>
      </c>
      <c r="E192" s="85" t="s">
        <v>1449</v>
      </c>
      <c r="G192" s="85" t="s">
        <v>1029</v>
      </c>
      <c r="H192" s="85" t="s">
        <v>1447</v>
      </c>
      <c r="I192" s="85" t="s">
        <v>1177</v>
      </c>
      <c r="J192" s="181"/>
      <c r="K192" s="181"/>
      <c r="AA192" s="177"/>
      <c r="AB192" s="177"/>
      <c r="AC192" s="177"/>
      <c r="AD192" s="177"/>
      <c r="AE192" s="179"/>
      <c r="AF192" s="179"/>
      <c r="AG192" s="179"/>
    </row>
    <row r="193" spans="1:33" x14ac:dyDescent="0.25">
      <c r="A193" s="85">
        <v>190</v>
      </c>
      <c r="E193" s="85" t="s">
        <v>1450</v>
      </c>
      <c r="G193" s="85" t="s">
        <v>1011</v>
      </c>
      <c r="H193" s="85" t="s">
        <v>1451</v>
      </c>
      <c r="I193" s="85" t="s">
        <v>1452</v>
      </c>
      <c r="AA193" s="177"/>
      <c r="AB193" s="177"/>
      <c r="AC193" s="177"/>
      <c r="AD193" s="177"/>
      <c r="AE193" s="179"/>
      <c r="AF193" s="179"/>
      <c r="AG193" s="179"/>
    </row>
    <row r="194" spans="1:33" x14ac:dyDescent="0.25">
      <c r="A194" s="85">
        <v>191</v>
      </c>
      <c r="E194" s="85" t="s">
        <v>1453</v>
      </c>
      <c r="G194" s="85" t="s">
        <v>1011</v>
      </c>
      <c r="H194" s="85" t="s">
        <v>1454</v>
      </c>
      <c r="I194" s="85" t="s">
        <v>1455</v>
      </c>
      <c r="AA194" s="177"/>
      <c r="AB194" s="177"/>
      <c r="AC194" s="177"/>
      <c r="AD194" s="177"/>
      <c r="AE194" s="179"/>
      <c r="AF194" s="179"/>
      <c r="AG194" s="179"/>
    </row>
    <row r="195" spans="1:33" x14ac:dyDescent="0.25">
      <c r="A195" s="85">
        <v>192</v>
      </c>
      <c r="E195" s="85" t="s">
        <v>1456</v>
      </c>
      <c r="G195" s="85" t="s">
        <v>1011</v>
      </c>
      <c r="H195" s="85" t="s">
        <v>1451</v>
      </c>
      <c r="I195" s="85" t="s">
        <v>1455</v>
      </c>
      <c r="AA195" s="177"/>
      <c r="AB195" s="177"/>
      <c r="AC195" s="177"/>
      <c r="AD195" s="177"/>
      <c r="AE195" s="179"/>
      <c r="AF195" s="179"/>
      <c r="AG195" s="179"/>
    </row>
    <row r="196" spans="1:33" x14ac:dyDescent="0.25">
      <c r="A196" s="85">
        <v>193</v>
      </c>
      <c r="E196" s="85" t="s">
        <v>1457</v>
      </c>
      <c r="G196" s="85" t="s">
        <v>1029</v>
      </c>
      <c r="H196" s="85" t="s">
        <v>1447</v>
      </c>
      <c r="I196" s="85" t="s">
        <v>1458</v>
      </c>
      <c r="J196" s="181"/>
      <c r="AA196" s="177"/>
      <c r="AB196" s="177"/>
      <c r="AC196" s="177"/>
      <c r="AD196" s="177"/>
      <c r="AE196" s="179"/>
      <c r="AF196" s="179"/>
      <c r="AG196" s="179"/>
    </row>
    <row r="197" spans="1:33" x14ac:dyDescent="0.25">
      <c r="A197" s="85">
        <v>194</v>
      </c>
      <c r="E197" s="85" t="s">
        <v>1459</v>
      </c>
      <c r="G197" s="85" t="s">
        <v>1011</v>
      </c>
      <c r="H197" s="85" t="s">
        <v>1451</v>
      </c>
      <c r="I197" s="85" t="s">
        <v>1458</v>
      </c>
      <c r="AA197" s="177"/>
      <c r="AB197" s="177"/>
      <c r="AC197" s="177"/>
      <c r="AD197" s="177"/>
      <c r="AE197" s="179"/>
      <c r="AF197" s="179"/>
      <c r="AG197" s="179"/>
    </row>
    <row r="198" spans="1:33" x14ac:dyDescent="0.25">
      <c r="A198" s="85">
        <v>195</v>
      </c>
      <c r="E198" s="85" t="s">
        <v>1460</v>
      </c>
      <c r="G198" s="85" t="s">
        <v>1029</v>
      </c>
      <c r="H198" s="85" t="s">
        <v>1447</v>
      </c>
      <c r="I198" s="85" t="s">
        <v>1458</v>
      </c>
      <c r="J198" s="181"/>
      <c r="AA198" s="177"/>
      <c r="AB198" s="177"/>
      <c r="AC198" s="177"/>
      <c r="AD198" s="177"/>
      <c r="AE198" s="179"/>
      <c r="AF198" s="179"/>
      <c r="AG198" s="179"/>
    </row>
    <row r="199" spans="1:33" x14ac:dyDescent="0.25">
      <c r="A199" s="85">
        <v>196</v>
      </c>
      <c r="E199" s="85" t="s">
        <v>1461</v>
      </c>
      <c r="G199" s="85" t="s">
        <v>1011</v>
      </c>
      <c r="H199" s="85" t="s">
        <v>1447</v>
      </c>
      <c r="I199" s="85" t="s">
        <v>1462</v>
      </c>
      <c r="AA199" s="177"/>
      <c r="AB199" s="177"/>
      <c r="AC199" s="177"/>
      <c r="AD199" s="177"/>
      <c r="AE199" s="179"/>
      <c r="AF199" s="179"/>
      <c r="AG199" s="179"/>
    </row>
    <row r="200" spans="1:33" x14ac:dyDescent="0.25">
      <c r="A200" s="85">
        <v>197</v>
      </c>
      <c r="E200" s="85" t="s">
        <v>1463</v>
      </c>
      <c r="G200" s="85" t="s">
        <v>1029</v>
      </c>
      <c r="H200" s="85" t="s">
        <v>1183</v>
      </c>
      <c r="I200" s="85" t="s">
        <v>1196</v>
      </c>
      <c r="J200" s="181"/>
      <c r="K200" s="181"/>
      <c r="AA200" s="177"/>
      <c r="AB200" s="177"/>
      <c r="AC200" s="177"/>
      <c r="AD200" s="177"/>
      <c r="AE200" s="179"/>
      <c r="AF200" s="179"/>
      <c r="AG200" s="179"/>
    </row>
    <row r="201" spans="1:33" x14ac:dyDescent="0.25">
      <c r="A201" s="85">
        <v>198</v>
      </c>
      <c r="E201" s="85" t="s">
        <v>1464</v>
      </c>
      <c r="G201" s="85" t="s">
        <v>1011</v>
      </c>
      <c r="H201" s="85" t="s">
        <v>1447</v>
      </c>
      <c r="I201" s="85" t="s">
        <v>1189</v>
      </c>
      <c r="AA201" s="177"/>
      <c r="AB201" s="177"/>
      <c r="AC201" s="177"/>
      <c r="AD201" s="177"/>
      <c r="AE201" s="179"/>
      <c r="AF201" s="179"/>
      <c r="AG201" s="179"/>
    </row>
    <row r="202" spans="1:33" x14ac:dyDescent="0.25">
      <c r="A202" s="85">
        <v>199</v>
      </c>
      <c r="E202" s="85" t="s">
        <v>1465</v>
      </c>
      <c r="G202" s="85" t="s">
        <v>1029</v>
      </c>
      <c r="H202" s="85" t="s">
        <v>1447</v>
      </c>
      <c r="I202" s="85" t="s">
        <v>1466</v>
      </c>
      <c r="J202" s="181"/>
      <c r="AA202" s="177"/>
      <c r="AB202" s="177"/>
      <c r="AC202" s="177"/>
      <c r="AD202" s="177"/>
      <c r="AE202" s="179"/>
      <c r="AF202" s="179"/>
      <c r="AG202" s="179"/>
    </row>
    <row r="203" spans="1:33" x14ac:dyDescent="0.25">
      <c r="A203" s="85">
        <v>200</v>
      </c>
      <c r="E203" s="85" t="s">
        <v>1467</v>
      </c>
      <c r="G203" s="85" t="s">
        <v>1011</v>
      </c>
      <c r="H203" s="85" t="s">
        <v>1451</v>
      </c>
      <c r="I203" s="85" t="s">
        <v>1468</v>
      </c>
      <c r="AA203" s="177"/>
      <c r="AB203" s="177"/>
      <c r="AC203" s="177"/>
      <c r="AD203" s="177"/>
      <c r="AE203" s="179"/>
      <c r="AF203" s="179"/>
      <c r="AG203" s="179"/>
    </row>
    <row r="204" spans="1:33" x14ac:dyDescent="0.25">
      <c r="A204" s="85">
        <v>201</v>
      </c>
      <c r="E204" s="85" t="s">
        <v>1469</v>
      </c>
      <c r="G204" s="85" t="s">
        <v>1029</v>
      </c>
      <c r="H204" s="85" t="s">
        <v>1470</v>
      </c>
      <c r="I204" s="85" t="s">
        <v>1189</v>
      </c>
      <c r="J204" s="181"/>
      <c r="AA204" s="177"/>
      <c r="AB204" s="177"/>
      <c r="AC204" s="177"/>
      <c r="AD204" s="177"/>
      <c r="AE204" s="179"/>
      <c r="AF204" s="179"/>
      <c r="AG204" s="179"/>
    </row>
    <row r="205" spans="1:33" x14ac:dyDescent="0.25">
      <c r="A205" s="85">
        <v>202</v>
      </c>
      <c r="E205" s="85" t="s">
        <v>1471</v>
      </c>
      <c r="G205" s="85" t="s">
        <v>1011</v>
      </c>
      <c r="H205" s="85" t="s">
        <v>1454</v>
      </c>
      <c r="I205" s="85" t="s">
        <v>1472</v>
      </c>
      <c r="J205" s="181"/>
      <c r="K205" s="181"/>
      <c r="AA205" s="177"/>
      <c r="AB205" s="177"/>
      <c r="AC205" s="177"/>
      <c r="AD205" s="177"/>
      <c r="AE205" s="179"/>
      <c r="AF205" s="179"/>
      <c r="AG205" s="179"/>
    </row>
    <row r="206" spans="1:33" x14ac:dyDescent="0.25">
      <c r="A206" s="85">
        <v>203</v>
      </c>
      <c r="E206" s="85" t="s">
        <v>1473</v>
      </c>
      <c r="G206" s="85" t="s">
        <v>1029</v>
      </c>
      <c r="H206" s="85" t="s">
        <v>1454</v>
      </c>
      <c r="I206" s="85" t="s">
        <v>1474</v>
      </c>
      <c r="J206" s="181"/>
      <c r="AA206" s="177"/>
      <c r="AB206" s="177"/>
      <c r="AC206" s="177"/>
      <c r="AD206" s="177"/>
      <c r="AE206" s="179"/>
      <c r="AF206" s="179"/>
      <c r="AG206" s="179"/>
    </row>
    <row r="207" spans="1:33" x14ac:dyDescent="0.25">
      <c r="A207" s="85">
        <v>204</v>
      </c>
      <c r="E207" s="85" t="s">
        <v>1475</v>
      </c>
      <c r="G207" s="85" t="s">
        <v>1011</v>
      </c>
      <c r="H207" s="85" t="s">
        <v>1454</v>
      </c>
      <c r="I207" s="85" t="s">
        <v>1199</v>
      </c>
      <c r="AA207" s="177"/>
      <c r="AB207" s="177"/>
      <c r="AC207" s="177"/>
      <c r="AD207" s="177"/>
      <c r="AE207" s="179"/>
      <c r="AF207" s="179"/>
      <c r="AG207" s="179"/>
    </row>
    <row r="208" spans="1:33" x14ac:dyDescent="0.25">
      <c r="A208" s="85">
        <v>205</v>
      </c>
      <c r="E208" s="85" t="s">
        <v>1476</v>
      </c>
      <c r="G208" s="85" t="s">
        <v>1029</v>
      </c>
      <c r="H208" s="85" t="s">
        <v>1454</v>
      </c>
      <c r="I208" s="85" t="s">
        <v>1477</v>
      </c>
      <c r="J208" s="181"/>
      <c r="AA208" s="177"/>
      <c r="AB208" s="177"/>
      <c r="AC208" s="177"/>
      <c r="AD208" s="177"/>
      <c r="AE208" s="179"/>
      <c r="AF208" s="179"/>
      <c r="AG208" s="179"/>
    </row>
    <row r="209" spans="1:33" x14ac:dyDescent="0.25">
      <c r="A209" s="85">
        <v>206</v>
      </c>
      <c r="E209" s="85" t="s">
        <v>1478</v>
      </c>
      <c r="G209" s="85" t="s">
        <v>1011</v>
      </c>
      <c r="H209" s="85" t="s">
        <v>1454</v>
      </c>
      <c r="I209" s="85" t="s">
        <v>1472</v>
      </c>
      <c r="J209" s="181"/>
      <c r="K209" s="181"/>
      <c r="AA209" s="177"/>
      <c r="AB209" s="177"/>
      <c r="AC209" s="177"/>
      <c r="AD209" s="177"/>
      <c r="AE209" s="179"/>
      <c r="AF209" s="179"/>
      <c r="AG209" s="179"/>
    </row>
    <row r="210" spans="1:33" x14ac:dyDescent="0.25">
      <c r="A210" s="85">
        <v>207</v>
      </c>
      <c r="E210" s="85" t="s">
        <v>1479</v>
      </c>
      <c r="G210" s="85" t="s">
        <v>1029</v>
      </c>
      <c r="H210" s="85" t="s">
        <v>1454</v>
      </c>
      <c r="I210" s="85" t="s">
        <v>1472</v>
      </c>
      <c r="J210" s="181"/>
      <c r="K210" s="181"/>
      <c r="AA210" s="177"/>
      <c r="AB210" s="177"/>
      <c r="AC210" s="177"/>
      <c r="AD210" s="177"/>
      <c r="AE210" s="179"/>
      <c r="AF210" s="179"/>
      <c r="AG210" s="179"/>
    </row>
    <row r="211" spans="1:33" x14ac:dyDescent="0.25">
      <c r="A211" s="85">
        <v>208</v>
      </c>
      <c r="E211" s="85" t="s">
        <v>1480</v>
      </c>
      <c r="G211" s="85" t="s">
        <v>1029</v>
      </c>
      <c r="H211" s="85" t="s">
        <v>1454</v>
      </c>
      <c r="I211" s="85" t="s">
        <v>888</v>
      </c>
      <c r="J211" s="181"/>
      <c r="AA211" s="177"/>
      <c r="AB211" s="177"/>
      <c r="AC211" s="177"/>
      <c r="AD211" s="177"/>
      <c r="AE211" s="179"/>
      <c r="AF211" s="179"/>
      <c r="AG211" s="179"/>
    </row>
    <row r="212" spans="1:33" x14ac:dyDescent="0.25">
      <c r="A212" s="85">
        <v>209</v>
      </c>
      <c r="E212" s="85" t="s">
        <v>1481</v>
      </c>
      <c r="G212" s="85" t="s">
        <v>1011</v>
      </c>
      <c r="H212" s="85" t="s">
        <v>1454</v>
      </c>
      <c r="I212" s="85" t="s">
        <v>1482</v>
      </c>
      <c r="AA212" s="177"/>
      <c r="AB212" s="177"/>
      <c r="AC212" s="177"/>
      <c r="AD212" s="177"/>
      <c r="AE212" s="179"/>
      <c r="AF212" s="179"/>
      <c r="AG212" s="179"/>
    </row>
    <row r="213" spans="1:33" x14ac:dyDescent="0.25">
      <c r="A213" s="85">
        <v>210</v>
      </c>
      <c r="E213" s="85" t="s">
        <v>1483</v>
      </c>
      <c r="G213" s="85" t="s">
        <v>1029</v>
      </c>
      <c r="H213" s="85" t="s">
        <v>1454</v>
      </c>
      <c r="I213" s="85" t="s">
        <v>1472</v>
      </c>
      <c r="J213" s="181"/>
      <c r="K213" s="181"/>
      <c r="AA213" s="177"/>
      <c r="AB213" s="177"/>
      <c r="AC213" s="177"/>
      <c r="AD213" s="177"/>
      <c r="AE213" s="179"/>
      <c r="AF213" s="179"/>
      <c r="AG213" s="179"/>
    </row>
    <row r="214" spans="1:33" x14ac:dyDescent="0.25">
      <c r="A214" s="85">
        <v>211</v>
      </c>
      <c r="E214" s="85" t="s">
        <v>1484</v>
      </c>
      <c r="G214" s="85" t="s">
        <v>1011</v>
      </c>
      <c r="H214" s="85" t="s">
        <v>1454</v>
      </c>
      <c r="I214" s="85" t="s">
        <v>1472</v>
      </c>
      <c r="J214" s="181"/>
      <c r="K214" s="181"/>
      <c r="AA214" s="177"/>
      <c r="AB214" s="177"/>
      <c r="AC214" s="177"/>
      <c r="AD214" s="177"/>
      <c r="AE214" s="179"/>
      <c r="AF214" s="179"/>
      <c r="AG214" s="179"/>
    </row>
    <row r="215" spans="1:33" x14ac:dyDescent="0.25">
      <c r="A215" s="85">
        <v>212</v>
      </c>
      <c r="E215" s="85" t="s">
        <v>1485</v>
      </c>
      <c r="G215" s="85" t="s">
        <v>1029</v>
      </c>
      <c r="H215" s="85" t="s">
        <v>1486</v>
      </c>
      <c r="I215" s="85" t="s">
        <v>1487</v>
      </c>
      <c r="J215" s="181"/>
      <c r="AA215" s="177"/>
      <c r="AB215" s="177"/>
      <c r="AC215" s="177"/>
      <c r="AD215" s="177"/>
      <c r="AE215" s="179"/>
      <c r="AF215" s="179"/>
      <c r="AG215" s="179"/>
    </row>
    <row r="216" spans="1:33" x14ac:dyDescent="0.25">
      <c r="A216" s="85">
        <v>213</v>
      </c>
      <c r="E216" s="85" t="s">
        <v>1488</v>
      </c>
      <c r="G216" s="85" t="s">
        <v>1011</v>
      </c>
      <c r="H216" s="85" t="s">
        <v>1454</v>
      </c>
      <c r="I216" s="85" t="s">
        <v>1489</v>
      </c>
      <c r="AA216" s="177"/>
      <c r="AB216" s="177"/>
      <c r="AC216" s="177"/>
      <c r="AD216" s="177"/>
      <c r="AE216" s="179"/>
      <c r="AF216" s="179"/>
      <c r="AG216" s="179"/>
    </row>
    <row r="217" spans="1:33" x14ac:dyDescent="0.25">
      <c r="A217" s="85">
        <v>214</v>
      </c>
      <c r="E217" s="85" t="s">
        <v>1490</v>
      </c>
      <c r="G217" s="85" t="s">
        <v>1029</v>
      </c>
      <c r="H217" s="85" t="s">
        <v>1486</v>
      </c>
      <c r="I217" s="85" t="s">
        <v>1474</v>
      </c>
      <c r="J217" s="181"/>
      <c r="AA217" s="177"/>
      <c r="AB217" s="177"/>
      <c r="AC217" s="177"/>
      <c r="AD217" s="177"/>
      <c r="AE217" s="179"/>
      <c r="AF217" s="179"/>
      <c r="AG217" s="179"/>
    </row>
    <row r="218" spans="1:33" x14ac:dyDescent="0.25">
      <c r="A218" s="85">
        <v>215</v>
      </c>
      <c r="E218" s="85" t="s">
        <v>1491</v>
      </c>
      <c r="G218" s="85" t="s">
        <v>1011</v>
      </c>
      <c r="H218" s="85" t="s">
        <v>1492</v>
      </c>
      <c r="I218" s="85" t="s">
        <v>1221</v>
      </c>
      <c r="AA218" s="177"/>
      <c r="AB218" s="177"/>
      <c r="AC218" s="177"/>
      <c r="AD218" s="177"/>
      <c r="AE218" s="179"/>
      <c r="AF218" s="179"/>
      <c r="AG218" s="179"/>
    </row>
    <row r="219" spans="1:33" x14ac:dyDescent="0.25">
      <c r="A219" s="85">
        <v>216</v>
      </c>
      <c r="E219" s="85" t="s">
        <v>1493</v>
      </c>
      <c r="G219" s="85" t="s">
        <v>1029</v>
      </c>
      <c r="H219" s="85" t="s">
        <v>1494</v>
      </c>
      <c r="I219" s="85" t="s">
        <v>1474</v>
      </c>
      <c r="J219" s="181"/>
      <c r="AA219" s="177"/>
      <c r="AB219" s="177"/>
      <c r="AC219" s="177"/>
      <c r="AD219" s="177"/>
      <c r="AE219" s="179"/>
      <c r="AF219" s="179"/>
      <c r="AG219" s="179"/>
    </row>
    <row r="220" spans="1:33" x14ac:dyDescent="0.25">
      <c r="A220" s="85">
        <v>217</v>
      </c>
      <c r="E220" s="85" t="s">
        <v>1495</v>
      </c>
      <c r="G220" s="85" t="s">
        <v>1011</v>
      </c>
      <c r="H220" s="85" t="s">
        <v>1496</v>
      </c>
      <c r="I220" s="85" t="s">
        <v>1489</v>
      </c>
      <c r="AA220" s="177"/>
      <c r="AB220" s="177"/>
      <c r="AC220" s="177"/>
      <c r="AD220" s="177"/>
      <c r="AE220" s="179"/>
      <c r="AF220" s="179"/>
      <c r="AG220" s="179"/>
    </row>
    <row r="221" spans="1:33" x14ac:dyDescent="0.25">
      <c r="A221" s="85">
        <v>218</v>
      </c>
      <c r="E221" s="85" t="s">
        <v>1497</v>
      </c>
      <c r="G221" s="85" t="s">
        <v>1029</v>
      </c>
      <c r="H221" s="85" t="s">
        <v>1486</v>
      </c>
      <c r="I221" s="85" t="s">
        <v>1498</v>
      </c>
      <c r="J221" s="181"/>
      <c r="K221" s="181"/>
      <c r="AA221" s="177"/>
      <c r="AB221" s="177"/>
      <c r="AC221" s="177"/>
      <c r="AD221" s="177"/>
      <c r="AE221" s="179"/>
      <c r="AF221" s="179"/>
      <c r="AG221" s="179"/>
    </row>
    <row r="222" spans="1:33" x14ac:dyDescent="0.25">
      <c r="A222" s="85">
        <v>219</v>
      </c>
      <c r="E222" s="85" t="s">
        <v>1499</v>
      </c>
      <c r="G222" s="85" t="s">
        <v>1011</v>
      </c>
      <c r="H222" s="85" t="s">
        <v>1494</v>
      </c>
      <c r="I222" s="85" t="s">
        <v>1500</v>
      </c>
      <c r="AA222" s="177"/>
      <c r="AB222" s="177"/>
      <c r="AC222" s="177"/>
      <c r="AD222" s="177"/>
      <c r="AE222" s="179"/>
      <c r="AF222" s="179"/>
      <c r="AG222" s="179"/>
    </row>
    <row r="223" spans="1:33" x14ac:dyDescent="0.25">
      <c r="A223" s="85">
        <v>220</v>
      </c>
      <c r="E223" s="85" t="s">
        <v>1501</v>
      </c>
      <c r="G223" s="85" t="s">
        <v>1029</v>
      </c>
      <c r="H223" s="85" t="s">
        <v>1486</v>
      </c>
      <c r="I223" s="85" t="s">
        <v>1498</v>
      </c>
      <c r="J223" s="181"/>
      <c r="K223" s="181"/>
      <c r="AA223" s="177"/>
      <c r="AB223" s="177"/>
      <c r="AC223" s="177"/>
      <c r="AD223" s="177"/>
      <c r="AE223" s="179"/>
      <c r="AF223" s="179"/>
      <c r="AG223" s="179"/>
    </row>
    <row r="224" spans="1:33" x14ac:dyDescent="0.25">
      <c r="A224" s="85">
        <v>221</v>
      </c>
      <c r="E224" s="85" t="s">
        <v>1502</v>
      </c>
      <c r="G224" s="85" t="s">
        <v>1011</v>
      </c>
      <c r="H224" s="85" t="s">
        <v>1494</v>
      </c>
      <c r="I224" s="85" t="s">
        <v>1283</v>
      </c>
      <c r="J224" s="181"/>
      <c r="K224" s="181"/>
      <c r="AA224" s="177"/>
      <c r="AB224" s="177"/>
      <c r="AC224" s="177"/>
      <c r="AD224" s="177"/>
      <c r="AE224" s="179"/>
      <c r="AF224" s="179"/>
      <c r="AG224" s="179"/>
    </row>
    <row r="225" spans="1:33" x14ac:dyDescent="0.25">
      <c r="A225" s="85">
        <v>222</v>
      </c>
      <c r="E225" s="85" t="s">
        <v>1503</v>
      </c>
      <c r="G225" s="85" t="s">
        <v>1029</v>
      </c>
      <c r="H225" s="85" t="s">
        <v>1496</v>
      </c>
      <c r="I225" s="85" t="s">
        <v>1504</v>
      </c>
      <c r="J225" s="181"/>
      <c r="K225" s="181"/>
      <c r="AA225" s="177"/>
      <c r="AB225" s="177"/>
      <c r="AC225" s="177"/>
      <c r="AD225" s="177"/>
      <c r="AE225" s="179"/>
      <c r="AF225" s="179"/>
      <c r="AG225" s="179"/>
    </row>
    <row r="226" spans="1:33" x14ac:dyDescent="0.25">
      <c r="A226" s="85">
        <v>223</v>
      </c>
      <c r="E226" s="85" t="s">
        <v>1505</v>
      </c>
      <c r="G226" s="85" t="s">
        <v>1011</v>
      </c>
      <c r="H226" s="85" t="s">
        <v>1494</v>
      </c>
      <c r="I226" s="85" t="s">
        <v>1506</v>
      </c>
      <c r="AA226" s="177"/>
      <c r="AB226" s="177"/>
      <c r="AC226" s="177"/>
      <c r="AD226" s="177"/>
      <c r="AE226" s="179"/>
      <c r="AF226" s="179"/>
      <c r="AG226" s="179"/>
    </row>
    <row r="227" spans="1:33" x14ac:dyDescent="0.25">
      <c r="A227" s="85">
        <v>224</v>
      </c>
      <c r="E227" s="85" t="s">
        <v>1507</v>
      </c>
      <c r="G227" s="85" t="s">
        <v>1029</v>
      </c>
      <c r="H227" s="85" t="s">
        <v>1496</v>
      </c>
      <c r="I227" s="85" t="s">
        <v>1504</v>
      </c>
      <c r="J227" s="181"/>
      <c r="K227" s="181"/>
      <c r="AA227" s="177"/>
      <c r="AB227" s="177"/>
      <c r="AC227" s="177"/>
      <c r="AD227" s="177"/>
      <c r="AE227" s="179"/>
      <c r="AF227" s="179"/>
      <c r="AG227" s="179"/>
    </row>
    <row r="228" spans="1:33" x14ac:dyDescent="0.25">
      <c r="A228" s="85">
        <v>225</v>
      </c>
      <c r="E228" s="85" t="s">
        <v>1063</v>
      </c>
      <c r="AA228" s="177"/>
      <c r="AB228" s="177"/>
      <c r="AC228" s="177"/>
      <c r="AD228" s="177"/>
      <c r="AE228" s="179"/>
      <c r="AF228" s="179"/>
      <c r="AG228" s="179"/>
    </row>
    <row r="229" spans="1:33" x14ac:dyDescent="0.25">
      <c r="A229" s="85">
        <v>226</v>
      </c>
      <c r="E229" s="85" t="s">
        <v>1508</v>
      </c>
      <c r="G229" s="85" t="s">
        <v>1011</v>
      </c>
      <c r="H229" s="85" t="s">
        <v>1509</v>
      </c>
      <c r="I229" s="85" t="s">
        <v>1510</v>
      </c>
      <c r="J229" s="181"/>
      <c r="K229" s="181"/>
      <c r="AA229" s="177"/>
      <c r="AB229" s="177"/>
      <c r="AC229" s="177"/>
      <c r="AD229" s="177"/>
      <c r="AE229" s="179"/>
      <c r="AF229" s="179"/>
      <c r="AG229" s="179"/>
    </row>
    <row r="230" spans="1:33" x14ac:dyDescent="0.25">
      <c r="A230" s="85">
        <v>227</v>
      </c>
      <c r="E230" s="85" t="s">
        <v>1063</v>
      </c>
      <c r="AA230" s="177"/>
      <c r="AB230" s="177"/>
      <c r="AC230" s="177"/>
      <c r="AD230" s="177"/>
      <c r="AE230" s="179"/>
      <c r="AF230" s="179"/>
      <c r="AG230" s="179"/>
    </row>
    <row r="231" spans="1:33" x14ac:dyDescent="0.25">
      <c r="A231" s="85">
        <v>228</v>
      </c>
      <c r="E231" s="85" t="s">
        <v>1511</v>
      </c>
      <c r="G231" s="85" t="s">
        <v>1011</v>
      </c>
      <c r="H231" s="85" t="s">
        <v>1509</v>
      </c>
      <c r="I231" s="85" t="s">
        <v>1362</v>
      </c>
      <c r="J231" s="181"/>
      <c r="K231" s="181"/>
      <c r="AA231" s="177"/>
      <c r="AB231" s="177"/>
      <c r="AC231" s="177"/>
      <c r="AD231" s="177"/>
      <c r="AE231" s="179"/>
      <c r="AF231" s="179"/>
      <c r="AG231" s="179"/>
    </row>
    <row r="232" spans="1:33" x14ac:dyDescent="0.25">
      <c r="A232" s="85">
        <v>229</v>
      </c>
      <c r="E232" s="85" t="s">
        <v>1512</v>
      </c>
      <c r="G232" s="85" t="s">
        <v>1029</v>
      </c>
      <c r="H232" s="85" t="s">
        <v>1509</v>
      </c>
      <c r="I232" s="85" t="s">
        <v>1513</v>
      </c>
      <c r="AA232" s="177"/>
      <c r="AB232" s="177"/>
      <c r="AC232" s="177"/>
      <c r="AD232" s="177"/>
      <c r="AE232" s="179"/>
      <c r="AF232" s="179"/>
      <c r="AG232" s="179"/>
    </row>
    <row r="233" spans="1:33" x14ac:dyDescent="0.25">
      <c r="A233" s="85">
        <v>230</v>
      </c>
      <c r="E233" s="85" t="s">
        <v>1063</v>
      </c>
      <c r="AA233" s="177"/>
      <c r="AB233" s="177"/>
      <c r="AC233" s="177"/>
      <c r="AD233" s="177"/>
      <c r="AE233" s="179"/>
      <c r="AF233" s="179"/>
      <c r="AG233" s="179"/>
    </row>
    <row r="234" spans="1:33" x14ac:dyDescent="0.25">
      <c r="A234" s="85">
        <v>231</v>
      </c>
      <c r="E234" s="85" t="s">
        <v>1063</v>
      </c>
      <c r="AA234" s="177"/>
      <c r="AB234" s="177"/>
      <c r="AC234" s="177"/>
      <c r="AD234" s="177"/>
      <c r="AE234" s="179"/>
      <c r="AF234" s="179"/>
      <c r="AG234" s="179"/>
    </row>
    <row r="235" spans="1:33" x14ac:dyDescent="0.25">
      <c r="A235" s="85">
        <v>232</v>
      </c>
      <c r="E235" s="85" t="s">
        <v>1514</v>
      </c>
      <c r="G235" s="85" t="s">
        <v>1011</v>
      </c>
      <c r="H235" s="85" t="s">
        <v>1494</v>
      </c>
      <c r="I235" s="85" t="s">
        <v>1498</v>
      </c>
      <c r="AA235" s="177"/>
      <c r="AB235" s="177"/>
      <c r="AC235" s="177"/>
      <c r="AD235" s="177"/>
      <c r="AE235" s="179"/>
      <c r="AF235" s="179"/>
      <c r="AG235" s="179"/>
    </row>
    <row r="236" spans="1:33" x14ac:dyDescent="0.25">
      <c r="A236" s="85">
        <v>233</v>
      </c>
      <c r="E236" s="85" t="s">
        <v>1515</v>
      </c>
      <c r="G236" s="85" t="s">
        <v>1029</v>
      </c>
      <c r="H236" s="85" t="s">
        <v>1486</v>
      </c>
      <c r="I236" s="85" t="s">
        <v>1516</v>
      </c>
      <c r="J236" s="181"/>
      <c r="AA236" s="177"/>
      <c r="AB236" s="177"/>
      <c r="AC236" s="177"/>
      <c r="AD236" s="177"/>
      <c r="AE236" s="179"/>
      <c r="AF236" s="179"/>
      <c r="AG236" s="179"/>
    </row>
    <row r="237" spans="1:33" x14ac:dyDescent="0.25">
      <c r="A237" s="85">
        <v>234</v>
      </c>
      <c r="E237" s="85" t="s">
        <v>1517</v>
      </c>
      <c r="G237" s="85" t="s">
        <v>1011</v>
      </c>
      <c r="H237" s="85" t="s">
        <v>1486</v>
      </c>
      <c r="I237" s="85" t="s">
        <v>1518</v>
      </c>
      <c r="AA237" s="177"/>
      <c r="AB237" s="177"/>
      <c r="AC237" s="177"/>
      <c r="AD237" s="177"/>
      <c r="AE237" s="179"/>
      <c r="AF237" s="179"/>
      <c r="AG237" s="179"/>
    </row>
    <row r="238" spans="1:33" x14ac:dyDescent="0.25">
      <c r="A238" s="85">
        <v>235</v>
      </c>
      <c r="E238" s="85" t="s">
        <v>1519</v>
      </c>
      <c r="G238" s="85" t="s">
        <v>1029</v>
      </c>
      <c r="H238" s="85" t="s">
        <v>1492</v>
      </c>
      <c r="I238" s="85" t="s">
        <v>1520</v>
      </c>
      <c r="J238" s="181"/>
      <c r="K238" s="181"/>
      <c r="AA238" s="177"/>
      <c r="AB238" s="177"/>
      <c r="AC238" s="177"/>
      <c r="AD238" s="177"/>
      <c r="AE238" s="179"/>
      <c r="AF238" s="179"/>
      <c r="AG238" s="179"/>
    </row>
    <row r="239" spans="1:33" x14ac:dyDescent="0.25">
      <c r="A239" s="85">
        <v>236</v>
      </c>
      <c r="E239" s="85" t="s">
        <v>1521</v>
      </c>
      <c r="G239" s="85" t="s">
        <v>1011</v>
      </c>
      <c r="H239" s="85" t="s">
        <v>1522</v>
      </c>
      <c r="I239" s="85" t="s">
        <v>1217</v>
      </c>
      <c r="AA239" s="177"/>
      <c r="AB239" s="177"/>
      <c r="AC239" s="177"/>
      <c r="AD239" s="177"/>
      <c r="AE239" s="179"/>
      <c r="AF239" s="179"/>
      <c r="AG239" s="179"/>
    </row>
    <row r="240" spans="1:33" x14ac:dyDescent="0.25">
      <c r="A240" s="85">
        <v>237</v>
      </c>
      <c r="E240" s="85" t="s">
        <v>1523</v>
      </c>
      <c r="G240" s="85" t="s">
        <v>1029</v>
      </c>
      <c r="H240" s="85" t="s">
        <v>1496</v>
      </c>
      <c r="I240" s="85" t="s">
        <v>1362</v>
      </c>
      <c r="AA240" s="177"/>
      <c r="AB240" s="177"/>
      <c r="AC240" s="177"/>
      <c r="AD240" s="177"/>
      <c r="AE240" s="179"/>
      <c r="AF240" s="179"/>
      <c r="AG240" s="179"/>
    </row>
    <row r="241" spans="1:33" x14ac:dyDescent="0.25">
      <c r="A241" s="85">
        <v>238</v>
      </c>
      <c r="E241" s="85" t="s">
        <v>1524</v>
      </c>
      <c r="G241" s="85" t="s">
        <v>1011</v>
      </c>
      <c r="H241" s="85" t="s">
        <v>1496</v>
      </c>
      <c r="I241" s="85" t="s">
        <v>1525</v>
      </c>
      <c r="J241" s="181"/>
      <c r="K241" s="181"/>
      <c r="AA241" s="177"/>
      <c r="AB241" s="177"/>
      <c r="AC241" s="177"/>
      <c r="AD241" s="177"/>
      <c r="AE241" s="179"/>
      <c r="AF241" s="179"/>
      <c r="AG241" s="179"/>
    </row>
    <row r="242" spans="1:33" x14ac:dyDescent="0.25">
      <c r="A242" s="85">
        <v>239</v>
      </c>
      <c r="E242" s="85" t="s">
        <v>1526</v>
      </c>
      <c r="G242" s="85" t="s">
        <v>1029</v>
      </c>
      <c r="H242" s="85" t="s">
        <v>1486</v>
      </c>
      <c r="I242" s="85" t="s">
        <v>1516</v>
      </c>
      <c r="J242" s="181"/>
      <c r="AA242" s="177"/>
      <c r="AB242" s="177"/>
      <c r="AC242" s="177"/>
      <c r="AD242" s="177"/>
      <c r="AE242" s="179"/>
      <c r="AF242" s="179"/>
      <c r="AG242" s="179"/>
    </row>
    <row r="243" spans="1:33" x14ac:dyDescent="0.25">
      <c r="A243" s="85">
        <v>240</v>
      </c>
      <c r="E243" s="85" t="s">
        <v>1527</v>
      </c>
      <c r="G243" s="85" t="s">
        <v>1029</v>
      </c>
      <c r="H243" s="85" t="s">
        <v>1486</v>
      </c>
      <c r="I243" s="85" t="s">
        <v>1528</v>
      </c>
      <c r="J243" s="181"/>
      <c r="AA243" s="177"/>
      <c r="AB243" s="177"/>
      <c r="AC243" s="177"/>
      <c r="AD243" s="177"/>
      <c r="AE243" s="179"/>
      <c r="AF243" s="179"/>
      <c r="AG243" s="179"/>
    </row>
    <row r="244" spans="1:33" x14ac:dyDescent="0.25">
      <c r="A244" s="85">
        <v>241</v>
      </c>
      <c r="E244" s="85" t="s">
        <v>1529</v>
      </c>
      <c r="G244" s="85" t="s">
        <v>1029</v>
      </c>
      <c r="H244" s="85" t="s">
        <v>1496</v>
      </c>
      <c r="I244" s="85" t="s">
        <v>1362</v>
      </c>
      <c r="J244" s="181"/>
      <c r="K244" s="181"/>
      <c r="AA244" s="177" t="s">
        <v>1790</v>
      </c>
      <c r="AB244" s="224">
        <v>43445</v>
      </c>
      <c r="AC244" s="177"/>
      <c r="AD244" s="177"/>
      <c r="AE244" s="179"/>
      <c r="AF244" s="179"/>
      <c r="AG244" s="179"/>
    </row>
    <row r="245" spans="1:33" x14ac:dyDescent="0.25">
      <c r="A245" s="85">
        <v>242</v>
      </c>
      <c r="E245" s="85" t="s">
        <v>1530</v>
      </c>
      <c r="G245" s="85" t="s">
        <v>1011</v>
      </c>
      <c r="H245" s="85" t="s">
        <v>1496</v>
      </c>
      <c r="I245" s="85" t="s">
        <v>1525</v>
      </c>
      <c r="J245" s="181"/>
      <c r="K245" s="181"/>
      <c r="AA245" s="177"/>
      <c r="AB245" s="177"/>
      <c r="AC245" s="177"/>
      <c r="AD245" s="177"/>
      <c r="AE245" s="179"/>
      <c r="AF245" s="179"/>
      <c r="AG245" s="179"/>
    </row>
    <row r="246" spans="1:33" x14ac:dyDescent="0.25">
      <c r="A246" s="85">
        <v>243</v>
      </c>
      <c r="E246" s="85" t="s">
        <v>1531</v>
      </c>
      <c r="G246" s="85" t="s">
        <v>1029</v>
      </c>
      <c r="H246" s="85" t="s">
        <v>1486</v>
      </c>
      <c r="I246" s="85" t="s">
        <v>1388</v>
      </c>
      <c r="J246" s="181"/>
      <c r="K246" s="181"/>
      <c r="AA246" s="177"/>
      <c r="AB246" s="177"/>
      <c r="AC246" s="177"/>
      <c r="AD246" s="177"/>
      <c r="AE246" s="179"/>
      <c r="AF246" s="179"/>
      <c r="AG246" s="179"/>
    </row>
    <row r="247" spans="1:33" x14ac:dyDescent="0.25">
      <c r="A247" s="85">
        <v>244</v>
      </c>
      <c r="E247" s="85" t="s">
        <v>1532</v>
      </c>
      <c r="G247" s="85" t="s">
        <v>1011</v>
      </c>
      <c r="H247" s="85" t="s">
        <v>1492</v>
      </c>
      <c r="I247" s="85" t="s">
        <v>1533</v>
      </c>
      <c r="AA247" s="177"/>
      <c r="AB247" s="177"/>
      <c r="AC247" s="177"/>
      <c r="AD247" s="177"/>
      <c r="AE247" s="179"/>
      <c r="AF247" s="179"/>
      <c r="AG247" s="179"/>
    </row>
    <row r="248" spans="1:33" x14ac:dyDescent="0.25">
      <c r="A248" s="85">
        <v>245</v>
      </c>
      <c r="E248" s="85" t="s">
        <v>1534</v>
      </c>
      <c r="G248" s="85" t="s">
        <v>1029</v>
      </c>
      <c r="H248" s="85" t="s">
        <v>1492</v>
      </c>
      <c r="I248" s="85" t="s">
        <v>1533</v>
      </c>
      <c r="J248" s="181"/>
      <c r="AA248" s="177"/>
      <c r="AB248" s="177"/>
      <c r="AC248" s="177"/>
      <c r="AD248" s="177"/>
      <c r="AE248" s="179"/>
      <c r="AF248" s="179"/>
      <c r="AG248" s="179"/>
    </row>
    <row r="249" spans="1:33" x14ac:dyDescent="0.25">
      <c r="A249" s="85">
        <v>246</v>
      </c>
      <c r="E249" s="85" t="s">
        <v>1535</v>
      </c>
      <c r="G249" s="85" t="s">
        <v>1011</v>
      </c>
      <c r="H249" s="85" t="s">
        <v>1536</v>
      </c>
      <c r="I249" s="85" t="s">
        <v>1533</v>
      </c>
      <c r="AA249" s="177"/>
      <c r="AB249" s="177"/>
      <c r="AC249" s="177"/>
      <c r="AD249" s="177"/>
      <c r="AE249" s="179"/>
      <c r="AF249" s="179"/>
      <c r="AG249" s="179"/>
    </row>
    <row r="250" spans="1:33" x14ac:dyDescent="0.25">
      <c r="A250" s="85">
        <v>247</v>
      </c>
      <c r="E250" s="85" t="s">
        <v>1537</v>
      </c>
      <c r="G250" s="85" t="s">
        <v>1029</v>
      </c>
      <c r="H250" s="85" t="s">
        <v>1492</v>
      </c>
      <c r="I250" s="85" t="s">
        <v>1538</v>
      </c>
      <c r="J250" s="181"/>
      <c r="K250" s="181"/>
      <c r="AA250" s="177"/>
      <c r="AB250" s="177"/>
      <c r="AC250" s="177"/>
      <c r="AD250" s="177"/>
      <c r="AE250" s="179"/>
      <c r="AF250" s="179"/>
      <c r="AG250" s="179"/>
    </row>
    <row r="251" spans="1:33" x14ac:dyDescent="0.25">
      <c r="A251" s="85">
        <v>248</v>
      </c>
      <c r="E251" s="85" t="s">
        <v>1539</v>
      </c>
      <c r="G251" s="85" t="s">
        <v>1011</v>
      </c>
      <c r="H251" s="85" t="s">
        <v>1492</v>
      </c>
      <c r="I251" s="85" t="s">
        <v>1540</v>
      </c>
      <c r="AA251" s="177"/>
      <c r="AB251" s="177"/>
      <c r="AC251" s="177"/>
      <c r="AD251" s="177"/>
      <c r="AE251" s="179"/>
      <c r="AF251" s="179"/>
      <c r="AG251" s="179"/>
    </row>
    <row r="252" spans="1:33" x14ac:dyDescent="0.25">
      <c r="A252" s="85">
        <v>249</v>
      </c>
      <c r="E252" s="85" t="s">
        <v>1541</v>
      </c>
      <c r="G252" s="85" t="s">
        <v>1029</v>
      </c>
      <c r="H252" s="85" t="s">
        <v>1492</v>
      </c>
      <c r="I252" s="85" t="s">
        <v>1538</v>
      </c>
      <c r="J252" s="181"/>
      <c r="K252" s="181"/>
      <c r="AA252" s="177"/>
      <c r="AB252" s="177"/>
      <c r="AC252" s="177"/>
      <c r="AD252" s="177"/>
      <c r="AE252" s="179"/>
      <c r="AF252" s="179"/>
      <c r="AG252" s="179"/>
    </row>
    <row r="253" spans="1:33" x14ac:dyDescent="0.25">
      <c r="A253" s="85">
        <v>250</v>
      </c>
      <c r="E253" s="85" t="s">
        <v>1542</v>
      </c>
      <c r="G253" s="85" t="s">
        <v>1011</v>
      </c>
      <c r="H253" s="85" t="s">
        <v>1492</v>
      </c>
      <c r="I253" s="85" t="s">
        <v>1468</v>
      </c>
      <c r="AA253" s="177"/>
      <c r="AB253" s="177"/>
      <c r="AC253" s="177"/>
      <c r="AD253" s="177"/>
      <c r="AE253" s="179"/>
      <c r="AF253" s="179"/>
      <c r="AG253" s="179"/>
    </row>
    <row r="254" spans="1:33" x14ac:dyDescent="0.25">
      <c r="A254" s="85">
        <v>251</v>
      </c>
      <c r="E254" s="85" t="s">
        <v>1543</v>
      </c>
      <c r="G254" s="85" t="s">
        <v>1029</v>
      </c>
      <c r="H254" s="85" t="s">
        <v>1492</v>
      </c>
      <c r="I254" s="85" t="s">
        <v>1468</v>
      </c>
      <c r="J254" s="181"/>
      <c r="AA254" s="177"/>
      <c r="AB254" s="177"/>
      <c r="AC254" s="177"/>
      <c r="AD254" s="177"/>
      <c r="AE254" s="179"/>
      <c r="AF254" s="179"/>
      <c r="AG254" s="179"/>
    </row>
    <row r="255" spans="1:33" x14ac:dyDescent="0.25">
      <c r="A255" s="85">
        <v>252</v>
      </c>
      <c r="E255" s="85" t="s">
        <v>1063</v>
      </c>
      <c r="AA255" s="177"/>
      <c r="AB255" s="177"/>
      <c r="AC255" s="177"/>
      <c r="AD255" s="177"/>
      <c r="AE255" s="179"/>
      <c r="AF255" s="179"/>
      <c r="AG255" s="179"/>
    </row>
    <row r="256" spans="1:33" x14ac:dyDescent="0.25">
      <c r="A256" s="85">
        <v>253</v>
      </c>
      <c r="E256" s="85" t="s">
        <v>1544</v>
      </c>
      <c r="G256" s="85" t="s">
        <v>1011</v>
      </c>
      <c r="H256" s="85" t="s">
        <v>1492</v>
      </c>
      <c r="I256" s="85" t="s">
        <v>1538</v>
      </c>
      <c r="J256" s="181"/>
      <c r="K256" s="181"/>
      <c r="AA256" s="177"/>
      <c r="AB256" s="177"/>
      <c r="AC256" s="177"/>
      <c r="AD256" s="177"/>
      <c r="AE256" s="179"/>
      <c r="AF256" s="179"/>
      <c r="AG256" s="179"/>
    </row>
    <row r="257" spans="1:33" x14ac:dyDescent="0.25">
      <c r="A257" s="85">
        <v>254</v>
      </c>
      <c r="E257" s="85" t="s">
        <v>1545</v>
      </c>
      <c r="G257" s="85" t="s">
        <v>1011</v>
      </c>
      <c r="H257" s="85" t="s">
        <v>1492</v>
      </c>
      <c r="I257" s="85" t="s">
        <v>1468</v>
      </c>
      <c r="AA257" s="177"/>
      <c r="AB257" s="177"/>
      <c r="AC257" s="177"/>
      <c r="AD257" s="177"/>
      <c r="AE257" s="179"/>
      <c r="AF257" s="179"/>
      <c r="AG257" s="179"/>
    </row>
    <row r="258" spans="1:33" x14ac:dyDescent="0.25">
      <c r="A258" s="85">
        <v>255</v>
      </c>
      <c r="E258" s="85" t="s">
        <v>1546</v>
      </c>
      <c r="G258" s="85" t="s">
        <v>1011</v>
      </c>
      <c r="H258" s="85" t="s">
        <v>1492</v>
      </c>
      <c r="I258" s="85" t="s">
        <v>1468</v>
      </c>
      <c r="AA258" s="177"/>
      <c r="AB258" s="177"/>
      <c r="AC258" s="177"/>
      <c r="AD258" s="177"/>
      <c r="AE258" s="179"/>
      <c r="AF258" s="179"/>
      <c r="AG258" s="179"/>
    </row>
    <row r="259" spans="1:33" x14ac:dyDescent="0.25">
      <c r="A259" s="85">
        <v>256</v>
      </c>
      <c r="E259" s="85" t="s">
        <v>1547</v>
      </c>
      <c r="G259" s="85" t="s">
        <v>1029</v>
      </c>
      <c r="H259" s="85" t="s">
        <v>1486</v>
      </c>
      <c r="I259" s="85" t="s">
        <v>1498</v>
      </c>
      <c r="J259" s="181"/>
      <c r="K259" s="181"/>
      <c r="AA259" s="177"/>
      <c r="AB259" s="177"/>
      <c r="AC259" s="177"/>
      <c r="AD259" s="177"/>
      <c r="AE259" s="179"/>
      <c r="AF259" s="179"/>
      <c r="AG259" s="179"/>
    </row>
    <row r="260" spans="1:33" x14ac:dyDescent="0.25">
      <c r="A260" s="85">
        <v>257</v>
      </c>
      <c r="E260" s="85" t="s">
        <v>1548</v>
      </c>
      <c r="G260" s="85" t="s">
        <v>1011</v>
      </c>
      <c r="H260" s="85" t="s">
        <v>1486</v>
      </c>
      <c r="I260" s="85" t="s">
        <v>1549</v>
      </c>
      <c r="J260" s="181"/>
      <c r="K260" s="181"/>
      <c r="AA260" s="177"/>
      <c r="AB260" s="177"/>
      <c r="AC260" s="177"/>
      <c r="AD260" s="177"/>
      <c r="AE260" s="179"/>
      <c r="AF260" s="179"/>
      <c r="AG260" s="179"/>
    </row>
    <row r="261" spans="1:33" x14ac:dyDescent="0.25">
      <c r="A261" s="85">
        <v>258</v>
      </c>
      <c r="E261" s="85" t="s">
        <v>1550</v>
      </c>
      <c r="G261" s="85" t="s">
        <v>1029</v>
      </c>
      <c r="H261" s="85" t="s">
        <v>1486</v>
      </c>
      <c r="I261" s="85" t="s">
        <v>1551</v>
      </c>
      <c r="J261" s="181"/>
      <c r="AA261" s="177"/>
      <c r="AB261" s="177"/>
      <c r="AC261" s="177"/>
      <c r="AD261" s="177"/>
      <c r="AE261" s="179"/>
      <c r="AF261" s="179"/>
      <c r="AG261" s="179"/>
    </row>
    <row r="262" spans="1:33" x14ac:dyDescent="0.25">
      <c r="A262" s="85">
        <v>259</v>
      </c>
      <c r="E262" s="85" t="s">
        <v>1552</v>
      </c>
      <c r="G262" s="85" t="s">
        <v>1029</v>
      </c>
      <c r="H262" s="85" t="s">
        <v>1486</v>
      </c>
      <c r="I262" s="85" t="s">
        <v>1388</v>
      </c>
      <c r="J262" s="181"/>
      <c r="K262" s="181"/>
      <c r="AA262" s="177" t="s">
        <v>1790</v>
      </c>
      <c r="AB262" s="224">
        <v>43446</v>
      </c>
      <c r="AC262" s="177"/>
      <c r="AD262" s="177"/>
      <c r="AE262" s="179"/>
      <c r="AF262" s="179"/>
      <c r="AG262" s="179"/>
    </row>
    <row r="263" spans="1:33" x14ac:dyDescent="0.25">
      <c r="A263" s="85">
        <v>260</v>
      </c>
      <c r="E263" s="85" t="s">
        <v>1553</v>
      </c>
      <c r="G263" s="85" t="s">
        <v>1011</v>
      </c>
      <c r="H263" s="85" t="s">
        <v>1522</v>
      </c>
      <c r="I263" s="85" t="s">
        <v>1554</v>
      </c>
      <c r="AA263" s="177"/>
      <c r="AB263" s="177"/>
      <c r="AC263" s="177"/>
      <c r="AD263" s="177"/>
      <c r="AE263" s="179"/>
      <c r="AF263" s="179"/>
      <c r="AG263" s="179"/>
    </row>
    <row r="264" spans="1:33" x14ac:dyDescent="0.25">
      <c r="A264" s="85">
        <v>261</v>
      </c>
      <c r="E264" s="85" t="s">
        <v>1555</v>
      </c>
      <c r="G264" s="85" t="s">
        <v>1029</v>
      </c>
      <c r="H264" s="85" t="s">
        <v>1486</v>
      </c>
      <c r="I264" s="85" t="s">
        <v>1504</v>
      </c>
      <c r="J264" s="181"/>
      <c r="K264" s="181"/>
      <c r="AA264" s="177"/>
      <c r="AB264" s="177"/>
      <c r="AC264" s="177"/>
      <c r="AD264" s="177"/>
      <c r="AE264" s="179"/>
      <c r="AF264" s="179"/>
      <c r="AG264" s="179"/>
    </row>
    <row r="265" spans="1:33" x14ac:dyDescent="0.25">
      <c r="A265" s="85">
        <v>262</v>
      </c>
      <c r="E265" s="85" t="s">
        <v>1556</v>
      </c>
      <c r="G265" s="85" t="s">
        <v>1011</v>
      </c>
      <c r="H265" s="85" t="s">
        <v>1494</v>
      </c>
      <c r="I265" s="85" t="s">
        <v>1557</v>
      </c>
      <c r="AA265" s="177"/>
      <c r="AB265" s="177"/>
      <c r="AC265" s="177"/>
      <c r="AD265" s="177"/>
      <c r="AE265" s="179"/>
      <c r="AF265" s="179"/>
      <c r="AG265" s="179"/>
    </row>
    <row r="266" spans="1:33" x14ac:dyDescent="0.25">
      <c r="A266" s="85">
        <v>263</v>
      </c>
      <c r="E266" s="85" t="s">
        <v>1558</v>
      </c>
      <c r="G266" s="85" t="s">
        <v>1029</v>
      </c>
      <c r="H266" s="85" t="s">
        <v>1486</v>
      </c>
      <c r="I266" s="85" t="s">
        <v>1388</v>
      </c>
      <c r="J266" s="181"/>
      <c r="K266" s="181"/>
      <c r="AA266" s="177"/>
      <c r="AB266" s="177"/>
      <c r="AC266" s="177"/>
      <c r="AD266" s="177"/>
      <c r="AE266" s="179"/>
      <c r="AF266" s="179"/>
      <c r="AG266" s="179"/>
    </row>
    <row r="267" spans="1:33" x14ac:dyDescent="0.25">
      <c r="A267" s="85">
        <v>264</v>
      </c>
      <c r="E267" s="85" t="s">
        <v>1559</v>
      </c>
      <c r="G267" s="85" t="s">
        <v>1029</v>
      </c>
      <c r="H267" s="85" t="s">
        <v>1486</v>
      </c>
      <c r="I267" s="85" t="s">
        <v>1489</v>
      </c>
      <c r="J267" s="181"/>
      <c r="AA267" s="177"/>
      <c r="AB267" s="177"/>
      <c r="AC267" s="177"/>
      <c r="AD267" s="177"/>
      <c r="AE267" s="179"/>
      <c r="AF267" s="179"/>
      <c r="AG267" s="179"/>
    </row>
    <row r="268" spans="1:33" x14ac:dyDescent="0.25">
      <c r="A268" s="85">
        <v>265</v>
      </c>
      <c r="E268" s="85" t="s">
        <v>1560</v>
      </c>
      <c r="G268" s="85" t="s">
        <v>1029</v>
      </c>
      <c r="H268" s="85" t="s">
        <v>1496</v>
      </c>
      <c r="I268" s="85" t="s">
        <v>1504</v>
      </c>
      <c r="J268" s="181"/>
      <c r="K268" s="181"/>
      <c r="AA268" s="177"/>
      <c r="AB268" s="177"/>
      <c r="AC268" s="177"/>
      <c r="AD268" s="177"/>
      <c r="AE268" s="179"/>
      <c r="AF268" s="179"/>
      <c r="AG268" s="179"/>
    </row>
    <row r="269" spans="1:33" x14ac:dyDescent="0.25">
      <c r="A269" s="85">
        <v>266</v>
      </c>
      <c r="E269" s="85" t="s">
        <v>1561</v>
      </c>
      <c r="G269" s="85" t="s">
        <v>1011</v>
      </c>
      <c r="H269" s="85" t="s">
        <v>1486</v>
      </c>
      <c r="I269" s="85" t="s">
        <v>1362</v>
      </c>
      <c r="J269" s="181"/>
      <c r="K269" s="181"/>
      <c r="AA269" s="177"/>
      <c r="AB269" s="177"/>
      <c r="AC269" s="177"/>
      <c r="AD269" s="177"/>
      <c r="AE269" s="179"/>
      <c r="AF269" s="179"/>
      <c r="AG269" s="179"/>
    </row>
    <row r="270" spans="1:33" x14ac:dyDescent="0.25">
      <c r="A270" s="85">
        <v>267</v>
      </c>
      <c r="E270" s="85" t="s">
        <v>1562</v>
      </c>
      <c r="G270" s="85" t="s">
        <v>1029</v>
      </c>
      <c r="H270" s="85" t="s">
        <v>1486</v>
      </c>
      <c r="I270" s="85" t="s">
        <v>1563</v>
      </c>
      <c r="J270" s="181"/>
      <c r="AA270" s="177"/>
      <c r="AB270" s="177"/>
      <c r="AC270" s="177"/>
      <c r="AD270" s="177"/>
      <c r="AE270" s="179"/>
      <c r="AF270" s="179"/>
      <c r="AG270" s="179"/>
    </row>
    <row r="271" spans="1:33" x14ac:dyDescent="0.25">
      <c r="A271" s="85">
        <v>268</v>
      </c>
      <c r="E271" s="85" t="s">
        <v>1564</v>
      </c>
      <c r="G271" s="85" t="s">
        <v>1029</v>
      </c>
      <c r="H271" s="85" t="s">
        <v>1486</v>
      </c>
      <c r="I271" s="85" t="s">
        <v>1565</v>
      </c>
      <c r="J271" s="181"/>
      <c r="K271" s="181"/>
      <c r="AA271" s="177"/>
      <c r="AB271" s="177"/>
      <c r="AC271" s="177"/>
      <c r="AD271" s="177"/>
      <c r="AE271" s="179"/>
      <c r="AF271" s="179"/>
      <c r="AG271" s="179"/>
    </row>
    <row r="272" spans="1:33" x14ac:dyDescent="0.25">
      <c r="A272" s="85">
        <v>269</v>
      </c>
      <c r="E272" s="85" t="s">
        <v>1566</v>
      </c>
      <c r="G272" s="85" t="s">
        <v>1011</v>
      </c>
      <c r="H272" s="85" t="s">
        <v>1486</v>
      </c>
      <c r="I272" s="85" t="s">
        <v>1525</v>
      </c>
      <c r="J272" s="181"/>
      <c r="K272" s="181"/>
      <c r="AA272" s="177"/>
      <c r="AB272" s="177"/>
      <c r="AC272" s="177"/>
      <c r="AD272" s="177"/>
      <c r="AE272" s="179"/>
      <c r="AF272" s="179"/>
      <c r="AG272" s="179"/>
    </row>
    <row r="273" spans="1:33" x14ac:dyDescent="0.25">
      <c r="A273" s="85">
        <v>270</v>
      </c>
      <c r="E273" s="85" t="s">
        <v>1567</v>
      </c>
      <c r="G273" s="85" t="s">
        <v>1029</v>
      </c>
      <c r="H273" s="85" t="s">
        <v>1486</v>
      </c>
      <c r="I273" s="85" t="s">
        <v>1525</v>
      </c>
      <c r="J273" s="181"/>
      <c r="K273" s="181"/>
      <c r="AA273" s="177"/>
      <c r="AB273" s="177"/>
      <c r="AC273" s="177"/>
      <c r="AD273" s="177"/>
      <c r="AE273" s="179"/>
      <c r="AF273" s="179"/>
      <c r="AG273" s="179"/>
    </row>
    <row r="274" spans="1:33" x14ac:dyDescent="0.25">
      <c r="A274" s="85">
        <v>271</v>
      </c>
      <c r="E274" s="85" t="s">
        <v>1568</v>
      </c>
      <c r="G274" s="85" t="s">
        <v>1011</v>
      </c>
      <c r="H274" s="85" t="s">
        <v>1486</v>
      </c>
      <c r="I274" s="85" t="s">
        <v>1500</v>
      </c>
      <c r="AA274" s="177"/>
      <c r="AB274" s="177"/>
      <c r="AC274" s="177"/>
      <c r="AD274" s="177"/>
      <c r="AE274" s="179"/>
      <c r="AF274" s="179"/>
      <c r="AG274" s="179"/>
    </row>
    <row r="275" spans="1:33" x14ac:dyDescent="0.25">
      <c r="A275" s="85">
        <v>272</v>
      </c>
      <c r="E275" s="85" t="s">
        <v>1569</v>
      </c>
      <c r="G275" s="85" t="s">
        <v>1029</v>
      </c>
      <c r="H275" s="85" t="s">
        <v>1496</v>
      </c>
      <c r="I275" s="85" t="s">
        <v>1504</v>
      </c>
      <c r="J275" s="181"/>
      <c r="K275" s="181"/>
      <c r="AA275" s="177"/>
      <c r="AB275" s="177"/>
      <c r="AC275" s="177"/>
      <c r="AD275" s="177"/>
      <c r="AE275" s="179"/>
      <c r="AF275" s="179"/>
      <c r="AG275" s="179"/>
    </row>
    <row r="276" spans="1:33" x14ac:dyDescent="0.25">
      <c r="A276" s="85">
        <v>273</v>
      </c>
      <c r="E276" s="85" t="s">
        <v>1570</v>
      </c>
      <c r="G276" s="85" t="s">
        <v>1011</v>
      </c>
      <c r="H276" s="85" t="s">
        <v>1398</v>
      </c>
      <c r="I276" s="85" t="s">
        <v>1571</v>
      </c>
      <c r="AA276" s="177"/>
      <c r="AB276" s="177"/>
      <c r="AC276" s="177"/>
      <c r="AD276" s="177"/>
      <c r="AE276" s="179"/>
      <c r="AF276" s="179"/>
      <c r="AG276" s="179"/>
    </row>
    <row r="277" spans="1:33" x14ac:dyDescent="0.25">
      <c r="A277" s="85">
        <v>274</v>
      </c>
      <c r="E277" s="85" t="s">
        <v>1791</v>
      </c>
      <c r="G277" s="85" t="s">
        <v>1029</v>
      </c>
      <c r="H277" s="85" t="s">
        <v>1486</v>
      </c>
      <c r="I277" s="85" t="s">
        <v>1362</v>
      </c>
      <c r="J277" s="181"/>
      <c r="K277" s="181"/>
      <c r="AA277" s="177" t="s">
        <v>1780</v>
      </c>
      <c r="AB277" s="224">
        <v>43445</v>
      </c>
      <c r="AC277" s="177"/>
      <c r="AD277" s="177"/>
      <c r="AE277" s="179"/>
      <c r="AF277" s="179"/>
      <c r="AG277" s="179"/>
    </row>
    <row r="278" spans="1:33" x14ac:dyDescent="0.25">
      <c r="A278" s="85">
        <v>275</v>
      </c>
      <c r="E278" s="85" t="s">
        <v>1572</v>
      </c>
      <c r="G278" s="85" t="s">
        <v>1011</v>
      </c>
      <c r="H278" s="85" t="s">
        <v>1522</v>
      </c>
      <c r="I278" s="85" t="s">
        <v>1573</v>
      </c>
      <c r="AA278" s="177"/>
      <c r="AB278" s="177"/>
      <c r="AC278" s="177"/>
      <c r="AD278" s="177"/>
      <c r="AE278" s="179"/>
      <c r="AF278" s="179"/>
      <c r="AG278" s="179"/>
    </row>
    <row r="279" spans="1:33" x14ac:dyDescent="0.25">
      <c r="A279" s="85">
        <v>276</v>
      </c>
      <c r="E279" s="85" t="s">
        <v>1574</v>
      </c>
      <c r="G279" s="85" t="s">
        <v>1029</v>
      </c>
      <c r="H279" s="85" t="s">
        <v>1486</v>
      </c>
      <c r="I279" s="85" t="s">
        <v>1283</v>
      </c>
      <c r="J279" s="181"/>
      <c r="K279" s="181"/>
      <c r="AA279" s="177"/>
      <c r="AB279" s="177"/>
      <c r="AC279" s="177"/>
      <c r="AD279" s="177"/>
      <c r="AE279" s="179"/>
      <c r="AF279" s="179"/>
      <c r="AG279" s="179"/>
    </row>
    <row r="280" spans="1:33" x14ac:dyDescent="0.25">
      <c r="A280" s="85">
        <v>277</v>
      </c>
      <c r="E280" s="85" t="s">
        <v>1575</v>
      </c>
      <c r="G280" s="85" t="s">
        <v>1029</v>
      </c>
      <c r="H280" s="85" t="s">
        <v>1486</v>
      </c>
      <c r="I280" s="85" t="s">
        <v>1565</v>
      </c>
      <c r="J280" s="181"/>
      <c r="K280" s="181"/>
      <c r="AA280" s="177"/>
      <c r="AB280" s="177"/>
      <c r="AC280" s="177"/>
      <c r="AD280" s="177"/>
      <c r="AE280" s="179"/>
      <c r="AF280" s="179"/>
      <c r="AG280" s="179"/>
    </row>
    <row r="281" spans="1:33" x14ac:dyDescent="0.25">
      <c r="A281" s="85">
        <v>278</v>
      </c>
      <c r="E281" s="85" t="s">
        <v>1576</v>
      </c>
      <c r="G281" s="85" t="s">
        <v>1011</v>
      </c>
      <c r="H281" s="85" t="s">
        <v>1486</v>
      </c>
      <c r="I281" s="85" t="s">
        <v>1577</v>
      </c>
      <c r="AA281" s="177"/>
      <c r="AB281" s="177"/>
      <c r="AC281" s="177"/>
      <c r="AD281" s="177"/>
      <c r="AE281" s="179"/>
      <c r="AF281" s="179"/>
      <c r="AG281" s="179"/>
    </row>
    <row r="282" spans="1:33" x14ac:dyDescent="0.25">
      <c r="A282" s="85">
        <v>279</v>
      </c>
      <c r="E282" s="85" t="s">
        <v>1578</v>
      </c>
      <c r="G282" s="85" t="s">
        <v>1029</v>
      </c>
      <c r="H282" s="85" t="s">
        <v>1486</v>
      </c>
      <c r="I282" s="85" t="s">
        <v>1579</v>
      </c>
      <c r="J282" s="181"/>
      <c r="K282" s="181"/>
      <c r="AA282" s="177" t="s">
        <v>1780</v>
      </c>
      <c r="AB282" s="224">
        <v>43440</v>
      </c>
      <c r="AC282" s="177"/>
      <c r="AD282" s="177"/>
      <c r="AE282" s="179"/>
      <c r="AF282" s="179"/>
      <c r="AG282" s="179"/>
    </row>
    <row r="283" spans="1:33" x14ac:dyDescent="0.25">
      <c r="A283" s="85">
        <v>280</v>
      </c>
      <c r="E283" s="85" t="s">
        <v>1580</v>
      </c>
      <c r="G283" s="85" t="s">
        <v>1029</v>
      </c>
      <c r="H283" s="85" t="s">
        <v>1486</v>
      </c>
      <c r="I283" s="85" t="s">
        <v>1489</v>
      </c>
      <c r="J283" s="181"/>
      <c r="AA283" s="177"/>
      <c r="AB283" s="177"/>
      <c r="AC283" s="177"/>
      <c r="AD283" s="177"/>
      <c r="AE283" s="179"/>
      <c r="AF283" s="179"/>
      <c r="AG283" s="179"/>
    </row>
    <row r="284" spans="1:33" x14ac:dyDescent="0.25">
      <c r="A284" s="85">
        <v>281</v>
      </c>
      <c r="E284" s="85" t="s">
        <v>1581</v>
      </c>
      <c r="G284" s="85" t="s">
        <v>1029</v>
      </c>
      <c r="H284" s="85" t="s">
        <v>1582</v>
      </c>
      <c r="I284" s="85" t="s">
        <v>1525</v>
      </c>
      <c r="J284" s="181"/>
      <c r="K284" s="181"/>
      <c r="AA284" s="177"/>
      <c r="AB284" s="177"/>
      <c r="AC284" s="177"/>
      <c r="AD284" s="177"/>
      <c r="AE284" s="179"/>
      <c r="AF284" s="179"/>
      <c r="AG284" s="179"/>
    </row>
    <row r="285" spans="1:33" x14ac:dyDescent="0.25">
      <c r="A285" s="85">
        <v>282</v>
      </c>
      <c r="E285" s="85" t="s">
        <v>1063</v>
      </c>
      <c r="AA285" s="177"/>
      <c r="AB285" s="177"/>
      <c r="AC285" s="177"/>
      <c r="AD285" s="177"/>
      <c r="AE285" s="179"/>
      <c r="AF285" s="179"/>
      <c r="AG285" s="179"/>
    </row>
    <row r="286" spans="1:33" x14ac:dyDescent="0.25">
      <c r="A286" s="85">
        <v>283</v>
      </c>
      <c r="E286" s="85" t="s">
        <v>1583</v>
      </c>
      <c r="G286" s="85" t="s">
        <v>1029</v>
      </c>
      <c r="H286" s="85" t="s">
        <v>1486</v>
      </c>
      <c r="I286" s="85" t="s">
        <v>1573</v>
      </c>
      <c r="J286" s="181"/>
      <c r="AA286" s="177"/>
      <c r="AB286" s="177"/>
      <c r="AC286" s="177"/>
      <c r="AD286" s="177"/>
      <c r="AE286" s="179"/>
      <c r="AF286" s="179"/>
      <c r="AG286" s="179"/>
    </row>
    <row r="287" spans="1:33" x14ac:dyDescent="0.25">
      <c r="A287" s="85">
        <v>284</v>
      </c>
      <c r="E287" s="85" t="s">
        <v>1584</v>
      </c>
      <c r="G287" s="85" t="s">
        <v>1011</v>
      </c>
      <c r="H287" s="85" t="s">
        <v>1486</v>
      </c>
      <c r="I287" s="85" t="s">
        <v>1407</v>
      </c>
      <c r="J287" s="181"/>
      <c r="K287" s="181"/>
      <c r="AA287" s="177"/>
      <c r="AB287" s="177"/>
      <c r="AC287" s="177"/>
      <c r="AD287" s="177"/>
      <c r="AE287" s="179"/>
      <c r="AF287" s="179"/>
      <c r="AG287" s="179"/>
    </row>
    <row r="288" spans="1:33" x14ac:dyDescent="0.25">
      <c r="A288" s="85">
        <v>285</v>
      </c>
      <c r="E288" s="85" t="s">
        <v>1585</v>
      </c>
      <c r="G288" s="85" t="s">
        <v>1029</v>
      </c>
      <c r="H288" s="85" t="s">
        <v>1486</v>
      </c>
      <c r="I288" s="85" t="s">
        <v>1520</v>
      </c>
      <c r="J288" s="181"/>
      <c r="K288" s="181"/>
      <c r="AA288" s="177"/>
      <c r="AB288" s="177"/>
      <c r="AC288" s="177"/>
      <c r="AD288" s="177"/>
      <c r="AE288" s="179"/>
      <c r="AF288" s="179"/>
      <c r="AG288" s="179"/>
    </row>
    <row r="289" spans="1:33" x14ac:dyDescent="0.25">
      <c r="A289" s="85">
        <v>286</v>
      </c>
      <c r="E289" s="85" t="s">
        <v>1586</v>
      </c>
      <c r="G289" s="85" t="s">
        <v>1029</v>
      </c>
      <c r="H289" s="85" t="s">
        <v>1398</v>
      </c>
      <c r="I289" s="85" t="s">
        <v>1407</v>
      </c>
      <c r="J289" s="181"/>
      <c r="K289" s="181"/>
      <c r="AA289" s="177"/>
      <c r="AB289" s="177"/>
      <c r="AC289" s="177"/>
      <c r="AD289" s="177"/>
      <c r="AE289" s="179"/>
      <c r="AF289" s="179"/>
      <c r="AG289" s="179"/>
    </row>
    <row r="290" spans="1:33" x14ac:dyDescent="0.25">
      <c r="A290" s="85">
        <v>287</v>
      </c>
      <c r="E290" s="85" t="s">
        <v>1587</v>
      </c>
      <c r="G290" s="85" t="s">
        <v>1011</v>
      </c>
      <c r="H290" s="85" t="s">
        <v>1486</v>
      </c>
      <c r="I290" s="85" t="s">
        <v>1489</v>
      </c>
      <c r="AA290" s="177"/>
      <c r="AB290" s="177"/>
      <c r="AC290" s="177"/>
      <c r="AD290" s="177"/>
      <c r="AE290" s="179"/>
      <c r="AF290" s="179"/>
      <c r="AG290" s="179"/>
    </row>
    <row r="291" spans="1:33" x14ac:dyDescent="0.25">
      <c r="A291" s="85">
        <v>142</v>
      </c>
      <c r="E291" s="85" t="s">
        <v>1378</v>
      </c>
      <c r="G291" s="85" t="s">
        <v>1011</v>
      </c>
      <c r="H291" s="85" t="s">
        <v>1369</v>
      </c>
      <c r="I291" s="85" t="s">
        <v>1379</v>
      </c>
      <c r="AA291" s="177"/>
      <c r="AB291" s="177"/>
      <c r="AC291" s="177"/>
      <c r="AD291" s="177"/>
      <c r="AE291" s="179"/>
      <c r="AF291" s="179"/>
      <c r="AG291" s="179"/>
    </row>
    <row r="292" spans="1:33" x14ac:dyDescent="0.25">
      <c r="A292" s="85">
        <v>289</v>
      </c>
      <c r="E292" s="85" t="s">
        <v>1589</v>
      </c>
      <c r="G292" s="85" t="s">
        <v>1029</v>
      </c>
      <c r="H292" s="85" t="s">
        <v>1398</v>
      </c>
      <c r="I292" s="85" t="s">
        <v>1407</v>
      </c>
      <c r="J292" s="181"/>
      <c r="K292" s="181"/>
      <c r="AA292" s="177"/>
      <c r="AB292" s="177"/>
      <c r="AC292" s="177"/>
      <c r="AD292" s="177"/>
      <c r="AE292" s="179"/>
      <c r="AF292" s="179"/>
      <c r="AG292" s="179"/>
    </row>
    <row r="293" spans="1:33" x14ac:dyDescent="0.25">
      <c r="A293" s="85">
        <v>290</v>
      </c>
      <c r="E293" s="85" t="s">
        <v>1590</v>
      </c>
      <c r="G293" s="85" t="s">
        <v>1011</v>
      </c>
      <c r="H293" s="85" t="s">
        <v>1486</v>
      </c>
      <c r="I293" s="85" t="s">
        <v>1565</v>
      </c>
      <c r="J293" s="181"/>
      <c r="K293" s="181"/>
      <c r="AA293" s="177"/>
      <c r="AB293" s="177"/>
      <c r="AC293" s="177"/>
      <c r="AD293" s="177"/>
      <c r="AE293" s="179"/>
      <c r="AF293" s="179"/>
      <c r="AG293" s="179"/>
    </row>
    <row r="294" spans="1:33" x14ac:dyDescent="0.25">
      <c r="A294" s="85">
        <v>291</v>
      </c>
      <c r="E294" s="85" t="s">
        <v>1591</v>
      </c>
      <c r="G294" s="85" t="s">
        <v>1029</v>
      </c>
      <c r="H294" s="85" t="s">
        <v>1486</v>
      </c>
      <c r="I294" s="85" t="s">
        <v>1388</v>
      </c>
      <c r="J294" s="181"/>
      <c r="K294" s="181"/>
      <c r="AA294" s="177" t="s">
        <v>1780</v>
      </c>
      <c r="AB294" s="224">
        <v>43439</v>
      </c>
      <c r="AC294" s="177"/>
      <c r="AD294" s="177"/>
      <c r="AE294" s="179"/>
      <c r="AF294" s="179"/>
      <c r="AG294" s="179"/>
    </row>
    <row r="295" spans="1:33" x14ac:dyDescent="0.25">
      <c r="A295" s="85">
        <v>292</v>
      </c>
      <c r="E295" s="85" t="s">
        <v>1592</v>
      </c>
      <c r="G295" s="85" t="s">
        <v>1029</v>
      </c>
      <c r="H295" s="85" t="s">
        <v>1486</v>
      </c>
      <c r="I295" s="85" t="s">
        <v>1362</v>
      </c>
      <c r="J295" s="181"/>
      <c r="K295" s="181"/>
      <c r="AA295" s="177" t="s">
        <v>1780</v>
      </c>
      <c r="AB295" s="224">
        <v>43445</v>
      </c>
      <c r="AC295" s="177"/>
      <c r="AD295" s="177"/>
      <c r="AE295" s="179"/>
      <c r="AF295" s="179"/>
      <c r="AG295" s="179"/>
    </row>
    <row r="296" spans="1:33" x14ac:dyDescent="0.25">
      <c r="A296" s="85">
        <v>293</v>
      </c>
      <c r="E296" s="85" t="s">
        <v>1593</v>
      </c>
      <c r="G296" s="85" t="s">
        <v>1011</v>
      </c>
      <c r="H296" s="85" t="s">
        <v>1398</v>
      </c>
      <c r="I296" s="85" t="s">
        <v>1388</v>
      </c>
      <c r="AA296" s="177"/>
      <c r="AB296" s="177"/>
      <c r="AC296" s="177"/>
      <c r="AD296" s="177"/>
      <c r="AE296" s="179"/>
      <c r="AF296" s="179"/>
      <c r="AG296" s="179"/>
    </row>
    <row r="297" spans="1:33" x14ac:dyDescent="0.25">
      <c r="A297" s="85">
        <v>294</v>
      </c>
      <c r="E297" s="85" t="s">
        <v>1594</v>
      </c>
      <c r="G297" s="85" t="s">
        <v>1029</v>
      </c>
      <c r="H297" s="85" t="s">
        <v>1398</v>
      </c>
      <c r="I297" s="85" t="s">
        <v>830</v>
      </c>
      <c r="J297" s="181"/>
      <c r="AA297" s="177"/>
      <c r="AB297" s="177"/>
      <c r="AC297" s="177"/>
      <c r="AD297" s="177"/>
      <c r="AE297" s="179"/>
      <c r="AF297" s="179"/>
      <c r="AG297" s="179"/>
    </row>
    <row r="298" spans="1:33" x14ac:dyDescent="0.25">
      <c r="A298" s="85">
        <v>295</v>
      </c>
      <c r="E298" s="85" t="s">
        <v>1595</v>
      </c>
      <c r="G298" s="85" t="s">
        <v>1029</v>
      </c>
      <c r="H298" s="85" t="s">
        <v>1486</v>
      </c>
      <c r="I298" s="85" t="s">
        <v>1579</v>
      </c>
      <c r="J298" s="181"/>
      <c r="K298" s="181"/>
      <c r="AA298" s="177"/>
      <c r="AB298" s="177"/>
      <c r="AC298" s="177"/>
      <c r="AD298" s="177"/>
      <c r="AE298" s="179"/>
      <c r="AF298" s="179"/>
      <c r="AG298" s="179"/>
    </row>
    <row r="299" spans="1:33" x14ac:dyDescent="0.25">
      <c r="A299" s="85">
        <v>296</v>
      </c>
      <c r="E299" s="85" t="s">
        <v>1596</v>
      </c>
      <c r="G299" s="85" t="s">
        <v>1029</v>
      </c>
      <c r="H299" s="85" t="s">
        <v>1398</v>
      </c>
      <c r="I299" s="85" t="s">
        <v>1504</v>
      </c>
      <c r="J299" s="181"/>
      <c r="K299" s="181"/>
      <c r="AA299" s="177"/>
      <c r="AB299" s="177"/>
      <c r="AC299" s="177"/>
      <c r="AD299" s="177"/>
      <c r="AE299" s="179"/>
      <c r="AF299" s="179"/>
      <c r="AG299" s="179"/>
    </row>
    <row r="300" spans="1:33" x14ac:dyDescent="0.25">
      <c r="A300" s="85">
        <v>297</v>
      </c>
      <c r="E300" s="85" t="s">
        <v>1597</v>
      </c>
      <c r="G300" s="85" t="s">
        <v>1011</v>
      </c>
      <c r="H300" s="85" t="s">
        <v>1398</v>
      </c>
      <c r="I300" s="85" t="s">
        <v>1598</v>
      </c>
      <c r="AA300" s="177"/>
      <c r="AB300" s="177"/>
      <c r="AC300" s="177"/>
      <c r="AD300" s="177"/>
      <c r="AE300" s="179"/>
      <c r="AF300" s="179"/>
      <c r="AG300" s="179"/>
    </row>
    <row r="301" spans="1:33" x14ac:dyDescent="0.25">
      <c r="A301" s="85">
        <v>298</v>
      </c>
      <c r="E301" s="85" t="s">
        <v>1599</v>
      </c>
      <c r="G301" s="85" t="s">
        <v>1011</v>
      </c>
      <c r="H301" s="85" t="s">
        <v>1600</v>
      </c>
      <c r="I301" s="85" t="s">
        <v>1601</v>
      </c>
      <c r="AA301" s="177"/>
      <c r="AB301" s="177"/>
      <c r="AC301" s="177"/>
      <c r="AD301" s="177"/>
      <c r="AE301" s="179"/>
      <c r="AF301" s="179"/>
      <c r="AG301" s="179"/>
    </row>
    <row r="302" spans="1:33" x14ac:dyDescent="0.25">
      <c r="A302" s="85">
        <v>299</v>
      </c>
      <c r="E302" s="85" t="s">
        <v>1063</v>
      </c>
      <c r="AA302" s="177"/>
      <c r="AB302" s="177"/>
      <c r="AC302" s="177"/>
      <c r="AD302" s="177"/>
      <c r="AE302" s="179"/>
      <c r="AF302" s="179"/>
      <c r="AG302" s="179"/>
    </row>
    <row r="303" spans="1:33" x14ac:dyDescent="0.25">
      <c r="A303" s="85">
        <v>300</v>
      </c>
      <c r="E303" s="85" t="s">
        <v>1602</v>
      </c>
      <c r="G303" s="85" t="s">
        <v>1011</v>
      </c>
      <c r="H303" s="85" t="s">
        <v>1600</v>
      </c>
      <c r="I303" s="85" t="s">
        <v>1601</v>
      </c>
      <c r="AA303" s="177"/>
      <c r="AB303" s="177"/>
      <c r="AC303" s="177"/>
      <c r="AD303" s="177"/>
      <c r="AE303" s="179"/>
      <c r="AF303" s="179"/>
      <c r="AG303" s="179"/>
    </row>
    <row r="304" spans="1:33" x14ac:dyDescent="0.25">
      <c r="A304" s="85">
        <v>301</v>
      </c>
      <c r="E304" s="85" t="s">
        <v>1063</v>
      </c>
      <c r="AA304" s="177"/>
      <c r="AB304" s="177"/>
      <c r="AC304" s="177"/>
      <c r="AD304" s="177"/>
      <c r="AE304" s="179"/>
      <c r="AF304" s="179"/>
      <c r="AG304" s="179"/>
    </row>
    <row r="305" spans="1:33" x14ac:dyDescent="0.25">
      <c r="A305" s="85">
        <v>302</v>
      </c>
      <c r="E305" s="85" t="s">
        <v>1603</v>
      </c>
      <c r="G305" s="85" t="s">
        <v>1011</v>
      </c>
      <c r="H305" s="85" t="s">
        <v>1600</v>
      </c>
      <c r="I305" s="85" t="s">
        <v>1601</v>
      </c>
      <c r="AA305" s="177"/>
      <c r="AB305" s="177"/>
      <c r="AC305" s="177"/>
      <c r="AD305" s="177"/>
      <c r="AE305" s="179"/>
      <c r="AF305" s="179"/>
      <c r="AG305" s="179"/>
    </row>
    <row r="306" spans="1:33" x14ac:dyDescent="0.25">
      <c r="A306" s="85">
        <v>303</v>
      </c>
      <c r="E306" s="85" t="s">
        <v>1063</v>
      </c>
      <c r="AA306" s="177"/>
      <c r="AB306" s="177"/>
      <c r="AC306" s="177"/>
      <c r="AD306" s="177"/>
      <c r="AE306" s="179"/>
      <c r="AF306" s="179"/>
      <c r="AG306" s="179"/>
    </row>
    <row r="307" spans="1:33" x14ac:dyDescent="0.25">
      <c r="A307" s="85">
        <v>304</v>
      </c>
      <c r="E307" s="85" t="s">
        <v>1604</v>
      </c>
      <c r="G307" s="85" t="s">
        <v>1029</v>
      </c>
      <c r="H307" s="85" t="s">
        <v>1582</v>
      </c>
      <c r="I307" s="85" t="s">
        <v>1605</v>
      </c>
      <c r="J307" s="181"/>
      <c r="AA307" s="177"/>
      <c r="AB307" s="177"/>
      <c r="AC307" s="177"/>
      <c r="AD307" s="177"/>
      <c r="AE307" s="179"/>
      <c r="AF307" s="179"/>
      <c r="AG307" s="179"/>
    </row>
    <row r="308" spans="1:33" x14ac:dyDescent="0.25">
      <c r="A308" s="85">
        <v>305</v>
      </c>
      <c r="E308" s="85" t="s">
        <v>1606</v>
      </c>
      <c r="G308" s="85" t="s">
        <v>1011</v>
      </c>
      <c r="H308" s="85" t="s">
        <v>1607</v>
      </c>
      <c r="I308" s="85" t="s">
        <v>1362</v>
      </c>
      <c r="J308" s="181"/>
      <c r="K308" s="181"/>
      <c r="AA308" s="177"/>
      <c r="AB308" s="177"/>
      <c r="AC308" s="177"/>
      <c r="AD308" s="177"/>
      <c r="AE308" s="179"/>
      <c r="AF308" s="179"/>
      <c r="AG308" s="179"/>
    </row>
    <row r="309" spans="1:33" x14ac:dyDescent="0.25">
      <c r="A309" s="85">
        <v>306</v>
      </c>
      <c r="E309" s="85" t="s">
        <v>1608</v>
      </c>
      <c r="G309" s="85" t="s">
        <v>1029</v>
      </c>
      <c r="H309" s="85" t="s">
        <v>1582</v>
      </c>
      <c r="I309" s="85" t="s">
        <v>1609</v>
      </c>
      <c r="J309" s="181"/>
      <c r="K309" s="181"/>
      <c r="AA309" s="177"/>
      <c r="AB309" s="177"/>
      <c r="AC309" s="177"/>
      <c r="AD309" s="177"/>
      <c r="AE309" s="179"/>
      <c r="AF309" s="179"/>
      <c r="AG309" s="179"/>
    </row>
    <row r="310" spans="1:33" x14ac:dyDescent="0.25">
      <c r="A310" s="85">
        <v>307</v>
      </c>
      <c r="E310" s="85" t="s">
        <v>1610</v>
      </c>
      <c r="G310" s="85" t="s">
        <v>1011</v>
      </c>
      <c r="H310" s="85" t="s">
        <v>1607</v>
      </c>
      <c r="I310" s="85" t="s">
        <v>1611</v>
      </c>
      <c r="AA310" s="177"/>
      <c r="AB310" s="177"/>
      <c r="AC310" s="177"/>
      <c r="AD310" s="177"/>
      <c r="AE310" s="179"/>
      <c r="AF310" s="179"/>
      <c r="AG310" s="179"/>
    </row>
    <row r="311" spans="1:33" x14ac:dyDescent="0.25">
      <c r="A311" s="85">
        <v>308</v>
      </c>
      <c r="E311" s="85" t="s">
        <v>1612</v>
      </c>
      <c r="G311" s="85" t="s">
        <v>1029</v>
      </c>
      <c r="H311" s="85" t="s">
        <v>1582</v>
      </c>
      <c r="I311" s="85" t="s">
        <v>1510</v>
      </c>
      <c r="J311" s="181"/>
      <c r="K311" s="181"/>
      <c r="AA311" s="177"/>
      <c r="AB311" s="177"/>
      <c r="AC311" s="177"/>
      <c r="AD311" s="177"/>
      <c r="AE311" s="179"/>
      <c r="AF311" s="179"/>
      <c r="AG311" s="179"/>
    </row>
    <row r="312" spans="1:33" x14ac:dyDescent="0.25">
      <c r="A312" s="85">
        <v>309</v>
      </c>
      <c r="E312" s="85" t="s">
        <v>1613</v>
      </c>
      <c r="G312" s="85" t="s">
        <v>1011</v>
      </c>
      <c r="H312" s="85" t="s">
        <v>1582</v>
      </c>
      <c r="I312" s="85" t="s">
        <v>1518</v>
      </c>
      <c r="AA312" s="177"/>
      <c r="AB312" s="177"/>
      <c r="AC312" s="177"/>
      <c r="AD312" s="177"/>
      <c r="AE312" s="179"/>
      <c r="AF312" s="179"/>
      <c r="AG312" s="179"/>
    </row>
    <row r="313" spans="1:33" x14ac:dyDescent="0.25">
      <c r="A313" s="85">
        <v>310</v>
      </c>
      <c r="E313" s="85" t="s">
        <v>1614</v>
      </c>
      <c r="G313" s="85" t="s">
        <v>1029</v>
      </c>
      <c r="H313" s="85" t="s">
        <v>1582</v>
      </c>
      <c r="I313" s="85" t="s">
        <v>1615</v>
      </c>
      <c r="J313" s="181"/>
      <c r="AA313" s="177"/>
      <c r="AB313" s="177"/>
      <c r="AC313" s="177"/>
      <c r="AD313" s="177"/>
      <c r="AE313" s="179"/>
      <c r="AF313" s="179"/>
      <c r="AG313" s="179"/>
    </row>
    <row r="314" spans="1:33" x14ac:dyDescent="0.25">
      <c r="A314" s="85">
        <v>311</v>
      </c>
      <c r="E314" s="85" t="s">
        <v>1616</v>
      </c>
      <c r="G314" s="85" t="s">
        <v>1011</v>
      </c>
      <c r="H314" s="85" t="s">
        <v>1582</v>
      </c>
      <c r="I314" s="85" t="s">
        <v>1617</v>
      </c>
      <c r="AA314" s="177"/>
      <c r="AB314" s="177"/>
      <c r="AC314" s="177"/>
      <c r="AD314" s="177"/>
      <c r="AE314" s="179"/>
      <c r="AF314" s="179"/>
      <c r="AG314" s="179"/>
    </row>
    <row r="315" spans="1:33" x14ac:dyDescent="0.25">
      <c r="A315" s="85">
        <v>312</v>
      </c>
      <c r="E315" s="85" t="s">
        <v>1618</v>
      </c>
      <c r="G315" s="85" t="s">
        <v>1029</v>
      </c>
      <c r="H315" s="85" t="s">
        <v>1582</v>
      </c>
      <c r="I315" s="85" t="s">
        <v>1283</v>
      </c>
      <c r="J315" s="181"/>
      <c r="K315" s="181"/>
      <c r="AA315" s="177"/>
      <c r="AB315" s="177"/>
      <c r="AC315" s="177"/>
      <c r="AD315" s="177"/>
      <c r="AE315" s="179"/>
      <c r="AF315" s="179"/>
      <c r="AG315" s="179"/>
    </row>
    <row r="316" spans="1:33" x14ac:dyDescent="0.25">
      <c r="A316" s="85">
        <v>313</v>
      </c>
      <c r="E316" s="85" t="s">
        <v>1619</v>
      </c>
      <c r="G316" s="85" t="s">
        <v>1029</v>
      </c>
      <c r="H316" s="85" t="s">
        <v>1582</v>
      </c>
      <c r="I316" s="85" t="s">
        <v>1367</v>
      </c>
      <c r="J316" s="181"/>
      <c r="K316" s="181"/>
      <c r="AA316" s="177"/>
      <c r="AB316" s="177"/>
      <c r="AC316" s="177"/>
      <c r="AD316" s="177"/>
      <c r="AE316" s="179"/>
      <c r="AF316" s="179"/>
      <c r="AG316" s="179"/>
    </row>
    <row r="317" spans="1:33" x14ac:dyDescent="0.25">
      <c r="A317" s="85">
        <v>314</v>
      </c>
      <c r="E317" s="85" t="s">
        <v>1620</v>
      </c>
      <c r="G317" s="85" t="s">
        <v>1011</v>
      </c>
      <c r="H317" s="85" t="s">
        <v>1582</v>
      </c>
      <c r="I317" s="85" t="s">
        <v>1283</v>
      </c>
      <c r="J317" s="181"/>
      <c r="K317" s="181"/>
      <c r="AA317" s="177"/>
      <c r="AB317" s="177"/>
      <c r="AC317" s="177"/>
      <c r="AD317" s="177"/>
      <c r="AE317" s="179"/>
      <c r="AF317" s="179"/>
      <c r="AG317" s="179"/>
    </row>
    <row r="318" spans="1:33" x14ac:dyDescent="0.25">
      <c r="A318" s="85">
        <v>315</v>
      </c>
      <c r="E318" s="85" t="s">
        <v>1621</v>
      </c>
      <c r="G318" s="85" t="s">
        <v>1029</v>
      </c>
      <c r="H318" s="85" t="s">
        <v>1582</v>
      </c>
      <c r="I318" s="85" t="s">
        <v>1622</v>
      </c>
      <c r="J318" s="181"/>
      <c r="K318" s="181"/>
      <c r="AA318" s="177"/>
      <c r="AB318" s="177"/>
      <c r="AC318" s="177"/>
      <c r="AD318" s="177"/>
      <c r="AE318" s="179"/>
      <c r="AF318" s="179"/>
      <c r="AG318" s="179"/>
    </row>
    <row r="319" spans="1:33" x14ac:dyDescent="0.25">
      <c r="A319" s="85">
        <v>316</v>
      </c>
      <c r="E319" s="85" t="s">
        <v>1623</v>
      </c>
      <c r="G319" s="85" t="s">
        <v>1011</v>
      </c>
      <c r="H319" s="85" t="s">
        <v>1582</v>
      </c>
      <c r="I319" s="85" t="s">
        <v>1510</v>
      </c>
      <c r="J319" s="181"/>
      <c r="K319" s="181"/>
      <c r="AA319" s="177"/>
      <c r="AB319" s="177"/>
      <c r="AC319" s="177"/>
      <c r="AD319" s="177"/>
      <c r="AE319" s="179"/>
      <c r="AF319" s="179"/>
      <c r="AG319" s="179"/>
    </row>
    <row r="320" spans="1:33" x14ac:dyDescent="0.25">
      <c r="A320" s="85">
        <v>317</v>
      </c>
      <c r="E320" s="85" t="s">
        <v>1624</v>
      </c>
      <c r="G320" s="85" t="s">
        <v>1029</v>
      </c>
      <c r="H320" s="85" t="s">
        <v>1582</v>
      </c>
      <c r="I320" s="85" t="s">
        <v>1510</v>
      </c>
      <c r="J320" s="181"/>
      <c r="K320" s="181"/>
      <c r="AA320" s="177"/>
      <c r="AB320" s="177"/>
      <c r="AC320" s="177"/>
      <c r="AD320" s="177"/>
      <c r="AE320" s="179"/>
      <c r="AF320" s="179"/>
      <c r="AG320" s="179"/>
    </row>
    <row r="321" spans="1:33" x14ac:dyDescent="0.25">
      <c r="A321" s="85">
        <v>318</v>
      </c>
      <c r="E321" s="85" t="s">
        <v>1625</v>
      </c>
      <c r="G321" s="85" t="s">
        <v>1011</v>
      </c>
      <c r="H321" s="85" t="s">
        <v>1582</v>
      </c>
      <c r="I321" s="85" t="s">
        <v>1609</v>
      </c>
      <c r="J321" s="181"/>
      <c r="K321" s="181"/>
      <c r="AA321" s="177"/>
      <c r="AB321" s="177"/>
      <c r="AC321" s="177"/>
      <c r="AD321" s="177"/>
      <c r="AE321" s="179"/>
      <c r="AF321" s="179"/>
      <c r="AG321" s="179"/>
    </row>
    <row r="322" spans="1:33" x14ac:dyDescent="0.25">
      <c r="A322" s="85">
        <v>319</v>
      </c>
      <c r="E322" s="85" t="s">
        <v>1626</v>
      </c>
      <c r="G322" s="85" t="s">
        <v>1029</v>
      </c>
      <c r="H322" s="85" t="s">
        <v>1582</v>
      </c>
      <c r="I322" s="85" t="s">
        <v>1627</v>
      </c>
      <c r="J322" s="181"/>
      <c r="K322" s="181"/>
      <c r="AA322" s="177"/>
      <c r="AB322" s="177"/>
      <c r="AC322" s="177"/>
      <c r="AD322" s="177"/>
      <c r="AE322" s="179"/>
      <c r="AF322" s="179"/>
      <c r="AG322" s="179"/>
    </row>
    <row r="323" spans="1:33" x14ac:dyDescent="0.25">
      <c r="A323" s="85">
        <v>320</v>
      </c>
      <c r="E323" s="85" t="s">
        <v>1628</v>
      </c>
      <c r="G323" s="85" t="s">
        <v>1011</v>
      </c>
      <c r="H323" s="85" t="s">
        <v>1582</v>
      </c>
      <c r="I323" s="85" t="s">
        <v>1605</v>
      </c>
      <c r="AA323" s="177"/>
      <c r="AB323" s="177"/>
      <c r="AC323" s="177"/>
      <c r="AD323" s="177"/>
      <c r="AE323" s="179"/>
      <c r="AF323" s="179"/>
      <c r="AG323" s="179"/>
    </row>
    <row r="324" spans="1:33" x14ac:dyDescent="0.25">
      <c r="A324" s="85">
        <v>321</v>
      </c>
      <c r="E324" s="85" t="s">
        <v>1629</v>
      </c>
      <c r="G324" s="85" t="s">
        <v>1029</v>
      </c>
      <c r="H324" s="85" t="s">
        <v>1582</v>
      </c>
      <c r="I324" s="85" t="s">
        <v>1615</v>
      </c>
      <c r="J324" s="181"/>
      <c r="AA324" s="177"/>
      <c r="AB324" s="177"/>
      <c r="AC324" s="177"/>
      <c r="AD324" s="177"/>
      <c r="AE324" s="179"/>
      <c r="AF324" s="179"/>
      <c r="AG324" s="179"/>
    </row>
    <row r="325" spans="1:33" x14ac:dyDescent="0.25">
      <c r="A325" s="85">
        <v>322</v>
      </c>
      <c r="E325" s="85" t="s">
        <v>1630</v>
      </c>
      <c r="G325" s="85" t="s">
        <v>1011</v>
      </c>
      <c r="H325" s="85" t="s">
        <v>1582</v>
      </c>
      <c r="I325" s="85" t="s">
        <v>1609</v>
      </c>
      <c r="J325" s="181"/>
      <c r="K325" s="181"/>
      <c r="AA325" s="177"/>
      <c r="AB325" s="177"/>
      <c r="AC325" s="177"/>
      <c r="AD325" s="177"/>
      <c r="AE325" s="179"/>
      <c r="AF325" s="179"/>
      <c r="AG325" s="179"/>
    </row>
    <row r="326" spans="1:33" x14ac:dyDescent="0.25">
      <c r="A326" s="85">
        <v>323</v>
      </c>
      <c r="E326" s="85" t="s">
        <v>1631</v>
      </c>
      <c r="G326" s="85" t="s">
        <v>1029</v>
      </c>
      <c r="H326" s="85" t="s">
        <v>1582</v>
      </c>
      <c r="I326" s="85" t="s">
        <v>1367</v>
      </c>
      <c r="J326" s="181"/>
      <c r="K326" s="181"/>
      <c r="AA326" s="177"/>
      <c r="AB326" s="177"/>
      <c r="AC326" s="177"/>
      <c r="AD326" s="177"/>
      <c r="AE326" s="179"/>
      <c r="AF326" s="179"/>
      <c r="AG326" s="179"/>
    </row>
    <row r="327" spans="1:33" x14ac:dyDescent="0.25">
      <c r="A327" s="85">
        <v>324</v>
      </c>
      <c r="E327" s="85" t="s">
        <v>1632</v>
      </c>
      <c r="G327" s="85" t="s">
        <v>1011</v>
      </c>
      <c r="H327" s="85" t="s">
        <v>1582</v>
      </c>
      <c r="I327" s="85" t="s">
        <v>1633</v>
      </c>
      <c r="AA327" s="177"/>
      <c r="AB327" s="177"/>
      <c r="AC327" s="177"/>
      <c r="AD327" s="177"/>
      <c r="AE327" s="179"/>
      <c r="AF327" s="179"/>
      <c r="AG327" s="179"/>
    </row>
    <row r="328" spans="1:33" x14ac:dyDescent="0.25">
      <c r="A328" s="85">
        <v>325</v>
      </c>
      <c r="E328" s="85" t="s">
        <v>1634</v>
      </c>
      <c r="G328" s="85" t="s">
        <v>1029</v>
      </c>
      <c r="H328" s="85" t="s">
        <v>1582</v>
      </c>
      <c r="I328" s="85" t="s">
        <v>1627</v>
      </c>
      <c r="J328" s="181"/>
      <c r="K328" s="181"/>
      <c r="AA328" s="177"/>
      <c r="AB328" s="177"/>
      <c r="AC328" s="177"/>
      <c r="AD328" s="177"/>
      <c r="AE328" s="179"/>
      <c r="AF328" s="179"/>
      <c r="AG328" s="179"/>
    </row>
    <row r="329" spans="1:33" x14ac:dyDescent="0.25">
      <c r="A329" s="85">
        <v>326</v>
      </c>
      <c r="E329" s="85" t="s">
        <v>1635</v>
      </c>
      <c r="G329" s="85" t="s">
        <v>1011</v>
      </c>
      <c r="H329" s="85" t="s">
        <v>1582</v>
      </c>
      <c r="I329" s="85" t="s">
        <v>1633</v>
      </c>
      <c r="AA329" s="177"/>
      <c r="AB329" s="177"/>
      <c r="AC329" s="177"/>
      <c r="AD329" s="177"/>
      <c r="AE329" s="179"/>
      <c r="AF329" s="179"/>
      <c r="AG329" s="179"/>
    </row>
    <row r="330" spans="1:33" x14ac:dyDescent="0.25">
      <c r="A330" s="85">
        <v>327</v>
      </c>
      <c r="E330" s="85" t="s">
        <v>1636</v>
      </c>
      <c r="G330" s="85" t="s">
        <v>1029</v>
      </c>
      <c r="H330" s="85" t="s">
        <v>1582</v>
      </c>
      <c r="I330" s="85" t="s">
        <v>1627</v>
      </c>
      <c r="J330" s="181"/>
      <c r="K330" s="181"/>
      <c r="AA330" s="177"/>
      <c r="AB330" s="177"/>
      <c r="AC330" s="177"/>
      <c r="AD330" s="177"/>
      <c r="AE330" s="179"/>
      <c r="AF330" s="179"/>
      <c r="AG330" s="179"/>
    </row>
    <row r="331" spans="1:33" x14ac:dyDescent="0.25">
      <c r="A331" s="85">
        <v>328</v>
      </c>
      <c r="E331" s="85" t="s">
        <v>1637</v>
      </c>
      <c r="G331" s="85" t="s">
        <v>1029</v>
      </c>
      <c r="H331" s="85" t="s">
        <v>1582</v>
      </c>
      <c r="I331" s="85" t="s">
        <v>1362</v>
      </c>
      <c r="J331" s="181"/>
      <c r="K331" s="181"/>
      <c r="AA331" s="177" t="s">
        <v>1780</v>
      </c>
      <c r="AB331" s="224">
        <v>43445</v>
      </c>
      <c r="AC331" s="177"/>
      <c r="AD331" s="177"/>
      <c r="AE331" s="179"/>
      <c r="AF331" s="179"/>
      <c r="AG331" s="179"/>
    </row>
    <row r="332" spans="1:33" x14ac:dyDescent="0.25">
      <c r="A332" s="85">
        <v>329</v>
      </c>
      <c r="E332" s="85" t="s">
        <v>1638</v>
      </c>
      <c r="G332" s="85" t="s">
        <v>1011</v>
      </c>
      <c r="H332" s="85" t="s">
        <v>1582</v>
      </c>
      <c r="I332" s="85" t="s">
        <v>1639</v>
      </c>
      <c r="AA332" s="177"/>
      <c r="AB332" s="177"/>
      <c r="AC332" s="177"/>
      <c r="AD332" s="177"/>
      <c r="AE332" s="179"/>
      <c r="AF332" s="179"/>
      <c r="AG332" s="179"/>
    </row>
    <row r="333" spans="1:33" x14ac:dyDescent="0.25">
      <c r="A333" s="85">
        <v>330</v>
      </c>
      <c r="E333" s="85" t="s">
        <v>1640</v>
      </c>
      <c r="G333" s="85" t="s">
        <v>1029</v>
      </c>
      <c r="H333" s="85" t="s">
        <v>1582</v>
      </c>
      <c r="I333" s="85" t="s">
        <v>1641</v>
      </c>
      <c r="J333" s="181"/>
      <c r="AA333" s="177"/>
      <c r="AB333" s="177"/>
      <c r="AC333" s="177"/>
      <c r="AD333" s="177"/>
      <c r="AE333" s="179"/>
      <c r="AF333" s="179"/>
      <c r="AG333" s="179"/>
    </row>
    <row r="334" spans="1:33" x14ac:dyDescent="0.25">
      <c r="A334" s="85">
        <v>331</v>
      </c>
      <c r="E334" s="85" t="s">
        <v>1642</v>
      </c>
      <c r="G334" s="85" t="s">
        <v>1011</v>
      </c>
      <c r="H334" s="85" t="s">
        <v>1582</v>
      </c>
      <c r="I334" s="85" t="s">
        <v>1627</v>
      </c>
      <c r="J334" s="181"/>
      <c r="K334" s="181"/>
      <c r="AA334" s="177"/>
      <c r="AB334" s="177"/>
      <c r="AC334" s="177"/>
      <c r="AD334" s="177"/>
      <c r="AE334" s="179"/>
      <c r="AF334" s="179"/>
      <c r="AG334" s="179"/>
    </row>
    <row r="335" spans="1:33" x14ac:dyDescent="0.25">
      <c r="A335" s="85">
        <v>332</v>
      </c>
      <c r="E335" s="85" t="s">
        <v>1643</v>
      </c>
      <c r="G335" s="85" t="s">
        <v>1029</v>
      </c>
      <c r="H335" s="85" t="s">
        <v>1582</v>
      </c>
      <c r="I335" s="85" t="s">
        <v>1362</v>
      </c>
      <c r="J335" s="181"/>
      <c r="K335" s="181"/>
      <c r="AA335" s="177"/>
      <c r="AB335" s="177"/>
      <c r="AC335" s="177"/>
      <c r="AD335" s="177"/>
      <c r="AE335" s="179"/>
      <c r="AF335" s="179"/>
      <c r="AG335" s="179"/>
    </row>
    <row r="336" spans="1:33" x14ac:dyDescent="0.25">
      <c r="A336" s="85">
        <v>333</v>
      </c>
      <c r="E336" s="85" t="s">
        <v>1644</v>
      </c>
      <c r="G336" s="85" t="s">
        <v>1011</v>
      </c>
      <c r="H336" s="85" t="s">
        <v>1582</v>
      </c>
      <c r="I336" s="85" t="s">
        <v>1362</v>
      </c>
      <c r="J336" s="181"/>
      <c r="K336" s="181"/>
      <c r="AA336" s="177"/>
      <c r="AB336" s="177"/>
      <c r="AC336" s="177"/>
      <c r="AD336" s="177"/>
      <c r="AE336" s="179"/>
      <c r="AF336" s="179"/>
      <c r="AG336" s="179"/>
    </row>
    <row r="337" spans="1:33" x14ac:dyDescent="0.25">
      <c r="A337" s="85">
        <v>334</v>
      </c>
      <c r="E337" s="85" t="s">
        <v>1645</v>
      </c>
      <c r="G337" s="85" t="s">
        <v>1029</v>
      </c>
      <c r="H337" s="85" t="s">
        <v>1582</v>
      </c>
      <c r="I337" s="85" t="s">
        <v>1627</v>
      </c>
      <c r="J337" s="181"/>
      <c r="K337" s="181"/>
      <c r="AA337" s="177"/>
      <c r="AB337" s="177"/>
      <c r="AC337" s="177"/>
      <c r="AD337" s="177"/>
      <c r="AE337" s="179"/>
      <c r="AF337" s="179"/>
      <c r="AG337" s="179"/>
    </row>
    <row r="338" spans="1:33" x14ac:dyDescent="0.25">
      <c r="A338" s="85">
        <v>335</v>
      </c>
      <c r="E338" s="85" t="s">
        <v>1646</v>
      </c>
      <c r="G338" s="85" t="s">
        <v>1011</v>
      </c>
      <c r="H338" s="85" t="s">
        <v>1582</v>
      </c>
      <c r="I338" s="85" t="s">
        <v>1362</v>
      </c>
      <c r="J338" s="181"/>
      <c r="K338" s="181"/>
      <c r="AA338" s="177"/>
      <c r="AB338" s="177"/>
      <c r="AC338" s="177"/>
      <c r="AD338" s="177"/>
      <c r="AE338" s="179"/>
      <c r="AF338" s="179"/>
      <c r="AG338" s="179"/>
    </row>
    <row r="339" spans="1:33" x14ac:dyDescent="0.25">
      <c r="A339" s="85">
        <v>336</v>
      </c>
      <c r="E339" s="85" t="s">
        <v>1647</v>
      </c>
      <c r="G339" s="85" t="s">
        <v>1029</v>
      </c>
      <c r="H339" s="85" t="s">
        <v>1582</v>
      </c>
      <c r="I339" s="85" t="s">
        <v>1362</v>
      </c>
      <c r="J339" s="181"/>
      <c r="K339" s="181"/>
      <c r="AA339" s="177"/>
      <c r="AB339" s="177"/>
      <c r="AC339" s="177"/>
      <c r="AD339" s="177"/>
      <c r="AE339" s="179"/>
      <c r="AF339" s="179"/>
      <c r="AG339" s="179"/>
    </row>
    <row r="340" spans="1:33" x14ac:dyDescent="0.25">
      <c r="A340" s="85">
        <v>337</v>
      </c>
      <c r="E340" s="85" t="s">
        <v>1648</v>
      </c>
      <c r="G340" s="85" t="s">
        <v>1011</v>
      </c>
      <c r="H340" s="85" t="s">
        <v>1649</v>
      </c>
      <c r="I340" s="85" t="s">
        <v>1650</v>
      </c>
      <c r="J340" s="181"/>
      <c r="K340" s="181"/>
      <c r="AA340" s="177"/>
      <c r="AB340" s="177"/>
      <c r="AC340" s="177"/>
      <c r="AD340" s="177"/>
      <c r="AE340" s="179"/>
      <c r="AF340" s="179"/>
      <c r="AG340" s="179"/>
    </row>
    <row r="341" spans="1:33" x14ac:dyDescent="0.25">
      <c r="A341" s="85">
        <v>338</v>
      </c>
      <c r="E341" s="85" t="s">
        <v>1651</v>
      </c>
      <c r="G341" s="85" t="s">
        <v>1029</v>
      </c>
      <c r="H341" s="85" t="s">
        <v>1649</v>
      </c>
      <c r="I341" s="85" t="s">
        <v>1650</v>
      </c>
      <c r="J341" s="181"/>
      <c r="K341" s="181"/>
      <c r="AA341" s="177"/>
      <c r="AB341" s="177"/>
      <c r="AC341" s="177"/>
      <c r="AD341" s="177"/>
      <c r="AE341" s="179"/>
      <c r="AF341" s="179"/>
      <c r="AG341" s="179"/>
    </row>
    <row r="342" spans="1:33" x14ac:dyDescent="0.25">
      <c r="A342" s="85">
        <v>339</v>
      </c>
      <c r="E342" s="85" t="s">
        <v>1652</v>
      </c>
      <c r="G342" s="85" t="s">
        <v>1011</v>
      </c>
      <c r="H342" s="85" t="s">
        <v>1649</v>
      </c>
      <c r="I342" s="85" t="s">
        <v>1653</v>
      </c>
      <c r="J342" s="181"/>
      <c r="K342" s="181"/>
      <c r="AA342" s="177"/>
      <c r="AB342" s="177"/>
      <c r="AC342" s="177"/>
      <c r="AD342" s="177"/>
      <c r="AE342" s="179"/>
      <c r="AF342" s="179"/>
      <c r="AG342" s="179"/>
    </row>
    <row r="343" spans="1:33" x14ac:dyDescent="0.25">
      <c r="A343" s="85">
        <v>340</v>
      </c>
      <c r="E343" s="85" t="s">
        <v>1654</v>
      </c>
      <c r="G343" s="85" t="s">
        <v>1011</v>
      </c>
      <c r="H343" s="85" t="s">
        <v>1649</v>
      </c>
      <c r="I343" s="85" t="s">
        <v>1641</v>
      </c>
      <c r="AA343" s="177"/>
      <c r="AB343" s="177"/>
      <c r="AC343" s="177"/>
      <c r="AD343" s="177"/>
      <c r="AE343" s="179"/>
      <c r="AF343" s="179"/>
      <c r="AG343" s="179"/>
    </row>
    <row r="344" spans="1:33" x14ac:dyDescent="0.25">
      <c r="A344" s="85">
        <v>341</v>
      </c>
      <c r="E344" s="85" t="s">
        <v>1655</v>
      </c>
      <c r="G344" s="85" t="s">
        <v>1029</v>
      </c>
      <c r="H344" s="85" t="s">
        <v>1649</v>
      </c>
      <c r="I344" s="85" t="s">
        <v>1650</v>
      </c>
      <c r="J344" s="181"/>
      <c r="K344" s="181"/>
      <c r="AA344" s="177"/>
      <c r="AB344" s="177"/>
      <c r="AC344" s="177"/>
      <c r="AD344" s="177"/>
      <c r="AE344" s="179"/>
      <c r="AF344" s="179"/>
      <c r="AG344" s="179"/>
    </row>
    <row r="345" spans="1:33" x14ac:dyDescent="0.25">
      <c r="A345" s="85">
        <v>342</v>
      </c>
      <c r="E345" s="85" t="s">
        <v>1656</v>
      </c>
      <c r="G345" s="85" t="s">
        <v>1011</v>
      </c>
      <c r="H345" s="85" t="s">
        <v>1649</v>
      </c>
      <c r="I345" s="85" t="s">
        <v>1653</v>
      </c>
      <c r="J345" s="181"/>
      <c r="K345" s="181"/>
      <c r="AA345" s="177"/>
      <c r="AB345" s="177"/>
      <c r="AC345" s="177"/>
      <c r="AD345" s="177"/>
      <c r="AE345" s="179"/>
      <c r="AF345" s="179"/>
      <c r="AG345" s="179"/>
    </row>
    <row r="346" spans="1:33" x14ac:dyDescent="0.25">
      <c r="A346" s="85">
        <v>343</v>
      </c>
      <c r="E346" s="85" t="s">
        <v>1657</v>
      </c>
      <c r="G346" s="85" t="s">
        <v>1029</v>
      </c>
      <c r="H346" s="85" t="s">
        <v>1658</v>
      </c>
      <c r="I346" s="85" t="s">
        <v>1650</v>
      </c>
      <c r="J346" s="181"/>
      <c r="K346" s="181"/>
      <c r="AA346" s="177"/>
      <c r="AB346" s="177"/>
      <c r="AC346" s="177"/>
      <c r="AD346" s="177"/>
      <c r="AE346" s="179"/>
      <c r="AF346" s="179"/>
      <c r="AG346" s="179"/>
    </row>
    <row r="347" spans="1:33" x14ac:dyDescent="0.25">
      <c r="A347" s="85">
        <v>344</v>
      </c>
      <c r="E347" s="85" t="s">
        <v>1659</v>
      </c>
      <c r="G347" s="85" t="s">
        <v>1011</v>
      </c>
      <c r="H347" s="85" t="s">
        <v>1658</v>
      </c>
      <c r="I347" s="85" t="s">
        <v>1653</v>
      </c>
      <c r="J347" s="181"/>
      <c r="K347" s="181"/>
      <c r="AA347" s="177"/>
      <c r="AB347" s="177"/>
      <c r="AC347" s="177"/>
      <c r="AD347" s="177"/>
      <c r="AE347" s="179"/>
      <c r="AF347" s="179"/>
      <c r="AG347" s="179"/>
    </row>
    <row r="348" spans="1:33" x14ac:dyDescent="0.25">
      <c r="A348" s="85">
        <v>345</v>
      </c>
      <c r="E348" s="85" t="s">
        <v>1660</v>
      </c>
      <c r="G348" s="85" t="s">
        <v>1029</v>
      </c>
      <c r="H348" s="85" t="s">
        <v>1658</v>
      </c>
      <c r="I348" s="85" t="s">
        <v>1641</v>
      </c>
      <c r="AA348" s="177"/>
      <c r="AB348" s="177"/>
      <c r="AC348" s="177"/>
      <c r="AD348" s="177"/>
      <c r="AE348" s="179"/>
      <c r="AF348" s="179"/>
      <c r="AG348" s="179"/>
    </row>
    <row r="349" spans="1:33" x14ac:dyDescent="0.25">
      <c r="A349" s="85">
        <v>346</v>
      </c>
      <c r="E349" s="85" t="s">
        <v>1661</v>
      </c>
      <c r="G349" s="85" t="s">
        <v>1029</v>
      </c>
      <c r="H349" s="85" t="s">
        <v>1662</v>
      </c>
      <c r="I349" s="85" t="s">
        <v>1525</v>
      </c>
      <c r="J349" s="181"/>
      <c r="K349" s="181"/>
      <c r="AA349" s="177" t="s">
        <v>1780</v>
      </c>
      <c r="AB349" s="224">
        <v>43439</v>
      </c>
      <c r="AC349" s="177"/>
      <c r="AD349" s="177"/>
      <c r="AE349" s="179"/>
      <c r="AF349" s="179"/>
      <c r="AG349" s="179"/>
    </row>
    <row r="350" spans="1:33" x14ac:dyDescent="0.25">
      <c r="A350" s="85">
        <v>347</v>
      </c>
      <c r="E350" s="85" t="s">
        <v>1663</v>
      </c>
      <c r="G350" s="85" t="s">
        <v>1011</v>
      </c>
      <c r="H350" s="85" t="s">
        <v>1662</v>
      </c>
      <c r="I350" s="85" t="s">
        <v>1664</v>
      </c>
      <c r="J350" s="181"/>
      <c r="K350" s="181"/>
      <c r="AA350" s="177"/>
      <c r="AB350" s="177"/>
      <c r="AC350" s="177"/>
      <c r="AD350" s="177"/>
      <c r="AE350" s="179"/>
      <c r="AF350" s="179"/>
      <c r="AG350" s="179"/>
    </row>
    <row r="351" spans="1:33" x14ac:dyDescent="0.25">
      <c r="A351" s="85">
        <v>348</v>
      </c>
      <c r="E351" s="85" t="s">
        <v>1665</v>
      </c>
      <c r="G351" s="85" t="s">
        <v>1029</v>
      </c>
      <c r="H351" s="85" t="s">
        <v>1662</v>
      </c>
      <c r="I351" s="85" t="s">
        <v>1666</v>
      </c>
      <c r="J351" s="181"/>
      <c r="AA351" s="177"/>
      <c r="AB351" s="177"/>
      <c r="AC351" s="177"/>
      <c r="AD351" s="177"/>
      <c r="AE351" s="179"/>
      <c r="AF351" s="179"/>
      <c r="AG351" s="179"/>
    </row>
    <row r="352" spans="1:33" x14ac:dyDescent="0.25">
      <c r="A352" s="85">
        <v>349</v>
      </c>
      <c r="E352" s="85" t="s">
        <v>1667</v>
      </c>
      <c r="G352" s="85" t="s">
        <v>1011</v>
      </c>
      <c r="H352" s="85" t="s">
        <v>1662</v>
      </c>
      <c r="I352" s="85" t="s">
        <v>1668</v>
      </c>
      <c r="AA352" s="177"/>
      <c r="AB352" s="177"/>
      <c r="AC352" s="177"/>
      <c r="AD352" s="177"/>
      <c r="AE352" s="179"/>
      <c r="AF352" s="179"/>
      <c r="AG352" s="179"/>
    </row>
    <row r="353" spans="1:33" x14ac:dyDescent="0.25">
      <c r="A353" s="85">
        <v>350</v>
      </c>
      <c r="E353" s="85" t="s">
        <v>1669</v>
      </c>
      <c r="G353" s="85" t="s">
        <v>1029</v>
      </c>
      <c r="H353" s="85" t="s">
        <v>1492</v>
      </c>
      <c r="I353" s="85" t="s">
        <v>1670</v>
      </c>
      <c r="J353" s="181"/>
      <c r="AA353" s="177"/>
      <c r="AB353" s="177"/>
      <c r="AC353" s="177"/>
      <c r="AD353" s="177"/>
      <c r="AE353" s="179"/>
      <c r="AF353" s="179"/>
      <c r="AG353" s="179"/>
    </row>
    <row r="354" spans="1:33" x14ac:dyDescent="0.25">
      <c r="A354" s="85">
        <v>351</v>
      </c>
      <c r="E354" s="85" t="s">
        <v>1671</v>
      </c>
      <c r="G354" s="85" t="s">
        <v>1011</v>
      </c>
      <c r="H354" s="85" t="s">
        <v>1662</v>
      </c>
      <c r="I354" s="85" t="s">
        <v>1664</v>
      </c>
      <c r="J354" s="181"/>
      <c r="K354" s="181"/>
      <c r="AA354" s="177"/>
      <c r="AB354" s="177"/>
      <c r="AC354" s="177"/>
      <c r="AD354" s="177"/>
      <c r="AE354" s="179"/>
      <c r="AF354" s="179"/>
      <c r="AG354" s="179"/>
    </row>
    <row r="355" spans="1:33" x14ac:dyDescent="0.25">
      <c r="A355" s="85">
        <v>352</v>
      </c>
      <c r="E355" s="85" t="s">
        <v>1672</v>
      </c>
      <c r="G355" s="85" t="s">
        <v>1029</v>
      </c>
      <c r="H355" s="85" t="s">
        <v>1673</v>
      </c>
      <c r="I355" s="85" t="s">
        <v>1533</v>
      </c>
      <c r="J355" s="181"/>
      <c r="AA355" s="177"/>
      <c r="AB355" s="177"/>
      <c r="AC355" s="177"/>
      <c r="AD355" s="177"/>
      <c r="AE355" s="179"/>
      <c r="AF355" s="179"/>
      <c r="AG355" s="179"/>
    </row>
    <row r="356" spans="1:33" x14ac:dyDescent="0.25">
      <c r="A356" s="85">
        <v>353</v>
      </c>
      <c r="E356" s="85" t="s">
        <v>1674</v>
      </c>
      <c r="G356" s="85" t="s">
        <v>1011</v>
      </c>
      <c r="H356" s="85" t="s">
        <v>1662</v>
      </c>
      <c r="I356" s="85" t="s">
        <v>1388</v>
      </c>
      <c r="J356" s="181"/>
      <c r="K356" s="181"/>
      <c r="AA356" s="177"/>
      <c r="AB356" s="177"/>
      <c r="AC356" s="177"/>
      <c r="AD356" s="177"/>
      <c r="AE356" s="179"/>
      <c r="AF356" s="179"/>
      <c r="AG356" s="179"/>
    </row>
    <row r="357" spans="1:33" x14ac:dyDescent="0.25">
      <c r="A357" s="85">
        <v>354</v>
      </c>
      <c r="E357" s="85" t="s">
        <v>1675</v>
      </c>
      <c r="G357" s="85" t="s">
        <v>1029</v>
      </c>
      <c r="H357" s="85" t="s">
        <v>1662</v>
      </c>
      <c r="I357" s="85" t="s">
        <v>1676</v>
      </c>
      <c r="J357" s="181"/>
      <c r="K357" s="181"/>
      <c r="AA357" s="177"/>
      <c r="AB357" s="177"/>
      <c r="AC357" s="177"/>
      <c r="AD357" s="177"/>
      <c r="AE357" s="179"/>
      <c r="AF357" s="179"/>
      <c r="AG357" s="179"/>
    </row>
    <row r="358" spans="1:33" x14ac:dyDescent="0.25">
      <c r="A358" s="85">
        <v>355</v>
      </c>
      <c r="E358" s="85" t="s">
        <v>1677</v>
      </c>
      <c r="G358" s="85" t="s">
        <v>1011</v>
      </c>
      <c r="H358" s="85" t="s">
        <v>1662</v>
      </c>
      <c r="I358" s="85" t="s">
        <v>1678</v>
      </c>
      <c r="AA358" s="177"/>
      <c r="AB358" s="177"/>
      <c r="AC358" s="177"/>
      <c r="AD358" s="177"/>
      <c r="AE358" s="179"/>
      <c r="AF358" s="179"/>
      <c r="AG358" s="179"/>
    </row>
    <row r="359" spans="1:33" x14ac:dyDescent="0.25">
      <c r="A359" s="85">
        <v>356</v>
      </c>
      <c r="E359" s="85" t="s">
        <v>1679</v>
      </c>
      <c r="G359" s="85" t="s">
        <v>1029</v>
      </c>
      <c r="H359" s="85" t="s">
        <v>1680</v>
      </c>
      <c r="I359" s="85" t="s">
        <v>1549</v>
      </c>
      <c r="J359" s="181"/>
      <c r="K359" s="181"/>
      <c r="AA359" s="177"/>
      <c r="AB359" s="177"/>
      <c r="AC359" s="177"/>
      <c r="AD359" s="177"/>
      <c r="AE359" s="179"/>
      <c r="AF359" s="179"/>
      <c r="AG359" s="179"/>
    </row>
    <row r="360" spans="1:33" x14ac:dyDescent="0.25">
      <c r="A360" s="85">
        <v>357</v>
      </c>
      <c r="E360" s="85" t="s">
        <v>1681</v>
      </c>
      <c r="G360" s="85" t="s">
        <v>1011</v>
      </c>
      <c r="H360" s="85" t="s">
        <v>1662</v>
      </c>
      <c r="I360" s="85" t="s">
        <v>1670</v>
      </c>
      <c r="AA360" s="177"/>
      <c r="AB360" s="177"/>
      <c r="AC360" s="177"/>
      <c r="AD360" s="177"/>
      <c r="AE360" s="179"/>
      <c r="AF360" s="179"/>
      <c r="AG360" s="179"/>
    </row>
    <row r="361" spans="1:33" x14ac:dyDescent="0.25">
      <c r="A361" s="85">
        <v>358</v>
      </c>
      <c r="E361" s="85" t="s">
        <v>1682</v>
      </c>
      <c r="G361" s="85" t="s">
        <v>1029</v>
      </c>
      <c r="H361" s="85" t="s">
        <v>1662</v>
      </c>
      <c r="I361" s="85" t="s">
        <v>1683</v>
      </c>
      <c r="J361" s="181"/>
      <c r="AA361" s="177"/>
      <c r="AB361" s="177"/>
      <c r="AC361" s="177"/>
      <c r="AD361" s="177"/>
      <c r="AE361" s="179"/>
      <c r="AF361" s="179"/>
      <c r="AG361" s="179"/>
    </row>
    <row r="362" spans="1:33" x14ac:dyDescent="0.25">
      <c r="A362" s="85">
        <v>359</v>
      </c>
      <c r="E362" s="85" t="s">
        <v>1684</v>
      </c>
      <c r="G362" s="85" t="s">
        <v>1029</v>
      </c>
      <c r="H362" s="85" t="s">
        <v>1662</v>
      </c>
      <c r="I362" s="85" t="s">
        <v>1683</v>
      </c>
      <c r="J362" s="181"/>
      <c r="AA362" s="177"/>
      <c r="AB362" s="177"/>
      <c r="AC362" s="177"/>
      <c r="AD362" s="177"/>
      <c r="AE362" s="179"/>
      <c r="AF362" s="179"/>
      <c r="AG362" s="179"/>
    </row>
    <row r="363" spans="1:33" x14ac:dyDescent="0.25">
      <c r="A363" s="85">
        <v>360</v>
      </c>
      <c r="E363" s="85" t="s">
        <v>1685</v>
      </c>
      <c r="G363" s="85" t="s">
        <v>1029</v>
      </c>
      <c r="H363" s="85" t="s">
        <v>1673</v>
      </c>
      <c r="I363" s="85" t="s">
        <v>1249</v>
      </c>
      <c r="J363" s="181"/>
      <c r="K363" s="181"/>
      <c r="AA363" s="177"/>
      <c r="AB363" s="177"/>
      <c r="AC363" s="177"/>
      <c r="AD363" s="177"/>
      <c r="AE363" s="179"/>
      <c r="AF363" s="179"/>
      <c r="AG363" s="179"/>
    </row>
    <row r="364" spans="1:33" x14ac:dyDescent="0.25">
      <c r="A364" s="85">
        <v>361</v>
      </c>
      <c r="E364" s="85" t="s">
        <v>1686</v>
      </c>
      <c r="G364" s="85" t="s">
        <v>1029</v>
      </c>
      <c r="H364" s="85" t="s">
        <v>1680</v>
      </c>
      <c r="I364" s="85" t="s">
        <v>1687</v>
      </c>
      <c r="J364" s="181"/>
      <c r="AA364" s="177"/>
      <c r="AB364" s="177"/>
      <c r="AC364" s="177"/>
      <c r="AD364" s="177"/>
      <c r="AE364" s="179"/>
      <c r="AF364" s="179"/>
      <c r="AG364" s="179"/>
    </row>
    <row r="365" spans="1:33" x14ac:dyDescent="0.25">
      <c r="A365" s="85">
        <v>362</v>
      </c>
      <c r="E365" s="85" t="s">
        <v>1688</v>
      </c>
      <c r="G365" s="85" t="s">
        <v>1011</v>
      </c>
      <c r="H365" s="85" t="s">
        <v>1689</v>
      </c>
      <c r="I365" s="85" t="s">
        <v>1690</v>
      </c>
      <c r="J365" s="181"/>
      <c r="K365" s="181"/>
      <c r="AA365" s="177"/>
      <c r="AB365" s="177"/>
      <c r="AC365" s="177"/>
      <c r="AD365" s="177"/>
      <c r="AE365" s="179"/>
      <c r="AF365" s="179"/>
      <c r="AG365" s="179"/>
    </row>
    <row r="366" spans="1:33" x14ac:dyDescent="0.25">
      <c r="A366" s="85">
        <v>363</v>
      </c>
      <c r="E366" s="85" t="s">
        <v>1691</v>
      </c>
      <c r="G366" s="85" t="s">
        <v>1029</v>
      </c>
      <c r="H366" s="85" t="s">
        <v>1680</v>
      </c>
      <c r="I366" s="85" t="s">
        <v>1683</v>
      </c>
      <c r="J366" s="181"/>
      <c r="AA366" s="177"/>
      <c r="AB366" s="177"/>
      <c r="AC366" s="177"/>
      <c r="AD366" s="177"/>
      <c r="AE366" s="179"/>
      <c r="AF366" s="179"/>
      <c r="AG366" s="179"/>
    </row>
    <row r="367" spans="1:33" x14ac:dyDescent="0.25">
      <c r="A367" s="85">
        <v>364</v>
      </c>
      <c r="E367" s="85" t="s">
        <v>1692</v>
      </c>
      <c r="G367" s="85" t="s">
        <v>1011</v>
      </c>
      <c r="H367" s="85" t="s">
        <v>1693</v>
      </c>
      <c r="I367" s="85" t="s">
        <v>1694</v>
      </c>
      <c r="AA367" s="177"/>
      <c r="AB367" s="177"/>
      <c r="AC367" s="177"/>
      <c r="AD367" s="177"/>
      <c r="AE367" s="179"/>
      <c r="AF367" s="179"/>
      <c r="AG367" s="179"/>
    </row>
    <row r="368" spans="1:33" x14ac:dyDescent="0.25">
      <c r="A368" s="85">
        <v>365</v>
      </c>
      <c r="E368" s="85" t="s">
        <v>1695</v>
      </c>
      <c r="G368" s="85" t="s">
        <v>1029</v>
      </c>
      <c r="H368" s="85" t="s">
        <v>1693</v>
      </c>
      <c r="I368" s="85" t="s">
        <v>1362</v>
      </c>
      <c r="J368" s="181"/>
      <c r="K368" s="181"/>
      <c r="AA368" s="177" t="s">
        <v>1780</v>
      </c>
      <c r="AB368" s="224">
        <v>43439</v>
      </c>
      <c r="AC368" s="177"/>
      <c r="AD368" s="177"/>
      <c r="AE368" s="179"/>
      <c r="AF368" s="179"/>
      <c r="AG368" s="179"/>
    </row>
    <row r="369" spans="1:33" x14ac:dyDescent="0.25">
      <c r="A369" s="85">
        <v>366</v>
      </c>
      <c r="E369" s="85" t="s">
        <v>1696</v>
      </c>
      <c r="G369" s="85" t="s">
        <v>1011</v>
      </c>
      <c r="H369" s="85" t="s">
        <v>1693</v>
      </c>
      <c r="I369" s="85" t="s">
        <v>1694</v>
      </c>
      <c r="AA369" s="177"/>
      <c r="AB369" s="177"/>
      <c r="AC369" s="177"/>
      <c r="AD369" s="177"/>
      <c r="AE369" s="179"/>
      <c r="AF369" s="179"/>
      <c r="AG369" s="179"/>
    </row>
    <row r="370" spans="1:33" x14ac:dyDescent="0.25">
      <c r="A370" s="85">
        <v>367</v>
      </c>
      <c r="E370" s="85" t="s">
        <v>1697</v>
      </c>
      <c r="G370" s="85" t="s">
        <v>1029</v>
      </c>
      <c r="H370" s="85" t="s">
        <v>1693</v>
      </c>
      <c r="I370" s="85" t="s">
        <v>1698</v>
      </c>
      <c r="AA370" s="177"/>
      <c r="AB370" s="177"/>
      <c r="AC370" s="177"/>
      <c r="AD370" s="177"/>
      <c r="AE370" s="179"/>
      <c r="AF370" s="179"/>
      <c r="AG370" s="179"/>
    </row>
    <row r="371" spans="1:33" x14ac:dyDescent="0.25">
      <c r="A371" s="85">
        <v>368</v>
      </c>
      <c r="E371" s="85" t="s">
        <v>1699</v>
      </c>
      <c r="G371" s="85" t="s">
        <v>1029</v>
      </c>
      <c r="H371" s="85" t="s">
        <v>1693</v>
      </c>
      <c r="I371" s="85" t="s">
        <v>1700</v>
      </c>
      <c r="J371" s="181"/>
      <c r="AA371" s="177"/>
      <c r="AB371" s="177"/>
      <c r="AC371" s="177"/>
      <c r="AD371" s="177"/>
      <c r="AE371" s="179"/>
      <c r="AF371" s="179"/>
      <c r="AG371" s="179"/>
    </row>
    <row r="372" spans="1:33" x14ac:dyDescent="0.25">
      <c r="A372" s="85">
        <v>369</v>
      </c>
      <c r="E372" s="85" t="s">
        <v>1701</v>
      </c>
      <c r="G372" s="85" t="s">
        <v>1029</v>
      </c>
      <c r="H372" s="85" t="s">
        <v>1582</v>
      </c>
      <c r="I372" s="85" t="s">
        <v>1698</v>
      </c>
      <c r="J372" s="181"/>
      <c r="AA372" s="177"/>
      <c r="AB372" s="177"/>
      <c r="AC372" s="177"/>
      <c r="AD372" s="177"/>
      <c r="AE372" s="179"/>
      <c r="AF372" s="179"/>
      <c r="AG372" s="179"/>
    </row>
    <row r="373" spans="1:33" x14ac:dyDescent="0.25">
      <c r="A373" s="85">
        <v>370</v>
      </c>
      <c r="E373" s="85" t="s">
        <v>1702</v>
      </c>
      <c r="G373" s="85" t="s">
        <v>1029</v>
      </c>
      <c r="H373" s="85" t="s">
        <v>1693</v>
      </c>
      <c r="I373" s="85" t="s">
        <v>1202</v>
      </c>
      <c r="J373" s="181"/>
      <c r="K373" s="181"/>
      <c r="AA373" s="177" t="s">
        <v>1780</v>
      </c>
      <c r="AB373" s="224">
        <v>43440</v>
      </c>
      <c r="AC373" s="177"/>
      <c r="AD373" s="177"/>
      <c r="AE373" s="179"/>
      <c r="AF373" s="179"/>
      <c r="AG373" s="179"/>
    </row>
    <row r="374" spans="1:33" x14ac:dyDescent="0.25">
      <c r="A374" s="85">
        <v>371</v>
      </c>
      <c r="E374" s="85" t="s">
        <v>1703</v>
      </c>
      <c r="G374" s="85" t="s">
        <v>1011</v>
      </c>
      <c r="H374" s="85" t="s">
        <v>1693</v>
      </c>
      <c r="I374" s="85" t="s">
        <v>1288</v>
      </c>
      <c r="AA374" s="177"/>
      <c r="AB374" s="177"/>
      <c r="AC374" s="177"/>
      <c r="AD374" s="177"/>
      <c r="AE374" s="179"/>
      <c r="AF374" s="179"/>
      <c r="AG374" s="179"/>
    </row>
    <row r="375" spans="1:33" x14ac:dyDescent="0.25">
      <c r="A375" s="85">
        <v>372</v>
      </c>
      <c r="E375" s="85" t="s">
        <v>1704</v>
      </c>
      <c r="G375" s="85" t="s">
        <v>1029</v>
      </c>
      <c r="H375" s="85" t="s">
        <v>1693</v>
      </c>
      <c r="I375" s="85" t="s">
        <v>1288</v>
      </c>
      <c r="J375" s="181"/>
      <c r="AA375" s="177" t="s">
        <v>1780</v>
      </c>
      <c r="AB375" s="224">
        <v>43442</v>
      </c>
      <c r="AC375" s="177"/>
      <c r="AD375" s="177"/>
      <c r="AE375" s="179"/>
      <c r="AF375" s="179"/>
      <c r="AG375" s="179"/>
    </row>
    <row r="376" spans="1:33" x14ac:dyDescent="0.25">
      <c r="A376" s="85">
        <v>373</v>
      </c>
      <c r="E376" s="85" t="s">
        <v>1705</v>
      </c>
      <c r="G376" s="85" t="s">
        <v>1011</v>
      </c>
      <c r="H376" s="85" t="s">
        <v>1693</v>
      </c>
      <c r="I376" s="85" t="s">
        <v>1288</v>
      </c>
      <c r="AA376" s="177"/>
      <c r="AB376" s="177"/>
      <c r="AC376" s="177"/>
      <c r="AD376" s="177"/>
      <c r="AE376" s="179"/>
      <c r="AF376" s="179"/>
      <c r="AG376" s="179"/>
    </row>
    <row r="377" spans="1:33" x14ac:dyDescent="0.25">
      <c r="A377" s="85">
        <v>374</v>
      </c>
      <c r="E377" s="85" t="s">
        <v>1706</v>
      </c>
      <c r="G377" s="85" t="s">
        <v>1029</v>
      </c>
      <c r="H377" s="85" t="s">
        <v>1693</v>
      </c>
      <c r="I377" s="85" t="s">
        <v>1288</v>
      </c>
      <c r="AA377" s="177"/>
      <c r="AB377" s="177"/>
      <c r="AC377" s="177"/>
      <c r="AD377" s="177"/>
      <c r="AE377" s="179"/>
      <c r="AF377" s="179"/>
      <c r="AG377" s="179"/>
    </row>
    <row r="378" spans="1:33" x14ac:dyDescent="0.25">
      <c r="A378" s="85">
        <v>375</v>
      </c>
      <c r="E378" s="85" t="s">
        <v>1707</v>
      </c>
      <c r="G378" s="85" t="s">
        <v>1011</v>
      </c>
      <c r="H378" s="85" t="s">
        <v>1693</v>
      </c>
      <c r="I378" s="85" t="s">
        <v>1641</v>
      </c>
      <c r="AA378" s="177"/>
      <c r="AB378" s="177"/>
      <c r="AC378" s="177"/>
      <c r="AD378" s="177"/>
      <c r="AE378" s="179"/>
      <c r="AF378" s="179"/>
      <c r="AG378" s="179"/>
    </row>
    <row r="379" spans="1:33" x14ac:dyDescent="0.25">
      <c r="A379" s="85">
        <v>376</v>
      </c>
      <c r="E379" s="85" t="s">
        <v>1063</v>
      </c>
      <c r="AA379" s="177"/>
      <c r="AB379" s="177"/>
      <c r="AC379" s="177"/>
      <c r="AD379" s="177"/>
      <c r="AE379" s="179"/>
      <c r="AF379" s="179"/>
      <c r="AG379" s="179"/>
    </row>
    <row r="380" spans="1:33" x14ac:dyDescent="0.25">
      <c r="A380" s="85">
        <v>377</v>
      </c>
      <c r="E380" s="85" t="s">
        <v>1708</v>
      </c>
      <c r="G380" s="85" t="s">
        <v>1011</v>
      </c>
      <c r="H380" s="85" t="s">
        <v>1693</v>
      </c>
      <c r="I380" s="85" t="s">
        <v>1650</v>
      </c>
      <c r="J380" s="181"/>
      <c r="K380" s="181"/>
      <c r="AA380" s="177"/>
      <c r="AB380" s="177"/>
      <c r="AC380" s="177"/>
      <c r="AD380" s="177"/>
      <c r="AE380" s="179"/>
      <c r="AF380" s="179"/>
      <c r="AG380" s="179"/>
    </row>
    <row r="381" spans="1:33" x14ac:dyDescent="0.25">
      <c r="A381" s="85">
        <v>378</v>
      </c>
      <c r="E381" s="85" t="s">
        <v>1660</v>
      </c>
      <c r="G381" s="85" t="s">
        <v>1029</v>
      </c>
      <c r="H381" s="85" t="s">
        <v>1693</v>
      </c>
      <c r="I381" s="85" t="s">
        <v>1641</v>
      </c>
      <c r="AA381" s="177"/>
      <c r="AB381" s="177"/>
      <c r="AC381" s="177"/>
      <c r="AD381" s="177"/>
      <c r="AE381" s="179"/>
      <c r="AF381" s="179"/>
      <c r="AG381" s="179"/>
    </row>
    <row r="382" spans="1:33" x14ac:dyDescent="0.25">
      <c r="A382" s="85">
        <v>379</v>
      </c>
      <c r="E382" s="85" t="s">
        <v>1709</v>
      </c>
      <c r="G382" s="85" t="s">
        <v>1029</v>
      </c>
      <c r="H382" s="85" t="s">
        <v>1693</v>
      </c>
      <c r="I382" s="85" t="s">
        <v>1353</v>
      </c>
      <c r="J382" s="181"/>
      <c r="AA382" s="177"/>
      <c r="AB382" s="177"/>
      <c r="AC382" s="177"/>
      <c r="AD382" s="177"/>
      <c r="AE382" s="179"/>
      <c r="AF382" s="179"/>
      <c r="AG382" s="179"/>
    </row>
    <row r="383" spans="1:33" x14ac:dyDescent="0.25">
      <c r="A383" s="85">
        <v>380</v>
      </c>
      <c r="E383" s="85" t="s">
        <v>1710</v>
      </c>
      <c r="G383" s="85" t="s">
        <v>1029</v>
      </c>
      <c r="H383" s="85" t="s">
        <v>1693</v>
      </c>
      <c r="I383" s="85" t="s">
        <v>1711</v>
      </c>
      <c r="J383" s="181"/>
      <c r="AA383" s="177"/>
      <c r="AB383" s="177"/>
      <c r="AC383" s="177"/>
      <c r="AD383" s="177"/>
      <c r="AE383" s="179"/>
      <c r="AF383" s="179"/>
      <c r="AG383" s="179"/>
    </row>
    <row r="384" spans="1:33" x14ac:dyDescent="0.25">
      <c r="A384" s="85">
        <v>381</v>
      </c>
      <c r="E384" s="85" t="s">
        <v>1712</v>
      </c>
      <c r="G384" s="85" t="s">
        <v>1029</v>
      </c>
      <c r="H384" s="85" t="s">
        <v>1713</v>
      </c>
      <c r="I384" s="85" t="s">
        <v>1714</v>
      </c>
      <c r="J384" s="181"/>
      <c r="AA384" s="177"/>
      <c r="AB384" s="177"/>
      <c r="AC384" s="177"/>
      <c r="AD384" s="177"/>
      <c r="AE384" s="179"/>
      <c r="AF384" s="179"/>
      <c r="AG384" s="179"/>
    </row>
    <row r="385" spans="1:33" x14ac:dyDescent="0.25">
      <c r="A385" s="85">
        <v>382</v>
      </c>
      <c r="E385" s="85" t="s">
        <v>1715</v>
      </c>
      <c r="G385" s="85" t="s">
        <v>1029</v>
      </c>
      <c r="H385" s="85" t="s">
        <v>1398</v>
      </c>
      <c r="I385" s="85" t="s">
        <v>1650</v>
      </c>
      <c r="J385" s="181"/>
      <c r="K385" s="181"/>
      <c r="AA385" s="177"/>
      <c r="AB385" s="177"/>
      <c r="AC385" s="177"/>
      <c r="AD385" s="177"/>
      <c r="AE385" s="179"/>
      <c r="AF385" s="179"/>
      <c r="AG385" s="179"/>
    </row>
    <row r="386" spans="1:33" x14ac:dyDescent="0.25">
      <c r="A386" s="85">
        <v>383</v>
      </c>
      <c r="E386" s="85" t="s">
        <v>1716</v>
      </c>
      <c r="G386" s="85" t="s">
        <v>1011</v>
      </c>
      <c r="H386" s="85" t="s">
        <v>1717</v>
      </c>
      <c r="I386" s="85" t="s">
        <v>1403</v>
      </c>
      <c r="AA386" s="177"/>
      <c r="AB386" s="177"/>
      <c r="AC386" s="177"/>
      <c r="AD386" s="177"/>
      <c r="AE386" s="179"/>
      <c r="AF386" s="179"/>
      <c r="AG386" s="179"/>
    </row>
    <row r="387" spans="1:33" x14ac:dyDescent="0.25">
      <c r="A387" s="85">
        <v>384</v>
      </c>
      <c r="E387" s="85" t="s">
        <v>1718</v>
      </c>
      <c r="G387" s="85" t="s">
        <v>1029</v>
      </c>
      <c r="H387" s="85" t="s">
        <v>1662</v>
      </c>
      <c r="I387" s="85" t="s">
        <v>1670</v>
      </c>
      <c r="J387" s="181"/>
      <c r="AA387" s="177" t="s">
        <v>1780</v>
      </c>
      <c r="AB387" s="224">
        <v>43439</v>
      </c>
      <c r="AC387" s="177"/>
      <c r="AD387" s="177"/>
      <c r="AE387" s="179"/>
      <c r="AF387" s="179"/>
      <c r="AG387" s="179"/>
    </row>
    <row r="388" spans="1:33" x14ac:dyDescent="0.25">
      <c r="A388" s="85">
        <v>385</v>
      </c>
      <c r="E388" s="85" t="s">
        <v>1719</v>
      </c>
      <c r="G388" s="85" t="s">
        <v>1011</v>
      </c>
      <c r="H388" s="85" t="s">
        <v>1717</v>
      </c>
      <c r="I388" s="85" t="s">
        <v>1690</v>
      </c>
      <c r="J388" s="181"/>
      <c r="K388" s="181"/>
      <c r="AA388" s="177"/>
      <c r="AB388" s="177"/>
      <c r="AC388" s="177"/>
      <c r="AD388" s="177"/>
      <c r="AE388" s="179"/>
      <c r="AF388" s="179"/>
      <c r="AG388" s="179"/>
    </row>
    <row r="389" spans="1:33" x14ac:dyDescent="0.25">
      <c r="A389" s="85">
        <v>386</v>
      </c>
      <c r="E389" s="85" t="s">
        <v>1720</v>
      </c>
      <c r="G389" s="85" t="s">
        <v>1029</v>
      </c>
      <c r="H389" s="85" t="s">
        <v>1717</v>
      </c>
      <c r="I389" s="85" t="s">
        <v>1549</v>
      </c>
      <c r="J389" s="181"/>
      <c r="K389" s="181"/>
      <c r="AA389" s="177" t="s">
        <v>1780</v>
      </c>
      <c r="AB389" s="224">
        <v>43439</v>
      </c>
      <c r="AC389" s="177"/>
      <c r="AD389" s="177"/>
      <c r="AE389" s="179"/>
      <c r="AF389" s="179"/>
      <c r="AG389" s="179"/>
    </row>
    <row r="390" spans="1:33" x14ac:dyDescent="0.25">
      <c r="A390" s="85">
        <v>387</v>
      </c>
      <c r="E390" s="85" t="s">
        <v>1721</v>
      </c>
      <c r="G390" s="85" t="s">
        <v>1029</v>
      </c>
      <c r="H390" s="85" t="s">
        <v>1717</v>
      </c>
      <c r="I390" s="85" t="s">
        <v>1664</v>
      </c>
      <c r="J390" s="181"/>
      <c r="AA390" s="177"/>
      <c r="AB390" s="177"/>
      <c r="AC390" s="177"/>
      <c r="AD390" s="177"/>
      <c r="AE390" s="179"/>
      <c r="AF390" s="179"/>
      <c r="AG390" s="179"/>
    </row>
    <row r="391" spans="1:33" x14ac:dyDescent="0.25">
      <c r="A391" s="85">
        <v>388</v>
      </c>
      <c r="E391" s="85" t="s">
        <v>1722</v>
      </c>
      <c r="G391" s="85" t="s">
        <v>1029</v>
      </c>
      <c r="H391" s="85" t="s">
        <v>1717</v>
      </c>
      <c r="I391" s="85" t="s">
        <v>1577</v>
      </c>
      <c r="K391" s="181"/>
      <c r="AA391" s="177" t="s">
        <v>1790</v>
      </c>
      <c r="AB391" s="224">
        <v>43445</v>
      </c>
      <c r="AC391" s="177"/>
      <c r="AD391" s="177"/>
      <c r="AE391" s="179"/>
      <c r="AF391" s="179"/>
      <c r="AG391" s="179"/>
    </row>
    <row r="392" spans="1:33" x14ac:dyDescent="0.25">
      <c r="A392" s="85">
        <v>389</v>
      </c>
      <c r="E392" s="85" t="s">
        <v>1723</v>
      </c>
      <c r="G392" s="85" t="s">
        <v>1029</v>
      </c>
      <c r="H392" s="85" t="s">
        <v>1717</v>
      </c>
      <c r="I392" s="85" t="s">
        <v>1724</v>
      </c>
      <c r="J392" s="181"/>
      <c r="AA392" s="177" t="s">
        <v>1780</v>
      </c>
      <c r="AB392" s="224">
        <v>43442</v>
      </c>
      <c r="AC392" s="177"/>
      <c r="AD392" s="177"/>
      <c r="AE392" s="179"/>
      <c r="AF392" s="179"/>
      <c r="AG392" s="179"/>
    </row>
    <row r="393" spans="1:33" x14ac:dyDescent="0.25">
      <c r="A393" s="85">
        <v>390</v>
      </c>
      <c r="E393" s="85" t="s">
        <v>1725</v>
      </c>
      <c r="G393" s="85" t="s">
        <v>1029</v>
      </c>
      <c r="H393" s="85" t="s">
        <v>1366</v>
      </c>
      <c r="I393" s="85" t="s">
        <v>1690</v>
      </c>
      <c r="J393" s="181"/>
      <c r="K393" s="181"/>
      <c r="AA393" s="177" t="s">
        <v>1780</v>
      </c>
      <c r="AB393" s="224">
        <v>43439</v>
      </c>
      <c r="AC393" s="177"/>
      <c r="AD393" s="177"/>
      <c r="AE393" s="179"/>
      <c r="AF393" s="179"/>
      <c r="AG393" s="179"/>
    </row>
    <row r="394" spans="1:33" x14ac:dyDescent="0.25">
      <c r="A394" s="85">
        <v>391</v>
      </c>
      <c r="E394" s="85" t="s">
        <v>1726</v>
      </c>
      <c r="G394" s="85" t="s">
        <v>1029</v>
      </c>
      <c r="H394" s="85" t="s">
        <v>1717</v>
      </c>
      <c r="I394" s="85" t="s">
        <v>1727</v>
      </c>
      <c r="J394" s="181"/>
      <c r="AA394" s="177"/>
      <c r="AB394" s="177"/>
      <c r="AC394" s="177"/>
      <c r="AD394" s="177"/>
      <c r="AE394" s="179"/>
      <c r="AF394" s="179"/>
      <c r="AG394" s="179"/>
    </row>
    <row r="395" spans="1:33" x14ac:dyDescent="0.25">
      <c r="A395" s="85">
        <v>392</v>
      </c>
      <c r="E395" s="85" t="s">
        <v>1728</v>
      </c>
      <c r="G395" s="85" t="s">
        <v>1029</v>
      </c>
      <c r="H395" s="85" t="s">
        <v>1717</v>
      </c>
      <c r="I395" s="85" t="s">
        <v>1727</v>
      </c>
      <c r="J395" s="181"/>
      <c r="AA395" s="177"/>
      <c r="AB395" s="177"/>
      <c r="AC395" s="177"/>
      <c r="AD395" s="177"/>
      <c r="AE395" s="179"/>
      <c r="AF395" s="179"/>
      <c r="AG395" s="179"/>
    </row>
    <row r="396" spans="1:33" x14ac:dyDescent="0.25">
      <c r="A396" s="85">
        <v>393</v>
      </c>
      <c r="E396" s="85" t="s">
        <v>1729</v>
      </c>
      <c r="G396" s="85" t="s">
        <v>1011</v>
      </c>
      <c r="H396" s="85" t="s">
        <v>1717</v>
      </c>
      <c r="I396" s="85" t="s">
        <v>1525</v>
      </c>
      <c r="J396" s="181"/>
      <c r="K396" s="181"/>
      <c r="AA396" s="177"/>
      <c r="AB396" s="177"/>
      <c r="AC396" s="177"/>
      <c r="AD396" s="177"/>
      <c r="AE396" s="179"/>
      <c r="AF396" s="179"/>
      <c r="AG396" s="179"/>
    </row>
    <row r="397" spans="1:33" x14ac:dyDescent="0.25">
      <c r="A397" s="85">
        <v>394</v>
      </c>
      <c r="E397" s="85" t="s">
        <v>1730</v>
      </c>
      <c r="G397" s="85" t="s">
        <v>1011</v>
      </c>
      <c r="H397" s="85" t="s">
        <v>1717</v>
      </c>
      <c r="I397" s="85" t="s">
        <v>1690</v>
      </c>
      <c r="J397" s="181"/>
      <c r="K397" s="181"/>
      <c r="AA397" s="177"/>
      <c r="AB397" s="177"/>
      <c r="AC397" s="177"/>
      <c r="AD397" s="177"/>
      <c r="AE397" s="179"/>
      <c r="AF397" s="179"/>
      <c r="AG397" s="179"/>
    </row>
    <row r="398" spans="1:33" x14ac:dyDescent="0.25">
      <c r="A398" s="85">
        <v>395</v>
      </c>
      <c r="E398" s="85" t="s">
        <v>1731</v>
      </c>
      <c r="G398" s="85" t="s">
        <v>1011</v>
      </c>
      <c r="H398" s="85" t="s">
        <v>1732</v>
      </c>
      <c r="I398" s="85" t="s">
        <v>1733</v>
      </c>
      <c r="AA398" s="177"/>
      <c r="AB398" s="177"/>
      <c r="AC398" s="177"/>
      <c r="AD398" s="177"/>
      <c r="AE398" s="179"/>
      <c r="AF398" s="179"/>
      <c r="AG398" s="179"/>
    </row>
    <row r="399" spans="1:33" x14ac:dyDescent="0.25">
      <c r="A399" s="85">
        <v>396</v>
      </c>
      <c r="E399" s="85" t="s">
        <v>1734</v>
      </c>
      <c r="G399" s="85" t="s">
        <v>1011</v>
      </c>
      <c r="H399" s="85" t="s">
        <v>1717</v>
      </c>
      <c r="I399" s="85" t="s">
        <v>1735</v>
      </c>
      <c r="J399" s="181"/>
      <c r="K399" s="181"/>
      <c r="AA399" s="177"/>
      <c r="AB399" s="177"/>
      <c r="AC399" s="177"/>
      <c r="AD399" s="177"/>
      <c r="AE399" s="179"/>
      <c r="AF399" s="179"/>
      <c r="AG399" s="179"/>
    </row>
    <row r="400" spans="1:33" x14ac:dyDescent="0.25">
      <c r="A400" s="85">
        <v>397</v>
      </c>
      <c r="E400" s="85" t="s">
        <v>1736</v>
      </c>
      <c r="G400" s="85" t="s">
        <v>1029</v>
      </c>
      <c r="H400" s="85" t="s">
        <v>1717</v>
      </c>
      <c r="I400" s="85" t="s">
        <v>1735</v>
      </c>
      <c r="J400" s="181"/>
      <c r="K400" s="181"/>
      <c r="AA400" s="177"/>
      <c r="AB400" s="177"/>
      <c r="AC400" s="177"/>
      <c r="AD400" s="177"/>
      <c r="AE400" s="179"/>
      <c r="AF400" s="179"/>
      <c r="AG400" s="179"/>
    </row>
    <row r="401" spans="1:33" x14ac:dyDescent="0.25">
      <c r="A401" s="85">
        <v>398</v>
      </c>
      <c r="E401" s="85" t="s">
        <v>1737</v>
      </c>
      <c r="G401" s="85" t="s">
        <v>1029</v>
      </c>
      <c r="H401" s="85" t="s">
        <v>1717</v>
      </c>
      <c r="I401" s="85" t="s">
        <v>1735</v>
      </c>
      <c r="J401" s="181"/>
      <c r="K401" s="181"/>
      <c r="AA401" s="177"/>
      <c r="AB401" s="177"/>
      <c r="AC401" s="177"/>
      <c r="AD401" s="177"/>
      <c r="AE401" s="179"/>
      <c r="AF401" s="179"/>
      <c r="AG401" s="179"/>
    </row>
    <row r="402" spans="1:33" x14ac:dyDescent="0.25">
      <c r="A402" s="85">
        <v>399</v>
      </c>
      <c r="E402" s="85" t="s">
        <v>1738</v>
      </c>
      <c r="G402" s="85" t="s">
        <v>1029</v>
      </c>
      <c r="H402" s="85" t="s">
        <v>1717</v>
      </c>
      <c r="I402" s="85" t="s">
        <v>1249</v>
      </c>
      <c r="J402" s="181"/>
      <c r="K402" s="181"/>
      <c r="AA402" s="177"/>
      <c r="AB402" s="177"/>
      <c r="AC402" s="177"/>
      <c r="AD402" s="177"/>
      <c r="AE402" s="179"/>
      <c r="AF402" s="179"/>
      <c r="AG402" s="179"/>
    </row>
    <row r="403" spans="1:33" x14ac:dyDescent="0.25">
      <c r="A403" s="85">
        <v>400</v>
      </c>
      <c r="E403" s="85" t="s">
        <v>1739</v>
      </c>
      <c r="G403" s="85" t="s">
        <v>1011</v>
      </c>
      <c r="H403" s="85" t="s">
        <v>1732</v>
      </c>
      <c r="I403" s="85" t="s">
        <v>1740</v>
      </c>
      <c r="AA403" s="177"/>
      <c r="AB403" s="177"/>
      <c r="AC403" s="177"/>
      <c r="AD403" s="177"/>
      <c r="AE403" s="179"/>
      <c r="AF403" s="179"/>
      <c r="AG403" s="179"/>
    </row>
    <row r="404" spans="1:33" x14ac:dyDescent="0.25">
      <c r="A404" s="85">
        <v>401</v>
      </c>
      <c r="E404" s="85" t="s">
        <v>1741</v>
      </c>
      <c r="G404" s="85" t="s">
        <v>1029</v>
      </c>
      <c r="H404" s="85" t="s">
        <v>1717</v>
      </c>
      <c r="I404" s="85" t="s">
        <v>1727</v>
      </c>
      <c r="J404" s="181"/>
      <c r="AA404" s="177"/>
      <c r="AB404" s="177"/>
      <c r="AC404" s="177"/>
      <c r="AD404" s="177"/>
      <c r="AE404" s="179"/>
      <c r="AF404" s="179"/>
      <c r="AG404" s="179"/>
    </row>
    <row r="405" spans="1:33" x14ac:dyDescent="0.25">
      <c r="A405" s="85">
        <v>402</v>
      </c>
      <c r="E405" s="85" t="s">
        <v>1742</v>
      </c>
      <c r="G405" s="85" t="s">
        <v>1011</v>
      </c>
      <c r="H405" s="85" t="s">
        <v>1732</v>
      </c>
      <c r="I405" s="85" t="s">
        <v>1740</v>
      </c>
      <c r="AA405" s="177"/>
      <c r="AB405" s="177"/>
      <c r="AC405" s="177"/>
      <c r="AD405" s="177"/>
      <c r="AE405" s="179"/>
      <c r="AF405" s="179"/>
      <c r="AG405" s="179"/>
    </row>
    <row r="406" spans="1:33" x14ac:dyDescent="0.25">
      <c r="A406" s="85">
        <v>403</v>
      </c>
      <c r="E406" s="85" t="s">
        <v>1743</v>
      </c>
      <c r="G406" s="85" t="s">
        <v>1029</v>
      </c>
      <c r="H406" s="85" t="s">
        <v>1713</v>
      </c>
      <c r="I406" s="85" t="s">
        <v>1283</v>
      </c>
      <c r="J406" s="181"/>
      <c r="K406" s="181"/>
      <c r="AA406" s="177"/>
      <c r="AB406" s="177"/>
      <c r="AC406" s="177"/>
      <c r="AD406" s="177"/>
      <c r="AE406" s="179"/>
      <c r="AF406" s="179"/>
      <c r="AG406" s="179"/>
    </row>
    <row r="407" spans="1:33" x14ac:dyDescent="0.25">
      <c r="A407" s="85">
        <v>404</v>
      </c>
      <c r="E407" s="85" t="s">
        <v>1744</v>
      </c>
      <c r="G407" s="85" t="s">
        <v>1029</v>
      </c>
      <c r="H407" s="85" t="s">
        <v>1713</v>
      </c>
      <c r="I407" s="85" t="s">
        <v>1745</v>
      </c>
      <c r="J407" s="181"/>
      <c r="AA407" s="177"/>
      <c r="AB407" s="177"/>
      <c r="AC407" s="177"/>
      <c r="AD407" s="177"/>
      <c r="AE407" s="179"/>
      <c r="AF407" s="179"/>
      <c r="AG407" s="179"/>
    </row>
    <row r="408" spans="1:33" x14ac:dyDescent="0.25">
      <c r="A408" s="85">
        <v>405</v>
      </c>
      <c r="E408" s="85" t="s">
        <v>1746</v>
      </c>
      <c r="G408" s="85" t="s">
        <v>1011</v>
      </c>
      <c r="H408" s="85" t="s">
        <v>1713</v>
      </c>
      <c r="I408" s="85" t="s">
        <v>1740</v>
      </c>
      <c r="AA408" s="177"/>
      <c r="AB408" s="177"/>
      <c r="AC408" s="177"/>
      <c r="AD408" s="177"/>
      <c r="AE408" s="179"/>
      <c r="AF408" s="179"/>
      <c r="AG408" s="179"/>
    </row>
    <row r="409" spans="1:33" x14ac:dyDescent="0.25">
      <c r="A409" s="85">
        <v>406</v>
      </c>
      <c r="E409" s="85" t="s">
        <v>1747</v>
      </c>
      <c r="G409" s="85" t="s">
        <v>1029</v>
      </c>
      <c r="H409" s="85" t="s">
        <v>1713</v>
      </c>
      <c r="I409" s="85" t="s">
        <v>1283</v>
      </c>
      <c r="J409" s="181"/>
      <c r="K409" s="181"/>
      <c r="AA409" s="177"/>
      <c r="AB409" s="177"/>
      <c r="AC409" s="177"/>
      <c r="AD409" s="177"/>
      <c r="AE409" s="179"/>
      <c r="AF409" s="179"/>
      <c r="AG409" s="179"/>
    </row>
    <row r="410" spans="1:33" x14ac:dyDescent="0.25">
      <c r="A410" s="85">
        <v>407</v>
      </c>
      <c r="E410" s="85" t="s">
        <v>1748</v>
      </c>
      <c r="G410" s="85" t="s">
        <v>1029</v>
      </c>
      <c r="H410" s="85" t="s">
        <v>1713</v>
      </c>
      <c r="I410" s="85" t="s">
        <v>1690</v>
      </c>
      <c r="J410" s="181"/>
      <c r="K410" s="181"/>
      <c r="AA410" s="177"/>
      <c r="AB410" s="177"/>
      <c r="AC410" s="177"/>
      <c r="AD410" s="177"/>
      <c r="AE410" s="179"/>
      <c r="AF410" s="179"/>
      <c r="AG410" s="179"/>
    </row>
    <row r="411" spans="1:33" x14ac:dyDescent="0.25">
      <c r="A411" s="85">
        <v>408</v>
      </c>
      <c r="E411" s="85" t="s">
        <v>1749</v>
      </c>
      <c r="G411" s="85" t="s">
        <v>1011</v>
      </c>
      <c r="H411" s="85" t="s">
        <v>1713</v>
      </c>
      <c r="I411" s="85" t="s">
        <v>1740</v>
      </c>
      <c r="AA411" s="177"/>
      <c r="AB411" s="177"/>
      <c r="AC411" s="177"/>
      <c r="AD411" s="177"/>
      <c r="AE411" s="179"/>
      <c r="AF411" s="179"/>
      <c r="AG411" s="179"/>
    </row>
    <row r="412" spans="1:33" x14ac:dyDescent="0.25">
      <c r="A412" s="85">
        <v>409</v>
      </c>
      <c r="E412" s="85" t="s">
        <v>1750</v>
      </c>
      <c r="G412" s="85" t="s">
        <v>1011</v>
      </c>
      <c r="H412" s="85" t="s">
        <v>1713</v>
      </c>
      <c r="I412" s="85" t="s">
        <v>1510</v>
      </c>
      <c r="J412" s="181"/>
      <c r="K412" s="181"/>
      <c r="AA412" s="177"/>
      <c r="AB412" s="177"/>
      <c r="AC412" s="177"/>
      <c r="AD412" s="177"/>
      <c r="AE412" s="179"/>
      <c r="AF412" s="179"/>
      <c r="AG412" s="179"/>
    </row>
    <row r="413" spans="1:33" x14ac:dyDescent="0.25">
      <c r="A413" s="85">
        <v>410</v>
      </c>
      <c r="E413" s="85" t="s">
        <v>1751</v>
      </c>
      <c r="G413" s="85" t="s">
        <v>1029</v>
      </c>
      <c r="H413" s="85" t="s">
        <v>1713</v>
      </c>
      <c r="I413" s="85" t="s">
        <v>1510</v>
      </c>
      <c r="J413" s="181"/>
      <c r="K413" s="181"/>
      <c r="AA413" s="177"/>
      <c r="AB413" s="177"/>
      <c r="AC413" s="177"/>
      <c r="AD413" s="177"/>
      <c r="AE413" s="179"/>
      <c r="AF413" s="179"/>
      <c r="AG413" s="179"/>
    </row>
    <row r="414" spans="1:33" x14ac:dyDescent="0.25">
      <c r="A414" s="85">
        <v>411</v>
      </c>
      <c r="E414" s="85" t="s">
        <v>1752</v>
      </c>
      <c r="G414" s="85" t="s">
        <v>1029</v>
      </c>
      <c r="H414" s="85" t="s">
        <v>1713</v>
      </c>
      <c r="I414" s="85" t="s">
        <v>1698</v>
      </c>
      <c r="J414" s="181"/>
      <c r="AA414" s="177"/>
      <c r="AB414" s="177"/>
      <c r="AC414" s="177"/>
      <c r="AD414" s="177"/>
      <c r="AE414" s="179"/>
      <c r="AF414" s="179"/>
      <c r="AG414" s="179"/>
    </row>
    <row r="415" spans="1:33" x14ac:dyDescent="0.25">
      <c r="A415" s="85">
        <v>412</v>
      </c>
      <c r="E415" s="85" t="s">
        <v>1753</v>
      </c>
      <c r="G415" s="85" t="s">
        <v>1029</v>
      </c>
      <c r="H415" s="85" t="s">
        <v>1713</v>
      </c>
      <c r="I415" s="85" t="s">
        <v>1362</v>
      </c>
      <c r="J415" s="181"/>
      <c r="K415" s="181"/>
      <c r="AA415" s="177" t="s">
        <v>1780</v>
      </c>
      <c r="AB415" s="224">
        <v>43439</v>
      </c>
      <c r="AC415" s="177"/>
      <c r="AD415" s="177"/>
      <c r="AE415" s="179"/>
      <c r="AF415" s="179"/>
      <c r="AG415" s="179"/>
    </row>
    <row r="416" spans="1:33" x14ac:dyDescent="0.25">
      <c r="A416" s="85">
        <v>413</v>
      </c>
      <c r="E416" s="85" t="s">
        <v>1754</v>
      </c>
      <c r="G416" s="85" t="s">
        <v>1029</v>
      </c>
      <c r="H416" s="85" t="s">
        <v>1713</v>
      </c>
      <c r="I416" s="85" t="s">
        <v>1462</v>
      </c>
      <c r="J416" s="181"/>
      <c r="AA416" s="177"/>
      <c r="AB416" s="177"/>
      <c r="AC416" s="177"/>
      <c r="AD416" s="177"/>
      <c r="AE416" s="179"/>
      <c r="AF416" s="179"/>
      <c r="AG416" s="179"/>
    </row>
    <row r="417" spans="1:33" x14ac:dyDescent="0.25">
      <c r="A417" s="85">
        <v>414</v>
      </c>
      <c r="E417" s="85" t="s">
        <v>1755</v>
      </c>
      <c r="G417" s="85" t="s">
        <v>1011</v>
      </c>
      <c r="H417" s="85" t="s">
        <v>1713</v>
      </c>
      <c r="I417" s="85" t="s">
        <v>1745</v>
      </c>
      <c r="AA417" s="177"/>
      <c r="AB417" s="177"/>
      <c r="AC417" s="177"/>
      <c r="AD417" s="177"/>
      <c r="AE417" s="179"/>
      <c r="AF417" s="179"/>
      <c r="AG417" s="179"/>
    </row>
    <row r="418" spans="1:33" x14ac:dyDescent="0.25">
      <c r="A418" s="85">
        <v>415</v>
      </c>
      <c r="E418" s="85" t="s">
        <v>1756</v>
      </c>
      <c r="G418" s="85" t="s">
        <v>1011</v>
      </c>
      <c r="H418" s="85" t="s">
        <v>1713</v>
      </c>
      <c r="I418" s="85" t="s">
        <v>1745</v>
      </c>
      <c r="AA418" s="177"/>
      <c r="AB418" s="177"/>
      <c r="AC418" s="177"/>
      <c r="AD418" s="177"/>
      <c r="AE418" s="179"/>
      <c r="AF418" s="179"/>
      <c r="AG418" s="179"/>
    </row>
    <row r="419" spans="1:33" x14ac:dyDescent="0.25">
      <c r="A419" s="85">
        <v>416</v>
      </c>
      <c r="E419" s="85" t="s">
        <v>1757</v>
      </c>
      <c r="G419" s="85" t="s">
        <v>1029</v>
      </c>
      <c r="H419" s="85" t="s">
        <v>1713</v>
      </c>
      <c r="I419" s="85" t="s">
        <v>1758</v>
      </c>
      <c r="J419" s="181"/>
      <c r="K419" s="181"/>
      <c r="AA419" s="177"/>
      <c r="AB419" s="177"/>
      <c r="AC419" s="177"/>
      <c r="AD419" s="177"/>
      <c r="AE419" s="179"/>
      <c r="AF419" s="179"/>
      <c r="AG419" s="179"/>
    </row>
    <row r="420" spans="1:33" x14ac:dyDescent="0.25">
      <c r="A420" s="85">
        <v>417</v>
      </c>
      <c r="E420" s="85" t="s">
        <v>1759</v>
      </c>
      <c r="G420" s="85" t="s">
        <v>1011</v>
      </c>
      <c r="H420" s="85" t="s">
        <v>1713</v>
      </c>
      <c r="I420" s="85" t="s">
        <v>1323</v>
      </c>
      <c r="AA420" s="177"/>
      <c r="AB420" s="177"/>
      <c r="AC420" s="177"/>
      <c r="AD420" s="177"/>
      <c r="AE420" s="179"/>
      <c r="AF420" s="179"/>
      <c r="AG420" s="179"/>
    </row>
    <row r="421" spans="1:33" x14ac:dyDescent="0.25">
      <c r="A421" s="85">
        <v>418</v>
      </c>
      <c r="E421" s="85" t="s">
        <v>1760</v>
      </c>
      <c r="G421" s="85" t="s">
        <v>1029</v>
      </c>
      <c r="H421" s="85" t="s">
        <v>1713</v>
      </c>
      <c r="I421" s="85" t="s">
        <v>1690</v>
      </c>
      <c r="J421" s="181"/>
      <c r="K421" s="181"/>
      <c r="AA421" s="177"/>
      <c r="AB421" s="177"/>
      <c r="AC421" s="177"/>
      <c r="AD421" s="177"/>
      <c r="AE421" s="179"/>
      <c r="AF421" s="179"/>
      <c r="AG421" s="179"/>
    </row>
    <row r="422" spans="1:33" x14ac:dyDescent="0.25">
      <c r="A422" s="85">
        <v>419</v>
      </c>
      <c r="E422" s="85" t="s">
        <v>1761</v>
      </c>
      <c r="G422" s="85" t="s">
        <v>1011</v>
      </c>
      <c r="H422" s="85" t="s">
        <v>1713</v>
      </c>
      <c r="I422" s="85" t="s">
        <v>1758</v>
      </c>
      <c r="J422" s="181"/>
      <c r="K422" s="181"/>
      <c r="AA422" s="177"/>
      <c r="AB422" s="177"/>
      <c r="AC422" s="177"/>
      <c r="AD422" s="177"/>
      <c r="AE422" s="179"/>
      <c r="AF422" s="179"/>
      <c r="AG422" s="179"/>
    </row>
    <row r="423" spans="1:33" x14ac:dyDescent="0.25">
      <c r="A423" s="85">
        <v>420</v>
      </c>
      <c r="E423" s="85" t="s">
        <v>1762</v>
      </c>
      <c r="G423" s="85" t="s">
        <v>1029</v>
      </c>
      <c r="H423" s="85" t="s">
        <v>1713</v>
      </c>
      <c r="I423" s="85" t="s">
        <v>1758</v>
      </c>
      <c r="J423" s="181"/>
      <c r="K423" s="181"/>
      <c r="AA423" s="177"/>
      <c r="AB423" s="177"/>
      <c r="AC423" s="177"/>
      <c r="AD423" s="177"/>
      <c r="AE423" s="179"/>
      <c r="AF423" s="179"/>
      <c r="AG423" s="179"/>
    </row>
    <row r="424" spans="1:33" x14ac:dyDescent="0.25">
      <c r="A424" s="85">
        <v>421</v>
      </c>
      <c r="E424" s="85" t="s">
        <v>1007</v>
      </c>
      <c r="G424" s="85" t="s">
        <v>1029</v>
      </c>
      <c r="H424" s="85" t="s">
        <v>1763</v>
      </c>
      <c r="I424" s="85" t="s">
        <v>473</v>
      </c>
      <c r="J424" s="181"/>
      <c r="K424" s="181"/>
      <c r="AA424" s="177" t="s">
        <v>1780</v>
      </c>
      <c r="AB424" s="224">
        <v>43445</v>
      </c>
      <c r="AC424" s="177"/>
      <c r="AD424" s="177"/>
      <c r="AE424" s="179"/>
      <c r="AF424" s="179"/>
      <c r="AG424" s="179"/>
    </row>
    <row r="425" spans="1:33" x14ac:dyDescent="0.25">
      <c r="A425" s="85">
        <v>422</v>
      </c>
      <c r="E425" s="85" t="s">
        <v>1010</v>
      </c>
      <c r="G425" s="85" t="s">
        <v>1011</v>
      </c>
      <c r="H425" s="85" t="s">
        <v>1764</v>
      </c>
      <c r="I425" s="85" t="s">
        <v>374</v>
      </c>
      <c r="J425" s="181"/>
      <c r="K425" s="181"/>
      <c r="AA425" s="177"/>
      <c r="AB425" s="177"/>
      <c r="AC425" s="177"/>
      <c r="AD425" s="177"/>
      <c r="AE425" s="179"/>
      <c r="AF425" s="179"/>
      <c r="AG425" s="179"/>
    </row>
    <row r="426" spans="1:33" x14ac:dyDescent="0.25">
      <c r="A426" s="85">
        <v>424</v>
      </c>
      <c r="E426" s="85" t="s">
        <v>1013</v>
      </c>
      <c r="G426" s="85" t="s">
        <v>1029</v>
      </c>
      <c r="H426" s="85" t="s">
        <v>1763</v>
      </c>
      <c r="I426" s="85" t="s">
        <v>473</v>
      </c>
      <c r="J426" s="181"/>
      <c r="K426" s="181"/>
      <c r="AA426" s="177" t="s">
        <v>1790</v>
      </c>
      <c r="AB426" s="224">
        <v>43420</v>
      </c>
      <c r="AC426" s="177" t="s">
        <v>1790</v>
      </c>
      <c r="AD426" s="224">
        <v>43433</v>
      </c>
      <c r="AE426" s="179">
        <v>72950</v>
      </c>
      <c r="AF426" s="179" t="s">
        <v>1797</v>
      </c>
      <c r="AG426" s="179">
        <v>80000</v>
      </c>
    </row>
    <row r="427" spans="1:33" x14ac:dyDescent="0.25">
      <c r="A427" s="85">
        <v>423</v>
      </c>
      <c r="E427" s="85" t="s">
        <v>1012</v>
      </c>
      <c r="G427" s="85" t="s">
        <v>1029</v>
      </c>
      <c r="H427" s="85" t="s">
        <v>1763</v>
      </c>
      <c r="I427" s="85" t="s">
        <v>473</v>
      </c>
      <c r="J427" s="181"/>
      <c r="K427" s="181"/>
      <c r="AA427" s="177" t="s">
        <v>1780</v>
      </c>
      <c r="AB427" s="224">
        <v>43445</v>
      </c>
      <c r="AC427" s="177"/>
      <c r="AD427" s="177"/>
      <c r="AE427" s="179"/>
      <c r="AF427" s="179"/>
      <c r="AG427" s="179"/>
    </row>
    <row r="428" spans="1:33" x14ac:dyDescent="0.25">
      <c r="A428" s="85">
        <v>425</v>
      </c>
      <c r="E428" s="85" t="s">
        <v>1014</v>
      </c>
      <c r="G428" s="85" t="s">
        <v>1011</v>
      </c>
      <c r="H428" s="85" t="s">
        <v>1764</v>
      </c>
      <c r="I428" s="85" t="s">
        <v>1015</v>
      </c>
      <c r="AA428" s="177"/>
      <c r="AB428" s="177"/>
      <c r="AC428" s="177"/>
      <c r="AD428" s="177"/>
      <c r="AE428" s="179"/>
      <c r="AF428" s="179"/>
      <c r="AG428" s="179"/>
    </row>
    <row r="429" spans="1:33" x14ac:dyDescent="0.25">
      <c r="A429" s="85">
        <v>426</v>
      </c>
      <c r="E429" s="85" t="s">
        <v>1016</v>
      </c>
      <c r="G429" s="85" t="s">
        <v>1011</v>
      </c>
      <c r="H429" s="85" t="s">
        <v>1764</v>
      </c>
      <c r="I429" s="85" t="s">
        <v>1017</v>
      </c>
      <c r="AA429" s="177"/>
      <c r="AB429" s="177"/>
      <c r="AC429" s="177"/>
      <c r="AD429" s="177"/>
      <c r="AE429" s="179"/>
      <c r="AF429" s="179"/>
      <c r="AG429" s="179"/>
    </row>
    <row r="430" spans="1:33" x14ac:dyDescent="0.25">
      <c r="A430" s="85">
        <v>427</v>
      </c>
      <c r="E430" s="85" t="s">
        <v>1018</v>
      </c>
      <c r="G430" s="85" t="s">
        <v>1011</v>
      </c>
      <c r="H430" s="85" t="s">
        <v>1764</v>
      </c>
      <c r="I430" s="85" t="s">
        <v>367</v>
      </c>
      <c r="AA430" s="177"/>
      <c r="AB430" s="177"/>
      <c r="AC430" s="177"/>
      <c r="AD430" s="177"/>
      <c r="AE430" s="179"/>
      <c r="AF430" s="179"/>
      <c r="AG430" s="179"/>
    </row>
    <row r="431" spans="1:33" x14ac:dyDescent="0.25">
      <c r="A431" s="85">
        <v>428</v>
      </c>
      <c r="E431" s="85" t="s">
        <v>1021</v>
      </c>
      <c r="G431" s="85" t="s">
        <v>1011</v>
      </c>
      <c r="H431" s="85" t="s">
        <v>1764</v>
      </c>
      <c r="I431" s="85" t="s">
        <v>463</v>
      </c>
      <c r="AA431" s="177"/>
      <c r="AB431" s="177"/>
      <c r="AC431" s="177"/>
      <c r="AD431" s="177"/>
      <c r="AE431" s="179"/>
      <c r="AF431" s="179"/>
      <c r="AG431" s="179"/>
    </row>
    <row r="432" spans="1:33" x14ac:dyDescent="0.25">
      <c r="A432" s="85">
        <v>429</v>
      </c>
      <c r="E432" s="85" t="s">
        <v>1022</v>
      </c>
      <c r="G432" s="85" t="s">
        <v>1011</v>
      </c>
      <c r="H432" s="85" t="s">
        <v>1764</v>
      </c>
      <c r="I432" s="85" t="s">
        <v>367</v>
      </c>
      <c r="AA432" s="177"/>
      <c r="AB432" s="177"/>
      <c r="AC432" s="177"/>
      <c r="AD432" s="177"/>
      <c r="AE432" s="179"/>
      <c r="AF432" s="179"/>
      <c r="AG432" s="179"/>
    </row>
    <row r="433" spans="1:33" x14ac:dyDescent="0.25">
      <c r="A433" s="85">
        <v>430</v>
      </c>
      <c r="E433" s="85" t="s">
        <v>1025</v>
      </c>
      <c r="G433" s="85" t="s">
        <v>1011</v>
      </c>
      <c r="H433" s="85" t="s">
        <v>1765</v>
      </c>
      <c r="I433" s="85" t="s">
        <v>1015</v>
      </c>
      <c r="AA433" s="177"/>
      <c r="AB433" s="177"/>
      <c r="AC433" s="177"/>
      <c r="AD433" s="177"/>
      <c r="AE433" s="179"/>
      <c r="AF433" s="179"/>
      <c r="AG433" s="179"/>
    </row>
    <row r="434" spans="1:33" x14ac:dyDescent="0.25">
      <c r="A434" s="85">
        <v>431</v>
      </c>
      <c r="E434" s="85" t="s">
        <v>1026</v>
      </c>
      <c r="G434" s="85" t="s">
        <v>1029</v>
      </c>
      <c r="H434" s="85" t="s">
        <v>1763</v>
      </c>
      <c r="I434" s="85" t="s">
        <v>483</v>
      </c>
      <c r="J434" s="181"/>
      <c r="AA434" s="177"/>
      <c r="AB434" s="177"/>
      <c r="AC434" s="177"/>
      <c r="AD434" s="177"/>
      <c r="AE434" s="179"/>
      <c r="AF434" s="179"/>
      <c r="AG434" s="179"/>
    </row>
    <row r="435" spans="1:33" x14ac:dyDescent="0.25">
      <c r="A435" s="85">
        <v>432</v>
      </c>
      <c r="E435" s="85" t="s">
        <v>1028</v>
      </c>
      <c r="G435" s="85" t="s">
        <v>1029</v>
      </c>
      <c r="H435" s="85" t="s">
        <v>1763</v>
      </c>
      <c r="I435" s="85" t="s">
        <v>404</v>
      </c>
      <c r="J435" s="181"/>
      <c r="AA435" s="177"/>
      <c r="AB435" s="177"/>
      <c r="AC435" s="177"/>
      <c r="AD435" s="177"/>
      <c r="AE435" s="179"/>
      <c r="AF435" s="179"/>
      <c r="AG435" s="179"/>
    </row>
    <row r="436" spans="1:33" x14ac:dyDescent="0.25">
      <c r="A436" s="85">
        <v>433</v>
      </c>
      <c r="E436" s="85" t="s">
        <v>1030</v>
      </c>
      <c r="G436" s="85" t="s">
        <v>1029</v>
      </c>
      <c r="H436" s="85" t="s">
        <v>1763</v>
      </c>
      <c r="I436" s="85" t="s">
        <v>436</v>
      </c>
      <c r="J436" s="181"/>
      <c r="K436" s="181"/>
      <c r="AA436" s="177"/>
      <c r="AB436" s="177"/>
      <c r="AC436" s="177"/>
      <c r="AD436" s="177"/>
      <c r="AE436" s="179"/>
      <c r="AF436" s="179"/>
      <c r="AG436" s="179"/>
    </row>
    <row r="437" spans="1:33" x14ac:dyDescent="0.25">
      <c r="A437" s="85">
        <v>434</v>
      </c>
      <c r="E437" s="85" t="s">
        <v>1032</v>
      </c>
      <c r="G437" s="85" t="s">
        <v>1011</v>
      </c>
      <c r="H437" s="85" t="s">
        <v>1764</v>
      </c>
      <c r="I437" s="85" t="s">
        <v>1033</v>
      </c>
      <c r="AA437" s="177"/>
      <c r="AB437" s="177"/>
      <c r="AC437" s="177"/>
      <c r="AD437" s="177"/>
      <c r="AE437" s="179"/>
      <c r="AF437" s="179"/>
      <c r="AG437" s="179"/>
    </row>
    <row r="438" spans="1:33" x14ac:dyDescent="0.25">
      <c r="A438" s="85">
        <v>435</v>
      </c>
      <c r="E438" s="85" t="s">
        <v>1034</v>
      </c>
      <c r="G438" s="85" t="s">
        <v>1011</v>
      </c>
      <c r="H438" s="85" t="s">
        <v>1764</v>
      </c>
      <c r="I438" s="85" t="s">
        <v>374</v>
      </c>
      <c r="J438" s="181"/>
      <c r="K438" s="181"/>
      <c r="AA438" s="177"/>
      <c r="AB438" s="177"/>
      <c r="AC438" s="177"/>
      <c r="AD438" s="177"/>
      <c r="AE438" s="179"/>
      <c r="AF438" s="179"/>
      <c r="AG438" s="179"/>
    </row>
    <row r="439" spans="1:33" x14ac:dyDescent="0.25">
      <c r="A439" s="85">
        <v>436</v>
      </c>
      <c r="E439" s="85" t="s">
        <v>1035</v>
      </c>
      <c r="G439" s="85" t="s">
        <v>1029</v>
      </c>
      <c r="H439" s="85" t="s">
        <v>1763</v>
      </c>
      <c r="I439" s="85" t="s">
        <v>384</v>
      </c>
      <c r="J439" s="181"/>
      <c r="AA439" s="177"/>
      <c r="AB439" s="177"/>
      <c r="AC439" s="177"/>
      <c r="AD439" s="177"/>
      <c r="AE439" s="179"/>
      <c r="AF439" s="179"/>
      <c r="AG439" s="179"/>
    </row>
    <row r="440" spans="1:33" x14ac:dyDescent="0.25">
      <c r="A440" s="85">
        <v>437</v>
      </c>
      <c r="E440" s="85" t="s">
        <v>1036</v>
      </c>
      <c r="G440" s="85" t="s">
        <v>1011</v>
      </c>
      <c r="H440" s="85" t="s">
        <v>1764</v>
      </c>
      <c r="I440" s="85" t="s">
        <v>1033</v>
      </c>
      <c r="AA440" s="177"/>
      <c r="AB440" s="177"/>
      <c r="AC440" s="177"/>
      <c r="AD440" s="177"/>
      <c r="AE440" s="179"/>
      <c r="AF440" s="179"/>
      <c r="AG440" s="179"/>
    </row>
    <row r="441" spans="1:33" x14ac:dyDescent="0.25">
      <c r="A441" s="85">
        <v>438</v>
      </c>
      <c r="E441" s="85" t="s">
        <v>1037</v>
      </c>
      <c r="G441" s="85" t="s">
        <v>1029</v>
      </c>
      <c r="H441" s="85" t="s">
        <v>1763</v>
      </c>
      <c r="I441" s="85" t="s">
        <v>1766</v>
      </c>
      <c r="J441" s="181"/>
      <c r="AA441" s="177"/>
      <c r="AB441" s="177"/>
      <c r="AC441" s="177"/>
      <c r="AD441" s="177"/>
      <c r="AE441" s="179"/>
      <c r="AF441" s="179"/>
      <c r="AG441" s="179"/>
    </row>
    <row r="442" spans="1:33" x14ac:dyDescent="0.25">
      <c r="A442" s="85">
        <v>439</v>
      </c>
      <c r="E442" s="85" t="s">
        <v>1039</v>
      </c>
      <c r="G442" s="85" t="s">
        <v>1029</v>
      </c>
      <c r="H442" s="85" t="s">
        <v>1763</v>
      </c>
      <c r="I442" s="85" t="s">
        <v>404</v>
      </c>
      <c r="J442" s="181"/>
      <c r="AA442" s="177"/>
      <c r="AB442" s="177"/>
      <c r="AC442" s="177"/>
      <c r="AD442" s="177"/>
      <c r="AE442" s="179"/>
      <c r="AF442" s="179"/>
      <c r="AG442" s="179"/>
    </row>
    <row r="443" spans="1:33" x14ac:dyDescent="0.25">
      <c r="A443" s="85">
        <v>440</v>
      </c>
      <c r="E443" s="85" t="s">
        <v>1042</v>
      </c>
      <c r="G443" s="85" t="s">
        <v>1029</v>
      </c>
      <c r="H443" s="85" t="s">
        <v>1767</v>
      </c>
      <c r="I443" s="85" t="s">
        <v>473</v>
      </c>
      <c r="J443" s="181"/>
      <c r="AA443" s="177"/>
      <c r="AB443" s="177"/>
      <c r="AC443" s="177"/>
      <c r="AD443" s="177"/>
      <c r="AE443" s="179"/>
      <c r="AF443" s="179"/>
      <c r="AG443" s="179"/>
    </row>
    <row r="444" spans="1:33" x14ac:dyDescent="0.25">
      <c r="A444" s="85">
        <v>441</v>
      </c>
      <c r="E444" s="85" t="s">
        <v>1043</v>
      </c>
      <c r="G444" s="85" t="s">
        <v>1029</v>
      </c>
      <c r="H444" s="85" t="s">
        <v>1763</v>
      </c>
      <c r="I444" s="85" t="s">
        <v>404</v>
      </c>
      <c r="J444" s="181"/>
      <c r="AA444" s="177"/>
      <c r="AB444" s="177"/>
      <c r="AC444" s="177"/>
      <c r="AD444" s="177"/>
      <c r="AE444" s="179"/>
      <c r="AF444" s="179"/>
      <c r="AG444" s="179"/>
    </row>
    <row r="445" spans="1:33" x14ac:dyDescent="0.25">
      <c r="A445" s="85">
        <v>442</v>
      </c>
      <c r="E445" s="85" t="s">
        <v>1045</v>
      </c>
      <c r="G445" s="85" t="s">
        <v>1011</v>
      </c>
      <c r="H445" s="85" t="s">
        <v>1764</v>
      </c>
      <c r="I445" s="85" t="s">
        <v>374</v>
      </c>
      <c r="J445" s="181"/>
      <c r="K445" s="181"/>
      <c r="AA445" s="177"/>
      <c r="AB445" s="177"/>
      <c r="AC445" s="177"/>
      <c r="AD445" s="177"/>
      <c r="AE445" s="179"/>
      <c r="AF445" s="179"/>
      <c r="AG445" s="179"/>
    </row>
    <row r="446" spans="1:33" x14ac:dyDescent="0.25">
      <c r="A446" s="85">
        <v>443</v>
      </c>
      <c r="E446" s="85" t="s">
        <v>1046</v>
      </c>
      <c r="G446" s="85" t="s">
        <v>1029</v>
      </c>
      <c r="H446" s="85" t="s">
        <v>1768</v>
      </c>
      <c r="I446" s="85" t="s">
        <v>1047</v>
      </c>
      <c r="AA446" s="177"/>
      <c r="AB446" s="177"/>
      <c r="AC446" s="177"/>
      <c r="AD446" s="177"/>
      <c r="AE446" s="179"/>
      <c r="AF446" s="179"/>
      <c r="AG446" s="179"/>
    </row>
    <row r="447" spans="1:33" x14ac:dyDescent="0.25">
      <c r="A447" s="85">
        <v>444</v>
      </c>
      <c r="E447" s="85" t="s">
        <v>1048</v>
      </c>
      <c r="G447" s="85" t="s">
        <v>1029</v>
      </c>
      <c r="H447" s="85" t="s">
        <v>1763</v>
      </c>
      <c r="I447" s="85" t="s">
        <v>416</v>
      </c>
      <c r="J447" s="181"/>
      <c r="K447" s="181"/>
      <c r="AA447" s="177"/>
      <c r="AB447" s="177"/>
      <c r="AC447" s="177"/>
      <c r="AD447" s="177"/>
      <c r="AE447" s="179"/>
      <c r="AF447" s="179"/>
      <c r="AG447" s="179"/>
    </row>
    <row r="448" spans="1:33" x14ac:dyDescent="0.25">
      <c r="A448" s="85">
        <v>445</v>
      </c>
      <c r="E448" s="85" t="s">
        <v>1050</v>
      </c>
      <c r="G448" s="85" t="s">
        <v>1029</v>
      </c>
      <c r="H448" s="85" t="s">
        <v>1763</v>
      </c>
      <c r="I448" s="85" t="s">
        <v>416</v>
      </c>
      <c r="J448" s="181"/>
      <c r="K448" s="181"/>
      <c r="AA448" s="177"/>
      <c r="AB448" s="177"/>
      <c r="AC448" s="177"/>
      <c r="AD448" s="177"/>
      <c r="AE448" s="179"/>
      <c r="AF448" s="179"/>
      <c r="AG448" s="179"/>
    </row>
    <row r="449" spans="1:33" x14ac:dyDescent="0.25">
      <c r="A449" s="85">
        <v>446</v>
      </c>
      <c r="E449" s="85" t="s">
        <v>1052</v>
      </c>
      <c r="G449" s="85" t="s">
        <v>1029</v>
      </c>
      <c r="H449" s="85" t="s">
        <v>1767</v>
      </c>
      <c r="I449" s="85" t="s">
        <v>1053</v>
      </c>
      <c r="J449" s="181"/>
      <c r="AA449" s="177"/>
      <c r="AB449" s="177"/>
      <c r="AC449" s="177"/>
      <c r="AD449" s="177"/>
      <c r="AE449" s="179"/>
      <c r="AF449" s="179"/>
      <c r="AG449" s="179"/>
    </row>
    <row r="450" spans="1:33" x14ac:dyDescent="0.25">
      <c r="A450" s="85">
        <v>447</v>
      </c>
      <c r="E450" s="85" t="s">
        <v>1054</v>
      </c>
      <c r="G450" s="85" t="s">
        <v>1011</v>
      </c>
      <c r="H450" s="85" t="s">
        <v>1764</v>
      </c>
      <c r="I450" s="85" t="s">
        <v>384</v>
      </c>
      <c r="AA450" s="177"/>
      <c r="AB450" s="177"/>
      <c r="AC450" s="177"/>
      <c r="AD450" s="177"/>
      <c r="AE450" s="179"/>
      <c r="AF450" s="179"/>
      <c r="AG450" s="179"/>
    </row>
    <row r="451" spans="1:33" x14ac:dyDescent="0.25">
      <c r="A451" s="85">
        <v>448</v>
      </c>
      <c r="E451" s="85" t="s">
        <v>1056</v>
      </c>
      <c r="G451" s="85" t="s">
        <v>1029</v>
      </c>
      <c r="H451" s="85" t="s">
        <v>1763</v>
      </c>
      <c r="I451" s="85" t="s">
        <v>463</v>
      </c>
      <c r="J451" s="181"/>
      <c r="AA451" s="177"/>
      <c r="AB451" s="177"/>
      <c r="AC451" s="177"/>
      <c r="AD451" s="177"/>
      <c r="AE451" s="179"/>
      <c r="AF451" s="179"/>
      <c r="AG451" s="179"/>
    </row>
    <row r="452" spans="1:33" x14ac:dyDescent="0.25">
      <c r="A452" s="85">
        <v>449</v>
      </c>
      <c r="E452" s="85" t="s">
        <v>1769</v>
      </c>
      <c r="G452" s="85" t="s">
        <v>1029</v>
      </c>
      <c r="H452" s="85" t="s">
        <v>1763</v>
      </c>
      <c r="I452" s="85" t="s">
        <v>1770</v>
      </c>
      <c r="AA452" s="177"/>
      <c r="AB452" s="177"/>
      <c r="AC452" s="177"/>
      <c r="AD452" s="177"/>
      <c r="AE452" s="179"/>
      <c r="AF452" s="179"/>
      <c r="AG452" s="179"/>
    </row>
    <row r="453" spans="1:33" x14ac:dyDescent="0.25">
      <c r="A453" s="85">
        <v>450</v>
      </c>
      <c r="E453" s="85" t="s">
        <v>1058</v>
      </c>
      <c r="G453" s="85" t="s">
        <v>1011</v>
      </c>
      <c r="H453" s="85" t="s">
        <v>1764</v>
      </c>
      <c r="I453" s="85" t="s">
        <v>404</v>
      </c>
      <c r="AA453" s="177"/>
      <c r="AB453" s="177"/>
      <c r="AC453" s="177"/>
      <c r="AD453" s="177"/>
      <c r="AE453" s="179"/>
      <c r="AF453" s="179"/>
      <c r="AG453" s="179"/>
    </row>
    <row r="454" spans="1:33" x14ac:dyDescent="0.25">
      <c r="A454" s="85">
        <v>451</v>
      </c>
      <c r="E454" s="85" t="s">
        <v>1060</v>
      </c>
      <c r="G454" s="85" t="s">
        <v>1011</v>
      </c>
      <c r="H454" s="85" t="s">
        <v>1764</v>
      </c>
      <c r="I454" s="85" t="s">
        <v>1062</v>
      </c>
      <c r="AA454" s="177"/>
      <c r="AB454" s="177"/>
      <c r="AC454" s="177"/>
      <c r="AD454" s="177"/>
      <c r="AE454" s="179"/>
      <c r="AF454" s="179"/>
      <c r="AG454" s="179"/>
    </row>
    <row r="455" spans="1:33" x14ac:dyDescent="0.25">
      <c r="A455" s="85">
        <v>452</v>
      </c>
      <c r="E455" s="85" t="s">
        <v>1771</v>
      </c>
      <c r="G455" s="85" t="s">
        <v>1029</v>
      </c>
      <c r="H455" s="85" t="s">
        <v>1772</v>
      </c>
      <c r="I455" s="85" t="s">
        <v>553</v>
      </c>
      <c r="J455" s="181"/>
      <c r="K455" s="181"/>
      <c r="AA455" s="177"/>
      <c r="AB455" s="177"/>
      <c r="AC455" s="177"/>
      <c r="AD455" s="177"/>
      <c r="AE455" s="179"/>
      <c r="AF455" s="179"/>
      <c r="AG455" s="179"/>
    </row>
    <row r="456" spans="1:33" x14ac:dyDescent="0.25">
      <c r="A456" s="85">
        <v>453</v>
      </c>
      <c r="E456" s="85" t="s">
        <v>1064</v>
      </c>
      <c r="G456" s="85" t="s">
        <v>1011</v>
      </c>
      <c r="H456" s="85" t="s">
        <v>1764</v>
      </c>
      <c r="I456" s="85" t="s">
        <v>549</v>
      </c>
      <c r="J456" s="181"/>
      <c r="K456" s="181"/>
      <c r="AA456" s="177"/>
      <c r="AB456" s="177"/>
      <c r="AC456" s="177"/>
      <c r="AD456" s="177"/>
      <c r="AE456" s="179"/>
      <c r="AF456" s="179"/>
      <c r="AG456" s="179"/>
    </row>
    <row r="457" spans="1:33" x14ac:dyDescent="0.25">
      <c r="A457" s="85">
        <v>454</v>
      </c>
      <c r="E457" s="85" t="s">
        <v>1066</v>
      </c>
      <c r="G457" s="85" t="s">
        <v>1011</v>
      </c>
      <c r="H457" s="85" t="s">
        <v>1764</v>
      </c>
      <c r="I457" s="85" t="s">
        <v>549</v>
      </c>
      <c r="J457" s="181"/>
      <c r="K457" s="181"/>
      <c r="AA457" s="177"/>
      <c r="AB457" s="177"/>
      <c r="AC457" s="177"/>
      <c r="AD457" s="177"/>
      <c r="AE457" s="179"/>
      <c r="AF457" s="179"/>
      <c r="AG457" s="179"/>
    </row>
    <row r="458" spans="1:33" x14ac:dyDescent="0.25">
      <c r="A458" s="85">
        <v>455</v>
      </c>
      <c r="E458" s="85" t="s">
        <v>1067</v>
      </c>
      <c r="G458" s="85" t="s">
        <v>1011</v>
      </c>
      <c r="H458" s="85" t="s">
        <v>1772</v>
      </c>
      <c r="I458" s="85" t="s">
        <v>1068</v>
      </c>
      <c r="AA458" s="177"/>
      <c r="AB458" s="177"/>
      <c r="AC458" s="177"/>
      <c r="AD458" s="177"/>
      <c r="AE458" s="179"/>
      <c r="AF458" s="179"/>
      <c r="AG458" s="179"/>
    </row>
    <row r="459" spans="1:33" x14ac:dyDescent="0.25">
      <c r="A459" s="85">
        <v>456</v>
      </c>
      <c r="E459" s="85" t="s">
        <v>1070</v>
      </c>
      <c r="G459" s="85" t="s">
        <v>1011</v>
      </c>
      <c r="H459" s="85" t="s">
        <v>1764</v>
      </c>
      <c r="I459" s="85" t="s">
        <v>483</v>
      </c>
      <c r="AA459" s="177"/>
      <c r="AB459" s="177"/>
      <c r="AC459" s="177"/>
      <c r="AD459" s="177"/>
      <c r="AE459" s="179"/>
      <c r="AF459" s="179"/>
      <c r="AG459" s="179"/>
    </row>
    <row r="460" spans="1:33" x14ac:dyDescent="0.25">
      <c r="A460" s="85">
        <v>457</v>
      </c>
      <c r="E460" s="85" t="s">
        <v>1071</v>
      </c>
      <c r="G460" s="85" t="s">
        <v>1029</v>
      </c>
      <c r="H460" s="85" t="s">
        <v>1772</v>
      </c>
      <c r="I460" s="85" t="s">
        <v>549</v>
      </c>
      <c r="J460" s="181"/>
      <c r="K460" s="181"/>
      <c r="AA460" s="177" t="s">
        <v>1780</v>
      </c>
      <c r="AB460" s="224">
        <v>43445</v>
      </c>
      <c r="AC460" s="177"/>
      <c r="AD460" s="177"/>
      <c r="AE460" s="179"/>
      <c r="AF460" s="179"/>
      <c r="AG460" s="179"/>
    </row>
    <row r="461" spans="1:33" x14ac:dyDescent="0.25">
      <c r="A461" s="85">
        <v>458</v>
      </c>
      <c r="E461" s="85" t="s">
        <v>1073</v>
      </c>
      <c r="G461" s="85" t="s">
        <v>1029</v>
      </c>
      <c r="H461" s="85" t="s">
        <v>1772</v>
      </c>
      <c r="I461" s="85" t="s">
        <v>553</v>
      </c>
      <c r="J461" s="181"/>
      <c r="K461" s="181"/>
      <c r="AA461" s="177" t="s">
        <v>1780</v>
      </c>
      <c r="AB461" s="224">
        <v>43420</v>
      </c>
      <c r="AC461" s="177" t="s">
        <v>1780</v>
      </c>
      <c r="AD461" s="224">
        <v>43441</v>
      </c>
      <c r="AE461" s="179">
        <v>36050</v>
      </c>
      <c r="AF461" s="179" t="s">
        <v>1799</v>
      </c>
      <c r="AG461" s="179">
        <v>41900</v>
      </c>
    </row>
    <row r="462" spans="1:33" x14ac:dyDescent="0.25">
      <c r="A462" s="85">
        <v>459</v>
      </c>
      <c r="E462" s="85" t="s">
        <v>1074</v>
      </c>
      <c r="G462" s="85" t="s">
        <v>1011</v>
      </c>
      <c r="H462" s="85" t="s">
        <v>1772</v>
      </c>
      <c r="I462" s="85" t="s">
        <v>568</v>
      </c>
      <c r="AA462" s="177"/>
      <c r="AB462" s="177"/>
      <c r="AC462" s="177"/>
      <c r="AD462" s="177"/>
      <c r="AE462" s="179"/>
      <c r="AF462" s="179"/>
      <c r="AG462" s="179"/>
    </row>
    <row r="463" spans="1:33" x14ac:dyDescent="0.25">
      <c r="A463" s="85">
        <v>460</v>
      </c>
      <c r="E463" s="85" t="s">
        <v>1076</v>
      </c>
      <c r="G463" s="85" t="s">
        <v>1029</v>
      </c>
      <c r="H463" s="85" t="s">
        <v>1772</v>
      </c>
      <c r="I463" s="85" t="s">
        <v>553</v>
      </c>
      <c r="J463" s="181"/>
      <c r="K463" s="181"/>
      <c r="AA463" s="177" t="s">
        <v>1790</v>
      </c>
      <c r="AB463" s="224">
        <v>43420</v>
      </c>
      <c r="AC463" s="177" t="s">
        <v>1780</v>
      </c>
      <c r="AD463" s="224">
        <v>43441</v>
      </c>
      <c r="AE463" s="179">
        <v>36400</v>
      </c>
      <c r="AF463" s="179" t="s">
        <v>1798</v>
      </c>
      <c r="AG463" s="179">
        <v>41900</v>
      </c>
    </row>
    <row r="464" spans="1:33" x14ac:dyDescent="0.25">
      <c r="A464" s="85">
        <v>461</v>
      </c>
      <c r="E464" s="85" t="s">
        <v>1077</v>
      </c>
      <c r="G464" s="85" t="s">
        <v>1029</v>
      </c>
      <c r="H464" s="85" t="s">
        <v>1772</v>
      </c>
      <c r="I464" s="85" t="s">
        <v>361</v>
      </c>
      <c r="J464" s="181"/>
      <c r="AA464" s="177" t="s">
        <v>1780</v>
      </c>
      <c r="AB464" s="224">
        <v>43444</v>
      </c>
      <c r="AC464" s="177"/>
      <c r="AD464" s="177"/>
      <c r="AE464" s="179"/>
      <c r="AF464" s="179"/>
      <c r="AG464" s="179"/>
    </row>
    <row r="465" spans="1:33" x14ac:dyDescent="0.25">
      <c r="A465" s="85">
        <v>464</v>
      </c>
      <c r="E465" s="85" t="s">
        <v>1082</v>
      </c>
      <c r="G465" s="85" t="s">
        <v>1029</v>
      </c>
      <c r="H465" s="85" t="s">
        <v>1772</v>
      </c>
      <c r="I465" s="85" t="s">
        <v>361</v>
      </c>
      <c r="J465" s="181"/>
      <c r="K465" s="181"/>
      <c r="AA465" s="177"/>
      <c r="AB465" s="177"/>
      <c r="AC465" s="177"/>
      <c r="AD465" s="177"/>
      <c r="AE465" s="179"/>
      <c r="AF465" s="179"/>
      <c r="AG465" s="179"/>
    </row>
    <row r="466" spans="1:33" x14ac:dyDescent="0.25">
      <c r="A466" s="85">
        <v>463</v>
      </c>
      <c r="E466" s="85" t="s">
        <v>1080</v>
      </c>
      <c r="G466" s="85" t="s">
        <v>1029</v>
      </c>
      <c r="H466" s="85" t="s">
        <v>1772</v>
      </c>
      <c r="I466" s="85" t="s">
        <v>553</v>
      </c>
      <c r="J466" s="181"/>
      <c r="K466" s="181"/>
      <c r="AA466" s="177" t="s">
        <v>1780</v>
      </c>
      <c r="AB466" s="224">
        <v>43420</v>
      </c>
      <c r="AC466" s="177"/>
      <c r="AD466" s="177"/>
      <c r="AE466" s="179"/>
      <c r="AF466" s="179"/>
      <c r="AG466" s="179"/>
    </row>
    <row r="467" spans="1:33" x14ac:dyDescent="0.25">
      <c r="A467" s="85">
        <v>462</v>
      </c>
      <c r="E467" s="85" t="s">
        <v>1079</v>
      </c>
      <c r="G467" s="85" t="s">
        <v>1029</v>
      </c>
      <c r="H467" s="85" t="s">
        <v>1772</v>
      </c>
      <c r="I467" s="85" t="s">
        <v>361</v>
      </c>
      <c r="J467" s="181"/>
      <c r="AA467" s="177" t="s">
        <v>1780</v>
      </c>
      <c r="AB467" s="224">
        <v>43444</v>
      </c>
      <c r="AC467" s="177"/>
      <c r="AD467" s="177"/>
      <c r="AE467" s="179"/>
      <c r="AF467" s="179"/>
      <c r="AG467" s="179"/>
    </row>
    <row r="468" spans="1:33" x14ac:dyDescent="0.25">
      <c r="A468" s="85">
        <v>465</v>
      </c>
      <c r="E468" s="85" t="s">
        <v>1083</v>
      </c>
      <c r="G468" s="85" t="s">
        <v>1029</v>
      </c>
      <c r="H468" s="85" t="s">
        <v>1772</v>
      </c>
      <c r="I468" s="85" t="s">
        <v>549</v>
      </c>
      <c r="J468" s="181"/>
      <c r="K468" s="181"/>
      <c r="AA468" s="177" t="s">
        <v>1780</v>
      </c>
      <c r="AB468" s="224">
        <v>43445</v>
      </c>
      <c r="AC468" s="177"/>
      <c r="AD468" s="177"/>
      <c r="AE468" s="179"/>
      <c r="AF468" s="179"/>
      <c r="AG468" s="179"/>
    </row>
    <row r="469" spans="1:33" x14ac:dyDescent="0.25">
      <c r="A469" s="85">
        <v>466</v>
      </c>
      <c r="E469" s="85" t="s">
        <v>1084</v>
      </c>
      <c r="G469" s="85" t="s">
        <v>1029</v>
      </c>
      <c r="H469" s="85" t="s">
        <v>1773</v>
      </c>
      <c r="I469" s="85" t="s">
        <v>775</v>
      </c>
      <c r="AA469" s="177"/>
      <c r="AB469" s="177"/>
      <c r="AC469" s="177"/>
      <c r="AD469" s="177"/>
      <c r="AE469" s="179"/>
      <c r="AF469" s="179"/>
      <c r="AG469" s="179"/>
    </row>
    <row r="470" spans="1:33" x14ac:dyDescent="0.25">
      <c r="A470" s="85">
        <v>467</v>
      </c>
      <c r="E470" s="85" t="s">
        <v>1087</v>
      </c>
      <c r="G470" s="85" t="s">
        <v>1011</v>
      </c>
      <c r="H470" s="85" t="s">
        <v>1773</v>
      </c>
      <c r="I470" s="85" t="s">
        <v>775</v>
      </c>
      <c r="AA470" s="177"/>
      <c r="AB470" s="177"/>
      <c r="AC470" s="177"/>
      <c r="AD470" s="177"/>
      <c r="AE470" s="179"/>
      <c r="AF470" s="179"/>
      <c r="AG470" s="179"/>
    </row>
    <row r="471" spans="1:33" x14ac:dyDescent="0.25">
      <c r="A471" s="85">
        <v>468</v>
      </c>
      <c r="E471" s="85" t="s">
        <v>1089</v>
      </c>
      <c r="G471" s="85" t="s">
        <v>1011</v>
      </c>
      <c r="H471" s="85" t="s">
        <v>1773</v>
      </c>
      <c r="I471" s="85" t="s">
        <v>775</v>
      </c>
      <c r="AA471" s="177"/>
      <c r="AB471" s="177"/>
      <c r="AC471" s="177"/>
      <c r="AD471" s="177"/>
      <c r="AE471" s="179"/>
      <c r="AF471" s="179"/>
      <c r="AG471" s="179"/>
    </row>
    <row r="472" spans="1:33" x14ac:dyDescent="0.25">
      <c r="A472" s="85">
        <v>469</v>
      </c>
      <c r="E472" s="85" t="s">
        <v>1091</v>
      </c>
      <c r="G472" s="85" t="s">
        <v>1011</v>
      </c>
      <c r="H472" s="85" t="s">
        <v>1773</v>
      </c>
      <c r="I472" s="85" t="s">
        <v>1096</v>
      </c>
      <c r="AA472" s="177"/>
      <c r="AB472" s="177"/>
      <c r="AC472" s="177"/>
      <c r="AD472" s="177"/>
      <c r="AE472" s="179"/>
      <c r="AF472" s="179"/>
      <c r="AG472" s="179"/>
    </row>
    <row r="473" spans="1:33" x14ac:dyDescent="0.25">
      <c r="A473" s="85">
        <v>470</v>
      </c>
      <c r="E473" s="85" t="s">
        <v>1093</v>
      </c>
      <c r="G473" s="85" t="s">
        <v>1011</v>
      </c>
      <c r="H473" s="85" t="s">
        <v>1773</v>
      </c>
      <c r="I473" s="85" t="s">
        <v>775</v>
      </c>
      <c r="AA473" s="177"/>
      <c r="AB473" s="177"/>
      <c r="AC473" s="177"/>
      <c r="AD473" s="177"/>
      <c r="AE473" s="179"/>
      <c r="AF473" s="179"/>
      <c r="AG473" s="179"/>
    </row>
    <row r="474" spans="1:33" x14ac:dyDescent="0.25">
      <c r="A474" s="85">
        <v>471</v>
      </c>
      <c r="E474" s="85" t="s">
        <v>1095</v>
      </c>
      <c r="G474" s="85" t="s">
        <v>1011</v>
      </c>
      <c r="H474" s="85" t="s">
        <v>1773</v>
      </c>
      <c r="I474" s="85" t="s">
        <v>1096</v>
      </c>
      <c r="AA474" s="177"/>
      <c r="AB474" s="177"/>
      <c r="AC474" s="177"/>
      <c r="AD474" s="177"/>
      <c r="AE474" s="179"/>
      <c r="AF474" s="179"/>
      <c r="AG474" s="179"/>
    </row>
    <row r="475" spans="1:33" x14ac:dyDescent="0.25">
      <c r="A475" s="85">
        <v>472</v>
      </c>
      <c r="E475" s="85" t="s">
        <v>1097</v>
      </c>
      <c r="G475" s="85" t="s">
        <v>1011</v>
      </c>
      <c r="H475" s="85" t="s">
        <v>1773</v>
      </c>
      <c r="I475" s="85" t="s">
        <v>775</v>
      </c>
      <c r="AA475" s="177"/>
      <c r="AB475" s="177"/>
      <c r="AC475" s="177"/>
      <c r="AD475" s="177"/>
      <c r="AE475" s="179"/>
      <c r="AF475" s="179"/>
      <c r="AG475" s="179"/>
    </row>
    <row r="476" spans="1:33" x14ac:dyDescent="0.25">
      <c r="A476" s="85">
        <v>473</v>
      </c>
      <c r="E476" s="85" t="s">
        <v>1099</v>
      </c>
      <c r="G476" s="85" t="s">
        <v>1029</v>
      </c>
      <c r="H476" s="85" t="s">
        <v>1767</v>
      </c>
      <c r="I476" s="85" t="s">
        <v>1100</v>
      </c>
      <c r="J476" s="181"/>
      <c r="AA476" s="177"/>
      <c r="AB476" s="177"/>
      <c r="AC476" s="177"/>
      <c r="AD476" s="177"/>
      <c r="AE476" s="179"/>
      <c r="AF476" s="179"/>
      <c r="AG476" s="179"/>
    </row>
    <row r="477" spans="1:33" x14ac:dyDescent="0.25">
      <c r="A477" s="85">
        <v>474</v>
      </c>
      <c r="E477" s="85" t="s">
        <v>1102</v>
      </c>
      <c r="G477" s="85" t="s">
        <v>1011</v>
      </c>
      <c r="H477" s="85" t="s">
        <v>1773</v>
      </c>
      <c r="I477" s="85" t="s">
        <v>775</v>
      </c>
      <c r="AA477" s="177"/>
      <c r="AB477" s="177"/>
      <c r="AC477" s="177"/>
      <c r="AD477" s="177"/>
      <c r="AE477" s="179"/>
      <c r="AF477" s="179"/>
      <c r="AG477" s="179"/>
    </row>
    <row r="478" spans="1:33" x14ac:dyDescent="0.25">
      <c r="A478" s="85">
        <v>475</v>
      </c>
      <c r="E478" s="85" t="s">
        <v>1104</v>
      </c>
      <c r="G478" s="85" t="s">
        <v>1011</v>
      </c>
      <c r="H478" s="85" t="s">
        <v>1773</v>
      </c>
      <c r="I478" s="85" t="s">
        <v>775</v>
      </c>
      <c r="AA478" s="177"/>
      <c r="AB478" s="177"/>
      <c r="AC478" s="177"/>
      <c r="AD478" s="177"/>
      <c r="AE478" s="179"/>
      <c r="AF478" s="179"/>
      <c r="AG478" s="179"/>
    </row>
    <row r="479" spans="1:33" x14ac:dyDescent="0.25">
      <c r="A479" s="85">
        <v>476</v>
      </c>
      <c r="E479" s="85" t="s">
        <v>1105</v>
      </c>
      <c r="G479" s="85" t="s">
        <v>1029</v>
      </c>
      <c r="H479" s="85" t="s">
        <v>1773</v>
      </c>
      <c r="I479" s="85" t="s">
        <v>818</v>
      </c>
      <c r="J479" s="181"/>
      <c r="AA479" s="177"/>
      <c r="AB479" s="177"/>
      <c r="AC479" s="177"/>
      <c r="AD479" s="177"/>
      <c r="AE479" s="179"/>
      <c r="AF479" s="179"/>
      <c r="AG479" s="179"/>
    </row>
    <row r="480" spans="1:33" x14ac:dyDescent="0.25">
      <c r="A480" s="85">
        <v>477</v>
      </c>
      <c r="E480" s="85" t="s">
        <v>1774</v>
      </c>
      <c r="G480" s="85" t="s">
        <v>1029</v>
      </c>
      <c r="H480" s="85" t="s">
        <v>1773</v>
      </c>
      <c r="I480" s="85" t="s">
        <v>520</v>
      </c>
      <c r="J480" s="181"/>
      <c r="AA480" s="177"/>
      <c r="AB480" s="177"/>
      <c r="AC480" s="177"/>
      <c r="AD480" s="177"/>
      <c r="AE480" s="179"/>
      <c r="AF480" s="179"/>
      <c r="AG480" s="179"/>
    </row>
    <row r="481" spans="1:33" x14ac:dyDescent="0.25">
      <c r="A481" s="85">
        <v>478</v>
      </c>
      <c r="E481" s="85" t="s">
        <v>1108</v>
      </c>
      <c r="G481" s="85" t="s">
        <v>1011</v>
      </c>
      <c r="H481" s="85" t="s">
        <v>1773</v>
      </c>
      <c r="I481" s="85" t="s">
        <v>775</v>
      </c>
      <c r="AA481" s="177"/>
      <c r="AB481" s="177"/>
      <c r="AC481" s="177"/>
      <c r="AD481" s="177"/>
      <c r="AE481" s="179"/>
      <c r="AF481" s="179"/>
      <c r="AG481" s="179"/>
    </row>
    <row r="482" spans="1:33" x14ac:dyDescent="0.25">
      <c r="A482" s="85">
        <v>479</v>
      </c>
      <c r="E482" s="85" t="s">
        <v>1110</v>
      </c>
      <c r="G482" s="85" t="s">
        <v>1029</v>
      </c>
      <c r="H482" s="85" t="s">
        <v>1773</v>
      </c>
      <c r="I482" s="85" t="s">
        <v>780</v>
      </c>
      <c r="J482" s="181"/>
      <c r="AA482" s="177"/>
      <c r="AB482" s="177"/>
      <c r="AC482" s="177"/>
      <c r="AD482" s="177"/>
      <c r="AE482" s="179"/>
      <c r="AF482" s="179"/>
      <c r="AG482" s="179"/>
    </row>
    <row r="483" spans="1:33" x14ac:dyDescent="0.25">
      <c r="A483" s="85">
        <v>480</v>
      </c>
      <c r="E483" s="85" t="s">
        <v>1112</v>
      </c>
      <c r="G483" s="85" t="s">
        <v>1029</v>
      </c>
      <c r="H483" s="85" t="s">
        <v>1773</v>
      </c>
      <c r="I483" s="85" t="s">
        <v>775</v>
      </c>
      <c r="AA483" s="177"/>
      <c r="AB483" s="177"/>
      <c r="AC483" s="177"/>
      <c r="AD483" s="177"/>
      <c r="AE483" s="179"/>
      <c r="AF483" s="179"/>
      <c r="AG483" s="179"/>
    </row>
    <row r="484" spans="1:33" x14ac:dyDescent="0.25">
      <c r="A484" s="85">
        <v>481</v>
      </c>
      <c r="E484" s="85" t="s">
        <v>1114</v>
      </c>
      <c r="G484" s="85" t="s">
        <v>1029</v>
      </c>
      <c r="H484" s="85" t="s">
        <v>1773</v>
      </c>
      <c r="I484" s="85" t="s">
        <v>1115</v>
      </c>
      <c r="AA484" s="177"/>
      <c r="AB484" s="177"/>
      <c r="AC484" s="177"/>
      <c r="AD484" s="177"/>
      <c r="AE484" s="179"/>
      <c r="AF484" s="179"/>
      <c r="AG484" s="179"/>
    </row>
    <row r="485" spans="1:33" x14ac:dyDescent="0.25">
      <c r="A485" s="85">
        <v>482</v>
      </c>
      <c r="E485" s="85" t="s">
        <v>1116</v>
      </c>
      <c r="G485" s="85" t="s">
        <v>1029</v>
      </c>
      <c r="H485" s="85" t="s">
        <v>1767</v>
      </c>
      <c r="I485" s="85" t="s">
        <v>1100</v>
      </c>
      <c r="J485" s="181"/>
      <c r="AA485" s="177"/>
      <c r="AB485" s="177"/>
      <c r="AC485" s="177"/>
      <c r="AD485" s="177"/>
      <c r="AE485" s="179"/>
      <c r="AF485" s="179"/>
      <c r="AG485" s="179"/>
    </row>
    <row r="486" spans="1:33" x14ac:dyDescent="0.25">
      <c r="A486" s="85">
        <v>483</v>
      </c>
      <c r="E486" s="85" t="s">
        <v>1117</v>
      </c>
      <c r="G486" s="85" t="s">
        <v>1029</v>
      </c>
      <c r="H486" s="85" t="s">
        <v>1773</v>
      </c>
      <c r="I486" s="85" t="s">
        <v>775</v>
      </c>
      <c r="AA486" s="177"/>
      <c r="AB486" s="177"/>
      <c r="AC486" s="177"/>
      <c r="AD486" s="177"/>
      <c r="AE486" s="179"/>
      <c r="AF486" s="179"/>
      <c r="AG486" s="179"/>
    </row>
    <row r="487" spans="1:33" x14ac:dyDescent="0.25">
      <c r="A487" s="85">
        <v>484</v>
      </c>
      <c r="E487" s="85" t="s">
        <v>1118</v>
      </c>
      <c r="G487" s="85" t="s">
        <v>1029</v>
      </c>
      <c r="H487" s="85" t="s">
        <v>1767</v>
      </c>
      <c r="I487" s="85" t="s">
        <v>1100</v>
      </c>
      <c r="J487" s="181"/>
      <c r="AA487" s="177"/>
      <c r="AB487" s="177"/>
      <c r="AC487" s="177"/>
      <c r="AD487" s="177"/>
      <c r="AE487" s="179"/>
      <c r="AF487" s="179"/>
      <c r="AG487" s="179"/>
    </row>
    <row r="488" spans="1:33" x14ac:dyDescent="0.25">
      <c r="A488" s="85">
        <v>485</v>
      </c>
      <c r="E488" s="85" t="s">
        <v>1119</v>
      </c>
      <c r="G488" s="85" t="s">
        <v>1029</v>
      </c>
      <c r="H488" s="85" t="s">
        <v>1767</v>
      </c>
      <c r="I488" s="85" t="s">
        <v>1100</v>
      </c>
      <c r="J488" s="181"/>
      <c r="AA488" s="177"/>
      <c r="AB488" s="177"/>
      <c r="AC488" s="177"/>
      <c r="AD488" s="177"/>
      <c r="AE488" s="179"/>
      <c r="AF488" s="179"/>
      <c r="AG488" s="179"/>
    </row>
    <row r="489" spans="1:33" x14ac:dyDescent="0.25">
      <c r="A489" s="85">
        <v>486</v>
      </c>
      <c r="E489" s="85" t="s">
        <v>1120</v>
      </c>
      <c r="G489" s="85" t="s">
        <v>1011</v>
      </c>
      <c r="H489" s="85" t="s">
        <v>1773</v>
      </c>
      <c r="I489" s="85" t="s">
        <v>775</v>
      </c>
      <c r="AA489" s="177"/>
      <c r="AB489" s="177"/>
      <c r="AC489" s="177"/>
      <c r="AD489" s="177"/>
      <c r="AE489" s="179"/>
      <c r="AF489" s="179"/>
      <c r="AG489" s="179"/>
    </row>
    <row r="490" spans="1:33" x14ac:dyDescent="0.25">
      <c r="A490" s="85">
        <v>487</v>
      </c>
      <c r="E490" s="85" t="s">
        <v>1121</v>
      </c>
      <c r="G490" s="85" t="s">
        <v>1029</v>
      </c>
      <c r="H490" s="85" t="s">
        <v>1764</v>
      </c>
      <c r="I490" s="85" t="s">
        <v>775</v>
      </c>
      <c r="J490" s="181"/>
      <c r="AA490" s="177"/>
      <c r="AB490" s="177"/>
      <c r="AC490" s="177"/>
      <c r="AD490" s="177"/>
      <c r="AE490" s="179"/>
      <c r="AF490" s="179"/>
      <c r="AG490" s="179"/>
    </row>
    <row r="491" spans="1:33" x14ac:dyDescent="0.25">
      <c r="A491" s="85">
        <v>488</v>
      </c>
      <c r="E491" s="85" t="s">
        <v>1124</v>
      </c>
      <c r="G491" s="85" t="s">
        <v>1029</v>
      </c>
      <c r="H491" s="85" t="s">
        <v>1764</v>
      </c>
      <c r="I491" s="85" t="s">
        <v>775</v>
      </c>
      <c r="J491" s="181"/>
      <c r="AA491" s="177"/>
      <c r="AB491" s="177"/>
      <c r="AC491" s="177"/>
      <c r="AD491" s="177"/>
      <c r="AE491" s="179"/>
      <c r="AF491" s="179"/>
      <c r="AG491" s="179"/>
    </row>
    <row r="492" spans="1:33" x14ac:dyDescent="0.25">
      <c r="A492" s="85">
        <v>489</v>
      </c>
      <c r="E492" s="85" t="s">
        <v>1126</v>
      </c>
      <c r="G492" s="85" t="s">
        <v>1029</v>
      </c>
      <c r="H492" s="85" t="s">
        <v>1775</v>
      </c>
      <c r="I492" s="85" t="s">
        <v>534</v>
      </c>
      <c r="J492" s="181"/>
      <c r="K492" s="181"/>
      <c r="AA492" s="177"/>
      <c r="AB492" s="177"/>
      <c r="AC492" s="177"/>
      <c r="AD492" s="177"/>
      <c r="AE492" s="179"/>
      <c r="AF492" s="179"/>
      <c r="AG492" s="179"/>
    </row>
    <row r="493" spans="1:33" x14ac:dyDescent="0.25">
      <c r="A493" s="85">
        <v>490</v>
      </c>
      <c r="E493" s="85" t="s">
        <v>1127</v>
      </c>
      <c r="G493" s="85" t="s">
        <v>1029</v>
      </c>
      <c r="H493" s="85" t="s">
        <v>1764</v>
      </c>
      <c r="I493" s="85" t="s">
        <v>1047</v>
      </c>
      <c r="AA493" s="177"/>
      <c r="AB493" s="177"/>
      <c r="AC493" s="177"/>
      <c r="AD493" s="177"/>
      <c r="AE493" s="179"/>
      <c r="AF493" s="179"/>
      <c r="AG493" s="179"/>
    </row>
    <row r="494" spans="1:33" x14ac:dyDescent="0.25">
      <c r="A494" s="85">
        <v>491</v>
      </c>
      <c r="E494" s="85" t="s">
        <v>1128</v>
      </c>
      <c r="G494" s="85" t="s">
        <v>1011</v>
      </c>
      <c r="H494" s="85" t="s">
        <v>1775</v>
      </c>
      <c r="I494" s="85" t="s">
        <v>1776</v>
      </c>
      <c r="AA494" s="177"/>
      <c r="AB494" s="177"/>
      <c r="AC494" s="177"/>
      <c r="AD494" s="177"/>
      <c r="AE494" s="179"/>
      <c r="AF494" s="179"/>
      <c r="AG494" s="179"/>
    </row>
    <row r="495" spans="1:33" x14ac:dyDescent="0.25">
      <c r="A495" s="85">
        <v>492</v>
      </c>
      <c r="E495" s="85" t="s">
        <v>1131</v>
      </c>
      <c r="G495" s="85" t="s">
        <v>1029</v>
      </c>
      <c r="H495" s="85" t="s">
        <v>1775</v>
      </c>
      <c r="I495" s="85" t="s">
        <v>1017</v>
      </c>
      <c r="J495" s="181"/>
      <c r="AA495" s="177"/>
      <c r="AB495" s="177"/>
      <c r="AC495" s="177"/>
      <c r="AD495" s="177"/>
      <c r="AE495" s="179"/>
      <c r="AF495" s="179"/>
      <c r="AG495" s="179"/>
    </row>
    <row r="496" spans="1:33" x14ac:dyDescent="0.25">
      <c r="A496" s="85">
        <v>493</v>
      </c>
      <c r="E496" s="85" t="s">
        <v>1132</v>
      </c>
      <c r="G496" s="85" t="s">
        <v>1029</v>
      </c>
      <c r="H496" s="85" t="s">
        <v>1777</v>
      </c>
      <c r="I496" s="85" t="s">
        <v>775</v>
      </c>
      <c r="AA496" s="177"/>
      <c r="AB496" s="177"/>
      <c r="AC496" s="177"/>
      <c r="AD496" s="177"/>
      <c r="AE496" s="179"/>
      <c r="AF496" s="179"/>
      <c r="AG496" s="179"/>
    </row>
    <row r="497" spans="1:33" x14ac:dyDescent="0.25">
      <c r="A497" s="85">
        <v>494</v>
      </c>
      <c r="E497" s="85" t="s">
        <v>1135</v>
      </c>
      <c r="G497" s="85" t="s">
        <v>1011</v>
      </c>
      <c r="H497" s="85" t="s">
        <v>1778</v>
      </c>
      <c r="I497" s="85" t="s">
        <v>775</v>
      </c>
      <c r="AA497" s="177"/>
      <c r="AB497" s="177"/>
      <c r="AC497" s="177"/>
      <c r="AD497" s="177"/>
      <c r="AE497" s="179"/>
      <c r="AF497" s="179"/>
      <c r="AG497" s="179"/>
    </row>
    <row r="498" spans="1:33" x14ac:dyDescent="0.25">
      <c r="A498" s="85">
        <v>495</v>
      </c>
      <c r="E498" s="85" t="s">
        <v>1138</v>
      </c>
      <c r="G498" s="85" t="s">
        <v>1011</v>
      </c>
      <c r="H498" s="85" t="s">
        <v>1773</v>
      </c>
      <c r="I498" s="85" t="s">
        <v>1776</v>
      </c>
      <c r="AA498" s="177"/>
      <c r="AB498" s="177"/>
      <c r="AC498" s="177"/>
      <c r="AD498" s="177"/>
      <c r="AE498" s="179"/>
      <c r="AF498" s="179"/>
      <c r="AG498" s="179"/>
    </row>
    <row r="499" spans="1:33" x14ac:dyDescent="0.25">
      <c r="A499" s="85">
        <v>496</v>
      </c>
      <c r="E499" s="85" t="s">
        <v>1140</v>
      </c>
      <c r="G499" s="85" t="s">
        <v>1011</v>
      </c>
      <c r="H499" s="85" t="s">
        <v>1779</v>
      </c>
      <c r="I499" s="85" t="s">
        <v>888</v>
      </c>
      <c r="AA499" s="177"/>
      <c r="AB499" s="177"/>
      <c r="AC499" s="177"/>
      <c r="AD499" s="177"/>
      <c r="AE499" s="179"/>
      <c r="AF499" s="179"/>
      <c r="AG499" s="179"/>
    </row>
    <row r="500" spans="1:33" x14ac:dyDescent="0.25">
      <c r="A500" s="85">
        <v>497</v>
      </c>
      <c r="E500" s="85" t="s">
        <v>1142</v>
      </c>
      <c r="G500" s="85" t="s">
        <v>1011</v>
      </c>
      <c r="H500" s="85" t="s">
        <v>1779</v>
      </c>
      <c r="I500" s="85" t="s">
        <v>568</v>
      </c>
      <c r="AA500" s="177"/>
      <c r="AB500" s="177"/>
      <c r="AC500" s="177"/>
      <c r="AD500" s="177"/>
      <c r="AE500" s="179"/>
      <c r="AF500" s="179"/>
      <c r="AG500" s="179"/>
    </row>
    <row r="501" spans="1:33" x14ac:dyDescent="0.25">
      <c r="A501" s="85">
        <v>498</v>
      </c>
      <c r="E501" s="85" t="s">
        <v>1143</v>
      </c>
      <c r="G501" s="85" t="s">
        <v>1029</v>
      </c>
      <c r="H501" s="85" t="s">
        <v>1779</v>
      </c>
      <c r="I501" s="85" t="s">
        <v>879</v>
      </c>
      <c r="AA501" s="177"/>
      <c r="AB501" s="177"/>
      <c r="AC501" s="177"/>
      <c r="AD501" s="177"/>
      <c r="AE501" s="179"/>
      <c r="AF501" s="179"/>
      <c r="AG501" s="179"/>
    </row>
    <row r="502" spans="1:33" x14ac:dyDescent="0.25">
      <c r="A502" s="85">
        <v>499</v>
      </c>
      <c r="E502" s="85" t="s">
        <v>1145</v>
      </c>
      <c r="G502" s="85" t="s">
        <v>1011</v>
      </c>
      <c r="H502" s="85" t="s">
        <v>1779</v>
      </c>
      <c r="I502" s="85" t="s">
        <v>907</v>
      </c>
      <c r="AA502" s="177"/>
      <c r="AB502" s="177"/>
      <c r="AC502" s="177"/>
      <c r="AD502" s="177"/>
      <c r="AE502" s="179"/>
      <c r="AF502" s="179"/>
      <c r="AG502" s="179"/>
    </row>
    <row r="503" spans="1:33" x14ac:dyDescent="0.25">
      <c r="A503" s="85">
        <v>500</v>
      </c>
      <c r="E503" s="85" t="s">
        <v>1146</v>
      </c>
      <c r="G503" s="85" t="s">
        <v>1011</v>
      </c>
      <c r="H503" s="85" t="s">
        <v>1779</v>
      </c>
      <c r="I503" s="85" t="s">
        <v>568</v>
      </c>
      <c r="AA503" s="177"/>
      <c r="AB503" s="177"/>
      <c r="AC503" s="177"/>
      <c r="AD503" s="177"/>
      <c r="AE503" s="179"/>
      <c r="AF503" s="179"/>
      <c r="AG503" s="179"/>
    </row>
    <row r="504" spans="1:33" x14ac:dyDescent="0.25">
      <c r="A504" s="85">
        <v>501</v>
      </c>
      <c r="E504" s="85" t="s">
        <v>1147</v>
      </c>
      <c r="G504" s="85" t="s">
        <v>1029</v>
      </c>
      <c r="H504" s="85" t="s">
        <v>1779</v>
      </c>
      <c r="I504" s="85" t="s">
        <v>557</v>
      </c>
      <c r="J504" s="181"/>
      <c r="AA504" s="177"/>
      <c r="AB504" s="177"/>
      <c r="AC504" s="177"/>
      <c r="AD504" s="177"/>
      <c r="AE504" s="179"/>
      <c r="AF504" s="179"/>
      <c r="AG504" s="179"/>
    </row>
    <row r="505" spans="1:33" x14ac:dyDescent="0.25">
      <c r="A505" s="85">
        <v>502</v>
      </c>
      <c r="E505" s="85" t="s">
        <v>1149</v>
      </c>
      <c r="G505" s="85" t="s">
        <v>1011</v>
      </c>
      <c r="H505" s="85" t="s">
        <v>1779</v>
      </c>
      <c r="I505" s="85" t="s">
        <v>1758</v>
      </c>
      <c r="AA505" s="177"/>
      <c r="AB505" s="177"/>
      <c r="AC505" s="177"/>
      <c r="AD505" s="177"/>
      <c r="AE505" s="179"/>
      <c r="AF505" s="179"/>
      <c r="AG505" s="179"/>
    </row>
    <row r="506" spans="1:33" x14ac:dyDescent="0.25">
      <c r="A506" s="85">
        <v>503</v>
      </c>
      <c r="E506" s="85" t="s">
        <v>1150</v>
      </c>
      <c r="G506" s="85" t="s">
        <v>1029</v>
      </c>
      <c r="H506" s="85" t="s">
        <v>1779</v>
      </c>
      <c r="I506" s="85" t="s">
        <v>883</v>
      </c>
      <c r="J506" s="181"/>
      <c r="K506" s="181"/>
      <c r="AA506" s="177"/>
      <c r="AB506" s="177"/>
      <c r="AC506" s="177"/>
      <c r="AD506" s="177"/>
      <c r="AE506" s="179"/>
      <c r="AF506" s="179"/>
      <c r="AG506" s="179"/>
    </row>
    <row r="507" spans="1:33" x14ac:dyDescent="0.25">
      <c r="A507" s="85">
        <v>504</v>
      </c>
      <c r="E507" s="85" t="s">
        <v>1152</v>
      </c>
      <c r="G507" s="85" t="s">
        <v>1011</v>
      </c>
      <c r="H507" s="85" t="s">
        <v>1779</v>
      </c>
      <c r="I507" s="85" t="s">
        <v>553</v>
      </c>
      <c r="J507" s="181"/>
      <c r="K507" s="181"/>
      <c r="AA507" s="177"/>
      <c r="AB507" s="177"/>
      <c r="AC507" s="177"/>
      <c r="AD507" s="177"/>
      <c r="AE507" s="179"/>
      <c r="AF507" s="179"/>
      <c r="AG507" s="179"/>
    </row>
    <row r="508" spans="1:33" x14ac:dyDescent="0.25">
      <c r="A508" s="85">
        <v>505</v>
      </c>
      <c r="E508" s="85" t="s">
        <v>1153</v>
      </c>
      <c r="G508" s="85" t="s">
        <v>1029</v>
      </c>
      <c r="H508" s="85" t="s">
        <v>1779</v>
      </c>
      <c r="I508" s="85" t="s">
        <v>883</v>
      </c>
      <c r="J508" s="181"/>
      <c r="K508" s="181"/>
      <c r="AA508" s="177"/>
      <c r="AB508" s="177"/>
      <c r="AC508" s="177"/>
      <c r="AD508" s="177"/>
      <c r="AE508" s="179"/>
      <c r="AF508" s="179"/>
      <c r="AG508" s="179"/>
    </row>
    <row r="509" spans="1:33" x14ac:dyDescent="0.25">
      <c r="A509" s="85">
        <v>506</v>
      </c>
      <c r="E509" s="85" t="s">
        <v>1155</v>
      </c>
      <c r="G509" s="85" t="s">
        <v>1029</v>
      </c>
      <c r="H509" s="85" t="s">
        <v>1779</v>
      </c>
      <c r="I509" s="85" t="s">
        <v>888</v>
      </c>
      <c r="J509" s="181"/>
      <c r="AA509" s="177"/>
      <c r="AB509" s="177"/>
      <c r="AC509" s="177"/>
      <c r="AD509" s="177"/>
      <c r="AE509" s="179"/>
      <c r="AF509" s="179"/>
      <c r="AG509" s="179"/>
    </row>
    <row r="510" spans="1:33" x14ac:dyDescent="0.25">
      <c r="A510" s="85">
        <v>507</v>
      </c>
      <c r="E510" s="85" t="s">
        <v>1156</v>
      </c>
      <c r="G510" s="85" t="s">
        <v>1029</v>
      </c>
      <c r="H510" s="85" t="s">
        <v>1779</v>
      </c>
      <c r="I510" s="85" t="s">
        <v>879</v>
      </c>
      <c r="AA510" s="177"/>
      <c r="AB510" s="177"/>
      <c r="AC510" s="177"/>
      <c r="AD510" s="177"/>
      <c r="AE510" s="179"/>
      <c r="AF510" s="179"/>
      <c r="AG510" s="179"/>
    </row>
    <row r="511" spans="1:33" x14ac:dyDescent="0.25">
      <c r="A511" s="85">
        <v>508</v>
      </c>
      <c r="E511" s="85" t="s">
        <v>1157</v>
      </c>
      <c r="G511" s="85" t="s">
        <v>1029</v>
      </c>
      <c r="H511" s="85" t="s">
        <v>1779</v>
      </c>
      <c r="I511" s="85" t="s">
        <v>883</v>
      </c>
      <c r="J511" s="181"/>
      <c r="AA511" s="177"/>
      <c r="AB511" s="177"/>
      <c r="AC511" s="177"/>
      <c r="AD511" s="177"/>
      <c r="AE511" s="179"/>
      <c r="AF511" s="179"/>
      <c r="AG511" s="179"/>
    </row>
    <row r="512" spans="1:33" x14ac:dyDescent="0.25">
      <c r="A512" s="85">
        <v>509</v>
      </c>
      <c r="E512" s="85" t="s">
        <v>1158</v>
      </c>
      <c r="G512" s="85" t="s">
        <v>1029</v>
      </c>
      <c r="H512" s="85" t="s">
        <v>1779</v>
      </c>
      <c r="I512" s="85" t="s">
        <v>883</v>
      </c>
      <c r="J512" s="181"/>
      <c r="K512" s="181"/>
      <c r="AA512" s="177"/>
      <c r="AB512" s="177"/>
      <c r="AC512" s="177"/>
      <c r="AD512" s="177"/>
      <c r="AE512" s="179"/>
      <c r="AF512" s="179"/>
      <c r="AG512" s="179"/>
    </row>
    <row r="513" spans="1:33" x14ac:dyDescent="0.25">
      <c r="A513" s="85">
        <v>510</v>
      </c>
      <c r="E513" s="85" t="s">
        <v>1159</v>
      </c>
      <c r="G513" s="85" t="s">
        <v>1029</v>
      </c>
      <c r="H513" s="85" t="s">
        <v>1779</v>
      </c>
      <c r="I513" s="85" t="s">
        <v>883</v>
      </c>
      <c r="J513" s="181"/>
      <c r="K513" s="181"/>
      <c r="AA513" s="177"/>
      <c r="AB513" s="177"/>
      <c r="AC513" s="177"/>
      <c r="AD513" s="177"/>
      <c r="AE513" s="179"/>
      <c r="AF513" s="179"/>
      <c r="AG513" s="179"/>
    </row>
    <row r="514" spans="1:33" x14ac:dyDescent="0.25">
      <c r="A514" s="85">
        <v>511</v>
      </c>
      <c r="E514" s="85" t="s">
        <v>1160</v>
      </c>
      <c r="G514" s="85" t="s">
        <v>1029</v>
      </c>
      <c r="H514" s="85" t="s">
        <v>1779</v>
      </c>
      <c r="I514" s="85" t="s">
        <v>557</v>
      </c>
      <c r="J514" s="181"/>
      <c r="AA514" s="177"/>
      <c r="AB514" s="177"/>
      <c r="AC514" s="177"/>
      <c r="AD514" s="177"/>
      <c r="AE514" s="179"/>
      <c r="AF514" s="179"/>
      <c r="AG514" s="179"/>
    </row>
    <row r="515" spans="1:33" x14ac:dyDescent="0.25">
      <c r="A515" s="85">
        <v>512</v>
      </c>
      <c r="E515" s="85" t="s">
        <v>1162</v>
      </c>
      <c r="G515" s="85" t="s">
        <v>1011</v>
      </c>
      <c r="H515" s="85" t="s">
        <v>1779</v>
      </c>
      <c r="I515" s="85" t="s">
        <v>568</v>
      </c>
      <c r="AA515" s="177"/>
      <c r="AB515" s="177"/>
      <c r="AC515" s="177"/>
      <c r="AD515" s="177"/>
      <c r="AE515" s="179"/>
      <c r="AF515" s="179"/>
      <c r="AG515" s="179"/>
    </row>
    <row r="516" spans="1:33" x14ac:dyDescent="0.25">
      <c r="A516" s="85">
        <v>513</v>
      </c>
      <c r="E516" s="85" t="s">
        <v>1164</v>
      </c>
      <c r="G516" s="85" t="s">
        <v>1029</v>
      </c>
      <c r="H516" s="85" t="s">
        <v>1779</v>
      </c>
      <c r="I516" s="85" t="s">
        <v>883</v>
      </c>
      <c r="J516" s="181"/>
      <c r="K516" s="181"/>
      <c r="AA516" s="177"/>
      <c r="AB516" s="177"/>
      <c r="AC516" s="177"/>
      <c r="AD516" s="177"/>
      <c r="AE516" s="179"/>
      <c r="AF516" s="179"/>
      <c r="AG516" s="179"/>
    </row>
    <row r="517" spans="1:33" x14ac:dyDescent="0.25">
      <c r="AB517" s="85" t="s">
        <v>1793</v>
      </c>
    </row>
  </sheetData>
  <autoFilter ref="A3:AG516">
    <sortState ref="A145:AG291">
      <sortCondition ref="E3:E516"/>
    </sortState>
  </autoFilter>
  <mergeCells count="2">
    <mergeCell ref="AA2:AD2"/>
    <mergeCell ref="AE2:AG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Fashion</vt:lpstr>
      <vt:lpstr>Inficlo</vt:lpstr>
      <vt:lpstr>BCL Alas Kaki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Fikry</cp:lastModifiedBy>
  <dcterms:created xsi:type="dcterms:W3CDTF">2018-11-30T07:09:41Z</dcterms:created>
  <dcterms:modified xsi:type="dcterms:W3CDTF">2018-12-13T10:16:12Z</dcterms:modified>
</cp:coreProperties>
</file>