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roby\rekrutment\"/>
    </mc:Choice>
  </mc:AlternateContent>
  <bookViews>
    <workbookView xWindow="0" yWindow="0" windowWidth="20490" windowHeight="7755" firstSheet="4" activeTab="8"/>
  </bookViews>
  <sheets>
    <sheet name="sumatera" sheetId="1" r:id="rId1"/>
    <sheet name="kalimantan &amp; sulawesi" sheetId="2" r:id="rId2"/>
    <sheet name="jawa &amp; bali" sheetId="3" r:id="rId3"/>
    <sheet name="ojt Feb" sheetId="5" r:id="rId4"/>
    <sheet name="Ojt Maret-April" sheetId="8" r:id="rId5"/>
    <sheet name="SAMaret" sheetId="7" r:id="rId6"/>
    <sheet name="SA April" sheetId="11" r:id="rId7"/>
    <sheet name="SA Mei" sheetId="15" r:id="rId8"/>
    <sheet name="rekap penjualan" sheetId="13" r:id="rId9"/>
    <sheet name="efektifitas katalog" sheetId="14" r:id="rId10"/>
    <sheet name="reseller" sheetId="10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3" l="1"/>
  <c r="L21" i="14" l="1"/>
  <c r="AG53" i="15" l="1"/>
  <c r="AG73" i="15"/>
  <c r="AG69" i="15"/>
  <c r="AG65" i="15"/>
  <c r="AG61" i="15"/>
  <c r="AG57" i="15"/>
  <c r="AG45" i="15"/>
  <c r="D7" i="8"/>
  <c r="E7" i="8"/>
  <c r="D6" i="8"/>
  <c r="AG44" i="15" l="1"/>
  <c r="AG40" i="15"/>
  <c r="AG37" i="15"/>
  <c r="AG36" i="15"/>
  <c r="AG33" i="15"/>
  <c r="AG32" i="15"/>
  <c r="AG28" i="15"/>
  <c r="AG25" i="15"/>
  <c r="AG24" i="15"/>
  <c r="AG21" i="15"/>
  <c r="AG20" i="15"/>
  <c r="AG17" i="15"/>
  <c r="AG16" i="15"/>
  <c r="AG13" i="15"/>
  <c r="AG9" i="15"/>
  <c r="AG8" i="15"/>
  <c r="AG5" i="15"/>
  <c r="AG4" i="15"/>
  <c r="AH29" i="15" l="1"/>
  <c r="D4" i="8" l="1"/>
  <c r="D5" i="8"/>
  <c r="Y61" i="15" l="1"/>
  <c r="X45" i="15" l="1"/>
  <c r="V61" i="15" l="1"/>
  <c r="V12" i="15"/>
  <c r="AG12" i="15" s="1"/>
  <c r="U29" i="15" l="1"/>
  <c r="D10" i="10"/>
  <c r="R41" i="15" l="1"/>
  <c r="AG41" i="15" s="1"/>
  <c r="R29" i="15"/>
  <c r="D11" i="10"/>
  <c r="Q29" i="15" l="1"/>
  <c r="P65" i="15" l="1"/>
  <c r="P61" i="15"/>
  <c r="L19" i="14" l="1"/>
  <c r="L20" i="14"/>
  <c r="L18" i="14"/>
  <c r="L22" i="14"/>
  <c r="K22" i="14"/>
  <c r="E21" i="14"/>
  <c r="E20" i="14"/>
  <c r="E19" i="14"/>
  <c r="E18" i="14"/>
  <c r="H20" i="13"/>
  <c r="AG72" i="15"/>
  <c r="H21" i="14" s="1"/>
  <c r="I21" i="14" l="1"/>
  <c r="M21" i="14" s="1"/>
  <c r="C29" i="15"/>
  <c r="AG29" i="15" s="1"/>
  <c r="AI29" i="15" s="1"/>
  <c r="L29" i="15"/>
  <c r="N29" i="15"/>
  <c r="AK31" i="15" l="1"/>
  <c r="AJ29" i="15"/>
  <c r="AK29" i="15" s="1"/>
  <c r="K65" i="15"/>
  <c r="AK32" i="15" l="1"/>
  <c r="D20" i="8"/>
  <c r="E17" i="13"/>
  <c r="H19" i="13"/>
  <c r="AG68" i="15"/>
  <c r="H20" i="14" s="1"/>
  <c r="I20" i="14" s="1"/>
  <c r="M20" i="14" s="1"/>
  <c r="AG64" i="15"/>
  <c r="H19" i="14" s="1"/>
  <c r="I19" i="14" s="1"/>
  <c r="M19" i="14" s="1"/>
  <c r="AG60" i="15"/>
  <c r="H18" i="14" s="1"/>
  <c r="I18" i="14" s="1"/>
  <c r="M18" i="14" s="1"/>
  <c r="H18" i="13" l="1"/>
  <c r="H17" i="13"/>
  <c r="I17" i="13" s="1"/>
  <c r="D13" i="8" l="1"/>
  <c r="E20" i="13" s="1"/>
  <c r="I20" i="13" s="1"/>
  <c r="H10" i="13"/>
  <c r="AG56" i="15"/>
  <c r="H11" i="14" s="1"/>
  <c r="D12" i="8"/>
  <c r="E57" i="8"/>
  <c r="E19" i="13" l="1"/>
  <c r="I19" i="13" s="1"/>
  <c r="D57" i="8"/>
  <c r="D9" i="10" l="1"/>
  <c r="D11" i="8"/>
  <c r="E18" i="13" s="1"/>
  <c r="I18" i="13" s="1"/>
  <c r="AG52" i="15"/>
  <c r="H10" i="14" s="1"/>
  <c r="AG49" i="15"/>
  <c r="AG48" i="15"/>
  <c r="H15" i="14" s="1"/>
  <c r="H6" i="14"/>
  <c r="H12" i="13"/>
  <c r="H13" i="14"/>
  <c r="H7" i="13"/>
  <c r="H8" i="14"/>
  <c r="H3" i="14"/>
  <c r="H4" i="14"/>
  <c r="H6" i="13"/>
  <c r="H7" i="14"/>
  <c r="H15" i="13"/>
  <c r="H16" i="14"/>
  <c r="H13" i="13"/>
  <c r="H14" i="14"/>
  <c r="H9" i="14"/>
  <c r="H16" i="13"/>
  <c r="H17" i="14"/>
  <c r="H12" i="14"/>
  <c r="H9" i="13" l="1"/>
  <c r="AI4" i="15"/>
  <c r="H5" i="13"/>
  <c r="AI8" i="15"/>
  <c r="H8" i="13"/>
  <c r="H22" i="14"/>
  <c r="H2" i="13"/>
  <c r="H3" i="13"/>
  <c r="H21" i="13" s="1"/>
  <c r="AI13" i="11"/>
  <c r="AI10" i="11"/>
  <c r="G14" i="13"/>
  <c r="I14" i="13" s="1"/>
  <c r="G9" i="13"/>
  <c r="AG78" i="11"/>
  <c r="AG77" i="11"/>
  <c r="AG76" i="11"/>
  <c r="AG72" i="11"/>
  <c r="AG71" i="11"/>
  <c r="AG70" i="11"/>
  <c r="G9" i="10"/>
  <c r="F9" i="10"/>
  <c r="D31" i="8"/>
  <c r="AG66" i="11" l="1"/>
  <c r="AG65" i="11"/>
  <c r="AG60" i="11"/>
  <c r="AG59" i="11"/>
  <c r="AG54" i="11"/>
  <c r="AG53" i="11"/>
  <c r="AG48" i="11"/>
  <c r="AG47" i="11"/>
  <c r="AG42" i="11"/>
  <c r="AG41" i="11"/>
  <c r="AG36" i="11"/>
  <c r="AG35" i="11"/>
  <c r="AG30" i="11"/>
  <c r="AG29" i="11"/>
  <c r="AG24" i="11"/>
  <c r="AG28" i="11"/>
  <c r="AG23" i="11"/>
  <c r="AG22" i="11"/>
  <c r="AG18" i="11"/>
  <c r="AG17" i="11"/>
  <c r="AG12" i="11"/>
  <c r="AG11" i="11"/>
  <c r="AG6" i="11"/>
  <c r="AG5" i="11"/>
  <c r="AG4" i="11"/>
  <c r="AG34" i="11"/>
  <c r="J22" i="14" l="1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3" i="14"/>
  <c r="K14" i="14"/>
  <c r="G13" i="14" l="1"/>
  <c r="G8" i="14"/>
  <c r="G3" i="14"/>
  <c r="G16" i="14"/>
  <c r="G14" i="14"/>
  <c r="G9" i="14"/>
  <c r="G17" i="14"/>
  <c r="G12" i="14"/>
  <c r="F7" i="14"/>
  <c r="F16" i="14"/>
  <c r="F14" i="14"/>
  <c r="F9" i="14"/>
  <c r="F17" i="14"/>
  <c r="F12" i="14"/>
  <c r="G5" i="13"/>
  <c r="G12" i="13"/>
  <c r="G7" i="13"/>
  <c r="G2" i="13"/>
  <c r="G3" i="13"/>
  <c r="G6" i="13"/>
  <c r="G15" i="13"/>
  <c r="G13" i="13"/>
  <c r="G8" i="13"/>
  <c r="G16" i="13"/>
  <c r="G11" i="13"/>
  <c r="F6" i="13"/>
  <c r="F15" i="13"/>
  <c r="F16" i="13"/>
  <c r="F13" i="13"/>
  <c r="F8" i="13"/>
  <c r="F11" i="13"/>
  <c r="E16" i="14"/>
  <c r="D9" i="8"/>
  <c r="E15" i="13" s="1"/>
  <c r="I15" i="13" s="1"/>
  <c r="E17" i="14"/>
  <c r="I17" i="14" s="1"/>
  <c r="E15" i="14"/>
  <c r="E14" i="14"/>
  <c r="I14" i="14" s="1"/>
  <c r="E13" i="14"/>
  <c r="I13" i="14" s="1"/>
  <c r="E12" i="14"/>
  <c r="I12" i="14" s="1"/>
  <c r="E16" i="13"/>
  <c r="E11" i="13"/>
  <c r="E10" i="13"/>
  <c r="I10" i="13" s="1"/>
  <c r="E11" i="14"/>
  <c r="E10" i="14"/>
  <c r="E8" i="13"/>
  <c r="E9" i="14"/>
  <c r="I9" i="14" s="1"/>
  <c r="E8" i="14"/>
  <c r="I8" i="14" s="1"/>
  <c r="E6" i="13"/>
  <c r="E7" i="14"/>
  <c r="I7" i="14" s="1"/>
  <c r="E6" i="14"/>
  <c r="I6" i="14" s="1"/>
  <c r="E5" i="14"/>
  <c r="E4" i="13"/>
  <c r="I4" i="13" s="1"/>
  <c r="E4" i="14"/>
  <c r="I4" i="14" s="1"/>
  <c r="E3" i="14"/>
  <c r="I3" i="14" s="1"/>
  <c r="Z59" i="11"/>
  <c r="I5" i="14" l="1"/>
  <c r="M5" i="14" s="1"/>
  <c r="I11" i="14"/>
  <c r="M11" i="14" s="1"/>
  <c r="I16" i="14"/>
  <c r="M16" i="14" s="1"/>
  <c r="I10" i="14"/>
  <c r="M10" i="14" s="1"/>
  <c r="I15" i="14"/>
  <c r="M15" i="14" s="1"/>
  <c r="M9" i="14"/>
  <c r="I8" i="13"/>
  <c r="I11" i="13"/>
  <c r="F21" i="13"/>
  <c r="G21" i="13"/>
  <c r="I6" i="13"/>
  <c r="I16" i="13"/>
  <c r="M14" i="14"/>
  <c r="M17" i="14"/>
  <c r="M13" i="14"/>
  <c r="F22" i="14"/>
  <c r="E22" i="14"/>
  <c r="M8" i="14"/>
  <c r="M12" i="14"/>
  <c r="D18" i="8"/>
  <c r="E9" i="13" s="1"/>
  <c r="I9" i="13" s="1"/>
  <c r="AG64" i="11"/>
  <c r="G6" i="14" s="1"/>
  <c r="M6" i="14" s="1"/>
  <c r="M3" i="14" l="1"/>
  <c r="X17" i="11"/>
  <c r="S41" i="11" l="1"/>
  <c r="G8" i="10"/>
  <c r="F8" i="10"/>
  <c r="G5" i="10"/>
  <c r="G6" i="10"/>
  <c r="F5" i="10"/>
  <c r="F6" i="10"/>
  <c r="D16" i="8" l="1"/>
  <c r="E5" i="13" s="1"/>
  <c r="I5" i="13" s="1"/>
  <c r="D22" i="8" l="1"/>
  <c r="E12" i="13" s="1"/>
  <c r="I12" i="13" s="1"/>
  <c r="N41" i="11"/>
  <c r="I41" i="11"/>
  <c r="AG58" i="11"/>
  <c r="AG52" i="11"/>
  <c r="AG46" i="11"/>
  <c r="D10" i="8" l="1"/>
  <c r="E7" i="13" s="1"/>
  <c r="I7" i="13" s="1"/>
  <c r="AG40" i="11" l="1"/>
  <c r="G4" i="14" s="1"/>
  <c r="M4" i="14" s="1"/>
  <c r="AG16" i="11"/>
  <c r="AG10" i="11"/>
  <c r="G10" i="10" l="1"/>
  <c r="F10" i="10"/>
  <c r="G7" i="14" l="1"/>
  <c r="B24" i="11"/>
  <c r="B23" i="11"/>
  <c r="G11" i="10"/>
  <c r="G7" i="10"/>
  <c r="F11" i="10"/>
  <c r="F7" i="10"/>
  <c r="D7" i="10"/>
  <c r="G22" i="14" l="1"/>
  <c r="T16" i="7"/>
  <c r="T17" i="7"/>
  <c r="U11" i="7"/>
  <c r="M7" i="14" l="1"/>
  <c r="I22" i="14"/>
  <c r="D17" i="8"/>
  <c r="E2" i="13" s="1"/>
  <c r="E52" i="8"/>
  <c r="D51" i="8"/>
  <c r="D52" i="8" s="1"/>
  <c r="I2" i="13" l="1"/>
  <c r="AH30" i="7"/>
  <c r="AH29" i="7"/>
  <c r="AH28" i="7"/>
  <c r="AH36" i="7" l="1"/>
  <c r="AH34" i="7"/>
  <c r="AH35" i="7"/>
  <c r="AH22" i="7" l="1"/>
  <c r="AB24" i="7"/>
  <c r="AH24" i="7" s="1"/>
  <c r="AB23" i="7"/>
  <c r="AH23" i="7" s="1"/>
  <c r="F12" i="10" l="1"/>
  <c r="G12" i="10"/>
  <c r="Q18" i="7" l="1"/>
  <c r="Q17" i="7"/>
  <c r="D24" i="8" l="1"/>
  <c r="E3" i="13" s="1"/>
  <c r="I3" i="13" l="1"/>
  <c r="H17" i="7"/>
  <c r="D23" i="8" l="1"/>
  <c r="G18" i="7"/>
  <c r="AH18" i="7" s="1"/>
  <c r="G17" i="7"/>
  <c r="G16" i="7"/>
  <c r="D26" i="8" l="1"/>
  <c r="E13" i="13"/>
  <c r="C12" i="7"/>
  <c r="AH12" i="7" s="1"/>
  <c r="C11" i="7"/>
  <c r="C10" i="7"/>
  <c r="C5" i="7"/>
  <c r="AH5" i="7" s="1"/>
  <c r="C6" i="7"/>
  <c r="AH6" i="7" s="1"/>
  <c r="C4" i="7"/>
  <c r="AH4" i="7" s="1"/>
  <c r="I13" i="13" l="1"/>
  <c r="I21" i="13" s="1"/>
  <c r="E21" i="13"/>
  <c r="G14" i="5"/>
  <c r="E14" i="5"/>
  <c r="F14" i="5"/>
  <c r="D14" i="5"/>
  <c r="F16" i="5"/>
  <c r="I16" i="5" s="1"/>
  <c r="B16" i="7" s="1"/>
  <c r="AH16" i="7" s="1"/>
  <c r="D16" i="5"/>
  <c r="H16" i="5" s="1"/>
  <c r="B17" i="7" s="1"/>
  <c r="AH17" i="7" s="1"/>
  <c r="E13" i="5" l="1"/>
  <c r="D13" i="5"/>
  <c r="I13" i="5"/>
  <c r="H13" i="5" l="1"/>
  <c r="I14" i="5"/>
  <c r="H14" i="5"/>
  <c r="B11" i="7" s="1"/>
  <c r="AH11" i="7" s="1"/>
  <c r="A40" i="7" s="1"/>
  <c r="E5" i="5"/>
  <c r="D5" i="5"/>
  <c r="I17" i="5" l="1"/>
  <c r="B10" i="7"/>
  <c r="AH10" i="7" s="1"/>
  <c r="A43" i="7" s="1"/>
  <c r="H17" i="5"/>
  <c r="E4" i="5"/>
  <c r="D4" i="5"/>
  <c r="F6" i="5"/>
  <c r="D6" i="5"/>
  <c r="G6" i="5"/>
  <c r="E6" i="5"/>
  <c r="I5" i="5" l="1"/>
  <c r="I6" i="5"/>
  <c r="I4" i="5"/>
  <c r="H5" i="5"/>
  <c r="H6" i="5"/>
  <c r="H4" i="5"/>
  <c r="E7" i="5" l="1"/>
  <c r="D7" i="5"/>
  <c r="I7" i="5" l="1"/>
  <c r="I8" i="5" s="1"/>
  <c r="I27" i="5" s="1"/>
  <c r="H7" i="5"/>
  <c r="H8" i="5" s="1"/>
  <c r="H27" i="5" l="1"/>
  <c r="C25" i="5" s="1"/>
  <c r="K3" i="13"/>
  <c r="AH43" i="7"/>
  <c r="AI4" i="11" s="1"/>
</calcChain>
</file>

<file path=xl/sharedStrings.xml><?xml version="1.0" encoding="utf-8"?>
<sst xmlns="http://schemas.openxmlformats.org/spreadsheetml/2006/main" count="1507" uniqueCount="579">
  <si>
    <t>Nama</t>
  </si>
  <si>
    <t>Posisi Yang Di Lamar</t>
  </si>
  <si>
    <t>Alamat</t>
  </si>
  <si>
    <t>Status Pemanggilan Interview</t>
  </si>
  <si>
    <t>Proses Rekrutmen</t>
  </si>
  <si>
    <t>SMS</t>
  </si>
  <si>
    <t>PM</t>
  </si>
  <si>
    <t>Tlpn</t>
  </si>
  <si>
    <t>Pendidikan Terakhir</t>
  </si>
  <si>
    <t>Pekerjaan Terakhir</t>
  </si>
  <si>
    <t>Psikotest</t>
  </si>
  <si>
    <t>Video Interview</t>
  </si>
  <si>
    <t>OJT</t>
  </si>
  <si>
    <t>OL</t>
  </si>
  <si>
    <t>Perusahaan</t>
  </si>
  <si>
    <t>Salesman</t>
  </si>
  <si>
    <t>PT. TIRTA KENCANA TATAWARNA | Indonesia</t>
  </si>
  <si>
    <t>SMU</t>
  </si>
  <si>
    <t>Sales Area Sumatra</t>
  </si>
  <si>
    <t>Banyuasin , Sumatera Selatan</t>
  </si>
  <si>
    <t>Nomer Tlpn</t>
  </si>
  <si>
    <t>081373721351</t>
  </si>
  <si>
    <t>Muhammad gilang</t>
  </si>
  <si>
    <t>Sales Associate</t>
  </si>
  <si>
    <t>PT Dima Indonesia (Guinness) | Indonesia</t>
  </si>
  <si>
    <t>Sumatera Utara</t>
  </si>
  <si>
    <t>081361929492</t>
  </si>
  <si>
    <t>MUHAMMAD HUSEIN. S E</t>
  </si>
  <si>
    <t>Sales GT Indoeskrim Indofood</t>
  </si>
  <si>
    <t>PT.Delta Adib Distribusi</t>
  </si>
  <si>
    <t>Medan , Sumatera Utara</t>
  </si>
  <si>
    <t>Sarjana (S1)</t>
  </si>
  <si>
    <t>Yayan Perwira</t>
  </si>
  <si>
    <t>Sales</t>
  </si>
  <si>
    <t>Pt surya indah</t>
  </si>
  <si>
    <t>Sumatera Barat</t>
  </si>
  <si>
    <t>082364582392</t>
  </si>
  <si>
    <t>Sarjana (S1</t>
  </si>
  <si>
    <t>081267043377</t>
  </si>
  <si>
    <t>Rachmat Sesario</t>
  </si>
  <si>
    <t>Team Leader/Supervisor</t>
  </si>
  <si>
    <t>PT.Astra International Tbk</t>
  </si>
  <si>
    <t>Bengkulu</t>
  </si>
  <si>
    <t xml:space="preserve">Sarjana (S1) </t>
  </si>
  <si>
    <t>082279215470</t>
  </si>
  <si>
    <t>Hel wisman</t>
  </si>
  <si>
    <t>Supervisor Sales Junior</t>
  </si>
  <si>
    <t>PT. Sinar Sentosa Abadi</t>
  </si>
  <si>
    <t>Bandar Lampung , Lampung</t>
  </si>
  <si>
    <t>D3 (Diploma)</t>
  </si>
  <si>
    <t>083160107245</t>
  </si>
  <si>
    <t>jhoni ambarita</t>
  </si>
  <si>
    <t>Worksite Bancassurance Spesialist</t>
  </si>
  <si>
    <t>PT BNI Life Insurance</t>
  </si>
  <si>
    <t>Padang , Sumatera Barat</t>
  </si>
  <si>
    <t>081364688338</t>
  </si>
  <si>
    <t>Salesman TMC</t>
  </si>
  <si>
    <t>PT Surya Madistrindo</t>
  </si>
  <si>
    <t>Anta Septian</t>
  </si>
  <si>
    <t>Sales &amp; Marketing</t>
  </si>
  <si>
    <t>Hendra Mendrofa</t>
  </si>
  <si>
    <t>salesman</t>
  </si>
  <si>
    <t>PT. ENSEVAL PUTRA MEGATRADING</t>
  </si>
  <si>
    <t>082272470359</t>
  </si>
  <si>
    <t>Reza Mardiansyah</t>
  </si>
  <si>
    <t>Aceh</t>
  </si>
  <si>
    <t>Muhammad fardede dede</t>
  </si>
  <si>
    <t>Business Development Officer</t>
  </si>
  <si>
    <t>082289984294</t>
  </si>
  <si>
    <t>Nico Sitorus</t>
  </si>
  <si>
    <t>Supervisor</t>
  </si>
  <si>
    <t>PT. REMBAKA</t>
  </si>
  <si>
    <t>Lampung</t>
  </si>
  <si>
    <t>085219543764</t>
  </si>
  <si>
    <t>Dika Novian</t>
  </si>
  <si>
    <t>Marketing Officer</t>
  </si>
  <si>
    <t>PT Mandiri Tunas Finance</t>
  </si>
  <si>
    <t>081290695122</t>
  </si>
  <si>
    <t>Rulita Fauninta Permatasari</t>
  </si>
  <si>
    <t>Breastfeeding Counselor</t>
  </si>
  <si>
    <t>Asosiasi Ibu Menyusui Indonesia (AIMI)</t>
  </si>
  <si>
    <t>081273073733</t>
  </si>
  <si>
    <t>Eka Surya Dharma</t>
  </si>
  <si>
    <t>guru</t>
  </si>
  <si>
    <t>SMK BIna Profesi Pekanbaru</t>
  </si>
  <si>
    <t>Riau</t>
  </si>
  <si>
    <t>081371091516</t>
  </si>
  <si>
    <t>fransiskus juandi sitanggang</t>
  </si>
  <si>
    <t>Kordinator Marketing</t>
  </si>
  <si>
    <t>PT.PKT</t>
  </si>
  <si>
    <t>medan , Sumatera Utara</t>
  </si>
  <si>
    <t>082166772028</t>
  </si>
  <si>
    <t>Ricky Ridwan Prayogi</t>
  </si>
  <si>
    <t>Branch Manager</t>
  </si>
  <si>
    <t>PT Satria Antaran Prima</t>
  </si>
  <si>
    <t>Banda Aceh , Aceh</t>
  </si>
  <si>
    <t>08113153090</t>
  </si>
  <si>
    <t>PT.smart multifinance</t>
  </si>
  <si>
    <t>jaka maulana arifin</t>
  </si>
  <si>
    <t>08981000082</t>
  </si>
  <si>
    <t>John Chrisandy Feberman Sipayung</t>
  </si>
  <si>
    <t>Asistant Branch Marketing Manager</t>
  </si>
  <si>
    <t>PT. Artha Graha General Insurance</t>
  </si>
  <si>
    <t>085261446344</t>
  </si>
  <si>
    <t>Ijal Bahri</t>
  </si>
  <si>
    <t>PT Cobra Dental Indonesia</t>
  </si>
  <si>
    <t>085277274191</t>
  </si>
  <si>
    <t>PT.MEDIA LINTAS INTI NUSATARA</t>
  </si>
  <si>
    <t>Agus Tiansyah (84)</t>
  </si>
  <si>
    <t>x</t>
  </si>
  <si>
    <t>Status</t>
  </si>
  <si>
    <t>Confirm</t>
  </si>
  <si>
    <t>confirm</t>
  </si>
  <si>
    <t>tidak confirm</t>
  </si>
  <si>
    <t>test sedang berjalan</t>
  </si>
  <si>
    <t xml:space="preserve">confirm </t>
  </si>
  <si>
    <t>done</t>
  </si>
  <si>
    <t>tidak mengirim hasil</t>
  </si>
  <si>
    <t>Nopian Haryanto</t>
  </si>
  <si>
    <t>Febriyan Furqon</t>
  </si>
  <si>
    <t>SMU/SMK/STM</t>
  </si>
  <si>
    <t>Sales Representative</t>
  </si>
  <si>
    <t>pt. honda wiltop auto</t>
  </si>
  <si>
    <t>Jambi</t>
  </si>
  <si>
    <t>zahrial SE</t>
  </si>
  <si>
    <t>PT. MULTI ALAM PRIMA RASA</t>
  </si>
  <si>
    <t>Desi Sinta</t>
  </si>
  <si>
    <t>Internal Affair</t>
  </si>
  <si>
    <t>Kedai Mak Agus</t>
  </si>
  <si>
    <t>done - nunggu transferan untuk OJT</t>
  </si>
  <si>
    <t>tidak lolos</t>
  </si>
  <si>
    <t>tidak mengirimkan hasil</t>
  </si>
  <si>
    <t>GAGAL :</t>
  </si>
  <si>
    <t>Andri Arisco</t>
  </si>
  <si>
    <t>S1</t>
  </si>
  <si>
    <t>Retail Development</t>
  </si>
  <si>
    <t>Pekanbaru , Riau</t>
  </si>
  <si>
    <t>Dedi Kurniawan</t>
  </si>
  <si>
    <t>area representative</t>
  </si>
  <si>
    <t>Bambang Taruna</t>
  </si>
  <si>
    <t>Sales Consultan</t>
  </si>
  <si>
    <t>Syar bunis</t>
  </si>
  <si>
    <t>Salesman </t>
  </si>
  <si>
    <t>prima dona</t>
  </si>
  <si>
    <t>Sales &amp; Marketing Executive</t>
  </si>
  <si>
    <t>Bandar Lampung , Lampung</t>
  </si>
  <si>
    <t>Aceh utara , Aceh</t>
  </si>
  <si>
    <t>mengundurkan diri</t>
  </si>
  <si>
    <t>telat confirm</t>
  </si>
  <si>
    <t>hasil tidak dikirim</t>
  </si>
  <si>
    <t>Abdul Rahman Tompoh</t>
  </si>
  <si>
    <t>Sales Area kalimantan, sulawesi &amp; maluku</t>
  </si>
  <si>
    <t> SMU/SMK/STM</t>
  </si>
  <si>
    <t>Area Business Supervisor</t>
  </si>
  <si>
    <t>Sulawesi Utara</t>
  </si>
  <si>
    <t>Mirwan Imam</t>
  </si>
  <si>
    <t>Coordinator Spg Area Manado/Gtlo/Ternate</t>
  </si>
  <si>
    <t>Haedir Adhie</t>
  </si>
  <si>
    <t>Admin Co-ordinator</t>
  </si>
  <si>
    <t>Makassar , Sulawesi Selatan</t>
  </si>
  <si>
    <t>David Andyca</t>
  </si>
  <si>
    <t>Sales Health Care Product</t>
  </si>
  <si>
    <t>Pontianak , Kalimantan Barat</t>
  </si>
  <si>
    <t>Yudi Kistanto</t>
  </si>
  <si>
    <t>Sulawesi Selatan</t>
  </si>
  <si>
    <t>sales </t>
  </si>
  <si>
    <t>Muhammad Noor</t>
  </si>
  <si>
    <t>Marketing </t>
  </si>
  <si>
    <t>Kalimantan Selatan</t>
  </si>
  <si>
    <t> 95411142783</t>
  </si>
  <si>
    <t>Ruli Hamzah</t>
  </si>
  <si>
    <t> Sulawesi Tengah</t>
  </si>
  <si>
    <t>iman raharjo</t>
  </si>
  <si>
    <t>Kepala Cabang Pos</t>
  </si>
  <si>
    <t> 85348488423</t>
  </si>
  <si>
    <t>Agus Salim</t>
  </si>
  <si>
    <t>Sales Counter </t>
  </si>
  <si>
    <t>Rama Bagoes</t>
  </si>
  <si>
    <t>Sales &amp; Marketing </t>
  </si>
  <si>
    <t>surabaya , Jawa Timur</t>
  </si>
  <si>
    <t>Jawa Timur</t>
  </si>
  <si>
    <t>Adityo Nugroho</t>
  </si>
  <si>
    <t>Coordinator Sales</t>
  </si>
  <si>
    <t>Sidoarjo , Jawa Timur</t>
  </si>
  <si>
    <t>Moch Reza Galih Satria</t>
  </si>
  <si>
    <t>Jawa Tengah</t>
  </si>
  <si>
    <t>barry fajarrachman</t>
  </si>
  <si>
    <t>Sales Officer</t>
  </si>
  <si>
    <t>Sidoarjo , Jawa Timur</t>
  </si>
  <si>
    <t>Muhammad Reza Wiliardi</t>
  </si>
  <si>
    <t>Direct Sales E Commerce</t>
  </si>
  <si>
    <t>Semarang , Jawa Tengah</t>
  </si>
  <si>
    <t>Pande Agus</t>
  </si>
  <si>
    <t>Relationship Officer</t>
  </si>
  <si>
    <t> KOTA DENPASAR , Bali</t>
  </si>
  <si>
    <t>Ihlal Widyastiarso Bayu Aji</t>
  </si>
  <si>
    <t>Lely Lorita</t>
  </si>
  <si>
    <t>Marketing Communication Manager</t>
  </si>
  <si>
    <t>Denpasar , Bali</t>
  </si>
  <si>
    <t>Dwi Rani Pangestuti</t>
  </si>
  <si>
    <t>Head Of Sales / BM Sales</t>
  </si>
  <si>
    <t>081237094984</t>
  </si>
  <si>
    <t>abdul mutalip</t>
  </si>
  <si>
    <t>Fahriza ramadhani</t>
  </si>
  <si>
    <t>Banjarmasin , Kalimantan Selatan</t>
  </si>
  <si>
    <t>Uploader</t>
  </si>
  <si>
    <t>JAWA &amp; BALI</t>
  </si>
  <si>
    <t>KALIMANTAN &amp; SULAWESI</t>
  </si>
  <si>
    <t>SUMATERA</t>
  </si>
  <si>
    <t>sedang test</t>
  </si>
  <si>
    <t>tidak ada balasan</t>
  </si>
  <si>
    <t>mengundurkan diri karena sudah dapat pekerjaan</t>
  </si>
  <si>
    <t>Padang , Sumatera Barat</t>
  </si>
  <si>
    <t>herman feryanto</t>
  </si>
  <si>
    <t>SALES T.O GROSIR</t>
  </si>
  <si>
    <t>agus adhi ibrahim</t>
  </si>
  <si>
    <t>Marketing</t>
  </si>
  <si>
    <t>pati , Jawa Tengah</t>
  </si>
  <si>
    <t>Purwo Agus Kurniawan</t>
  </si>
  <si>
    <t>Co-ordinator</t>
  </si>
  <si>
    <t> Jawa Tengah</t>
  </si>
  <si>
    <t>Jondy Dri Handoko</t>
  </si>
  <si>
    <t>Sales </t>
  </si>
  <si>
    <t>sarjuni</t>
  </si>
  <si>
    <t>PIC MKTG</t>
  </si>
  <si>
    <t> MAKASSAR , Sulawesi Selatan</t>
  </si>
  <si>
    <t>Ainil Fitri</t>
  </si>
  <si>
    <t>Adi Suardi</t>
  </si>
  <si>
    <t>Sulawesi Tenggara</t>
  </si>
  <si>
    <t>irsan maulana</t>
  </si>
  <si>
    <t>makassar , Sulawesi Selatan</t>
  </si>
  <si>
    <t>628114040092</t>
  </si>
  <si>
    <t>Irma Sulistya</t>
  </si>
  <si>
    <t>SADDAN DJIHAT</t>
  </si>
  <si>
    <t>Sales marketing</t>
  </si>
  <si>
    <t>Andirsan Andirsan</t>
  </si>
  <si>
    <t>Sulawesi Barat</t>
  </si>
  <si>
    <t>muhamad arqom</t>
  </si>
  <si>
    <t>Singkawang , Kalimantan Barat</t>
  </si>
  <si>
    <t>Area Co-ordinator</t>
  </si>
  <si>
    <t>Yana Mauru-mayui</t>
  </si>
  <si>
    <t>Sulawesi Tengah</t>
  </si>
  <si>
    <t>analisis</t>
  </si>
  <si>
    <t>Muhammad Aulia Alamsyah</t>
  </si>
  <si>
    <t> Kalimantan Selatan</t>
  </si>
  <si>
    <t>Rudi Stira</t>
  </si>
  <si>
    <t> 085299354606</t>
  </si>
  <si>
    <t>sonmeta putra</t>
  </si>
  <si>
    <t>padang , Sumatera Barat</t>
  </si>
  <si>
    <t>Ahmad Kusaini</t>
  </si>
  <si>
    <t>Driver dan asisten pembelian</t>
  </si>
  <si>
    <t>Bangko , Jambi</t>
  </si>
  <si>
    <t>Dedy Setiawan</t>
  </si>
  <si>
    <t>Business Executive</t>
  </si>
  <si>
    <t>tidak mengirimmkan hasil</t>
  </si>
  <si>
    <t>lanjut scoring</t>
  </si>
  <si>
    <t>belum confirm test besok</t>
  </si>
  <si>
    <t>mengundurkan diri untuk OJT - tidak biasa jualan lewat katalog, biasanya menjual barang fisik</t>
  </si>
  <si>
    <t>nunggu konfirmasi untuk ojt</t>
  </si>
  <si>
    <t>tidak mengirimkan hasil test</t>
  </si>
  <si>
    <t>tdak mengirimkan hasil test</t>
  </si>
  <si>
    <t>tidak ada konfirmasi untuk ojt</t>
  </si>
  <si>
    <t>Sales Area</t>
  </si>
  <si>
    <t>Bandar Lampung</t>
  </si>
  <si>
    <t>Palembang</t>
  </si>
  <si>
    <t>Makasar</t>
  </si>
  <si>
    <t>H-OJT</t>
  </si>
  <si>
    <t>INF/BCL</t>
  </si>
  <si>
    <t>KZT/IFZ</t>
  </si>
  <si>
    <t>Belanja (Rp)</t>
  </si>
  <si>
    <t>Belanja (Qty)</t>
  </si>
  <si>
    <t>TotalBelanja (Rp)</t>
  </si>
  <si>
    <t>Qty</t>
  </si>
  <si>
    <t>Rp</t>
  </si>
  <si>
    <t>Banjarmasin</t>
  </si>
  <si>
    <t>Baraka , Sulawesi Selatan</t>
  </si>
  <si>
    <t>dipertimbangkan untuk OJT 2</t>
  </si>
  <si>
    <t>dipertimbangkan untuk OJT 1 - penawaran OJT</t>
  </si>
  <si>
    <t>Fery Wicaksono</t>
  </si>
  <si>
    <t>Promotor</t>
  </si>
  <si>
    <t>Surabaya , Jawa Timur</t>
  </si>
  <si>
    <t>surya lakhsana</t>
  </si>
  <si>
    <t>Marketing Executive</t>
  </si>
  <si>
    <t>Bagus Tri Prasetyanto</t>
  </si>
  <si>
    <t>Kepala Cabang Divisi Dana Tunai </t>
  </si>
  <si>
    <t> Jawa Timur</t>
  </si>
  <si>
    <t>alfri novaris</t>
  </si>
  <si>
    <t>Sales Officer </t>
  </si>
  <si>
    <t>Rendy Ahmad</t>
  </si>
  <si>
    <t>Store Supervisor</t>
  </si>
  <si>
    <t>yudi andriyanto</t>
  </si>
  <si>
    <t>Irsan M Arif</t>
  </si>
  <si>
    <t> Maluku Utara</t>
  </si>
  <si>
    <t>Suwandi Pade</t>
  </si>
  <si>
    <t>Manado/Sulawesi Utar , Sulawesi Utara</t>
  </si>
  <si>
    <t>Area Sales Supervisor </t>
  </si>
  <si>
    <t>Irham Akbar</t>
  </si>
  <si>
    <t>Dewi Rahayu</t>
  </si>
  <si>
    <t> Sarjana (S1)</t>
  </si>
  <si>
    <t>Assistant Chief Of Store</t>
  </si>
  <si>
    <t> Sulawesi Utara</t>
  </si>
  <si>
    <t> 082187682300</t>
  </si>
  <si>
    <t>Hendry Aris</t>
  </si>
  <si>
    <t> 85393874620</t>
  </si>
  <si>
    <t>Riyandi Syahriar</t>
  </si>
  <si>
    <t>SALES HEAD</t>
  </si>
  <si>
    <t>Wildayanti S.Sos</t>
  </si>
  <si>
    <t>Sales Front Liner</t>
  </si>
  <si>
    <t>susi nova yanti</t>
  </si>
  <si>
    <t>payakumbuh , Sumatera Barat</t>
  </si>
  <si>
    <t>Nanda Anisa</t>
  </si>
  <si>
    <t>Telemarketing </t>
  </si>
  <si>
    <t>ariza pratama</t>
  </si>
  <si>
    <t>Telemarketing (Unilever)</t>
  </si>
  <si>
    <t> Sumatera Utara</t>
  </si>
  <si>
    <t>eka warna</t>
  </si>
  <si>
    <t>Jambi </t>
  </si>
  <si>
    <t>area representative </t>
  </si>
  <si>
    <t>Teddy Permana</t>
  </si>
  <si>
    <t>Sales Executive</t>
  </si>
  <si>
    <t>Hendra Pinayungan</t>
  </si>
  <si>
    <t>Sales retail</t>
  </si>
  <si>
    <t>82227001083</t>
  </si>
  <si>
    <t>andri teguh winata</t>
  </si>
  <si>
    <t>nunggu confirmasi</t>
  </si>
  <si>
    <t>keterangan</t>
  </si>
  <si>
    <t>nunggu konfirmasi transferan OJT</t>
  </si>
  <si>
    <t>lanjut ke skoring</t>
  </si>
  <si>
    <t>hasil test besok dikumpulkan pukul 11:00</t>
  </si>
  <si>
    <t>Velly Jesajas</t>
  </si>
  <si>
    <t>Maluku</t>
  </si>
  <si>
    <t>Febri Arhanki</t>
  </si>
  <si>
    <t>Marketing Engineering at PT Arita prima indonesia Tbk</t>
  </si>
  <si>
    <t>Kalimantan Barat</t>
  </si>
  <si>
    <t>Rully .S</t>
  </si>
  <si>
    <t>Sales Supervisor</t>
  </si>
  <si>
    <t>Hendra Irawan</t>
  </si>
  <si>
    <t>Sales head</t>
  </si>
  <si>
    <t>Bali</t>
  </si>
  <si>
    <t>Wisnu Pratama</t>
  </si>
  <si>
    <t> BOYOLALI</t>
  </si>
  <si>
    <t>CSA</t>
  </si>
  <si>
    <t>Antoni .</t>
  </si>
  <si>
    <t> Jambi</t>
  </si>
  <si>
    <t>Henry Harisman</t>
  </si>
  <si>
    <t>medan , Sumatera Utara</t>
  </si>
  <si>
    <t>Indra Gunawan</t>
  </si>
  <si>
    <t>Marketing/sales</t>
  </si>
  <si>
    <t>reyza kusuma</t>
  </si>
  <si>
    <t>Kepulauan Riau</t>
  </si>
  <si>
    <t>sucipto lim</t>
  </si>
  <si>
    <t>sales freelance</t>
  </si>
  <si>
    <t> Medan , Sumatera Utara</t>
  </si>
  <si>
    <t>adrian julian dani</t>
  </si>
  <si>
    <t>danu setiawan</t>
  </si>
  <si>
    <t>Bengkulu Utara , Bengkulu</t>
  </si>
  <si>
    <t>penjadwalan test</t>
  </si>
  <si>
    <t>penawaran OJT</t>
  </si>
  <si>
    <t>dodi maulana</t>
  </si>
  <si>
    <t>Marketing Exec</t>
  </si>
  <si>
    <t>sudah dapat pekerjaan</t>
  </si>
  <si>
    <t>tidak mengirim hasil test</t>
  </si>
  <si>
    <t>posisi di ambon</t>
  </si>
  <si>
    <t>nunggu konfirmasi</t>
  </si>
  <si>
    <t>Kurir</t>
  </si>
  <si>
    <t>JNE</t>
  </si>
  <si>
    <t>nunggu hasil test di kirim</t>
  </si>
  <si>
    <t>nunggu hasil test dikirimkan</t>
  </si>
  <si>
    <t>penawaran ojt</t>
  </si>
  <si>
    <t>penawaran OJT (sudah diterima bekerja ditempat lain</t>
  </si>
  <si>
    <t>pengiriman OL</t>
  </si>
  <si>
    <t>Sudah TTd OL</t>
  </si>
  <si>
    <t>Pasca OJT</t>
  </si>
  <si>
    <t>total</t>
  </si>
  <si>
    <t>Reseller</t>
  </si>
  <si>
    <t>menolak OJT</t>
  </si>
  <si>
    <t>085260071505</t>
  </si>
  <si>
    <t>Melly  - Bengkulu</t>
  </si>
  <si>
    <t>Ongkir</t>
  </si>
  <si>
    <t>TGL</t>
  </si>
  <si>
    <t>Closing Feb</t>
  </si>
  <si>
    <t>Orderan (Qty)</t>
  </si>
  <si>
    <t>Orderan (Rp)</t>
  </si>
  <si>
    <t>Expedisi</t>
  </si>
  <si>
    <t>Port to Port</t>
  </si>
  <si>
    <t>Total</t>
  </si>
  <si>
    <t>Total Belanja :</t>
  </si>
  <si>
    <t>Padang</t>
  </si>
  <si>
    <t>Semarang</t>
  </si>
  <si>
    <t>Mulyanto</t>
  </si>
  <si>
    <t>Muhammad Affandi</t>
  </si>
  <si>
    <t>ALL Total belanja dari OJT - Sekarang :</t>
  </si>
  <si>
    <t>selesai</t>
  </si>
  <si>
    <t>Melly</t>
  </si>
  <si>
    <t>tengku rizaki</t>
  </si>
  <si>
    <t>aceh</t>
  </si>
  <si>
    <t>Total Produk:</t>
  </si>
  <si>
    <t>hendro prasetyo</t>
  </si>
  <si>
    <t>semarang</t>
  </si>
  <si>
    <t>anton tofa puryantok</t>
  </si>
  <si>
    <t>SMK</t>
  </si>
  <si>
    <t>marketing </t>
  </si>
  <si>
    <t>Gusti Setia aji</t>
  </si>
  <si>
    <t>Jakarta Raya</t>
  </si>
  <si>
    <t>Adi Putra Wijayanto</t>
  </si>
  <si>
    <t>Sarjana </t>
  </si>
  <si>
    <t>CMO </t>
  </si>
  <si>
    <t>Adzib Zainullah</t>
  </si>
  <si>
    <t>Sales Account Executive </t>
  </si>
  <si>
    <t>Fenty Ratna Putri Yuliawati</t>
  </si>
  <si>
    <t>Eric Saputra</t>
  </si>
  <si>
    <t>Barista </t>
  </si>
  <si>
    <t>Chepy Rasmana</t>
  </si>
  <si>
    <t>Jawa Barat</t>
  </si>
  <si>
    <t>895333846645</t>
  </si>
  <si>
    <t>Ravita Navisa</t>
  </si>
  <si>
    <t>Pelayan Atau SPG</t>
  </si>
  <si>
    <t>Dedi Anto</t>
  </si>
  <si>
    <t>SR GT </t>
  </si>
  <si>
    <t>Palu , Sulawesi Tengah</t>
  </si>
  <si>
    <t>D3 </t>
  </si>
  <si>
    <t>Edi Wahyudi</t>
  </si>
  <si>
    <t>marketing sparepart Representative</t>
  </si>
  <si>
    <t>Jeffry Amocsa</t>
  </si>
  <si>
    <t>Supervisor marketing</t>
  </si>
  <si>
    <t>Purwandi Purwandi</t>
  </si>
  <si>
    <t>Customer Service</t>
  </si>
  <si>
    <t>Martapura, Banjar , Kalimantan Selatan</t>
  </si>
  <si>
    <t>Ary Setiawan</t>
  </si>
  <si>
    <t>Area Sales Promosi Repensetive</t>
  </si>
  <si>
    <t>Viko Piga</t>
  </si>
  <si>
    <t>Manado , Sulawesi Utara</t>
  </si>
  <si>
    <t>Adi Saputra</t>
  </si>
  <si>
    <t>Bancassurance Specialist </t>
  </si>
  <si>
    <t>Monica Warouw</t>
  </si>
  <si>
    <t>Keuangan/Akuntansi/Perbankan</t>
  </si>
  <si>
    <t>Kalimantan Timur</t>
  </si>
  <si>
    <t>Heri Purwanto</t>
  </si>
  <si>
    <t>Merchandising </t>
  </si>
  <si>
    <t> 81351928777</t>
  </si>
  <si>
    <t>Anastasya Korengkeng</t>
  </si>
  <si>
    <t>Chrysto Sotyo Nugroho</t>
  </si>
  <si>
    <t>IBNU ALHAYTAMI</t>
  </si>
  <si>
    <t>Sales Staff</t>
  </si>
  <si>
    <t>Palembang , Sumatera Selatan</t>
  </si>
  <si>
    <t>FIRMAN SYAH</t>
  </si>
  <si>
    <t>muhammad ikhsan</t>
  </si>
  <si>
    <t>credit marketing officer</t>
  </si>
  <si>
    <t>Sas Bieelah</t>
  </si>
  <si>
    <t>STORE SUPERVISOR</t>
  </si>
  <si>
    <t>riki merantika</t>
  </si>
  <si>
    <t>Marketing head</t>
  </si>
  <si>
    <t>bengkulu </t>
  </si>
  <si>
    <t>Stela Monic Maya Ersa</t>
  </si>
  <si>
    <t>Pelaksana </t>
  </si>
  <si>
    <t>Yunas Sajuri</t>
  </si>
  <si>
    <t>Sales Officer of Consumer Loan</t>
  </si>
  <si>
    <t>Angga Ari Saputra</t>
  </si>
  <si>
    <t>Chandra Dwi Arta</t>
  </si>
  <si>
    <t>Devi Lestari</t>
  </si>
  <si>
    <t>Sales promotion girl</t>
  </si>
  <si>
    <t>Ricky Andrian</t>
  </si>
  <si>
    <t>Sales Taking Order</t>
  </si>
  <si>
    <t>Medan </t>
  </si>
  <si>
    <t>+62) 061-7867266</t>
  </si>
  <si>
    <t>skoring</t>
  </si>
  <si>
    <t>belum ngirim hasil</t>
  </si>
  <si>
    <t>nunggu ngirim hasil</t>
  </si>
  <si>
    <t>nunggu hasil</t>
  </si>
  <si>
    <t>nunggu hasil test dikirimkan ja 10:00</t>
  </si>
  <si>
    <t>muahmmad ahsan</t>
  </si>
  <si>
    <t>gagal</t>
  </si>
  <si>
    <t>diterima bekerja</t>
  </si>
  <si>
    <t>Andri Suderajat</t>
  </si>
  <si>
    <t>MartaPura</t>
  </si>
  <si>
    <t>Status OJT</t>
  </si>
  <si>
    <t>Langsa/Aceh</t>
  </si>
  <si>
    <t>M Ahsan</t>
  </si>
  <si>
    <t>Kolaka/Sulteng</t>
  </si>
  <si>
    <t>Review OJT</t>
  </si>
  <si>
    <t>Dakota</t>
  </si>
  <si>
    <t>Senia</t>
  </si>
  <si>
    <t>Batam</t>
  </si>
  <si>
    <t>Johnson</t>
  </si>
  <si>
    <t>Pekan Baru</t>
  </si>
  <si>
    <t xml:space="preserve">Ibnu </t>
  </si>
  <si>
    <t>Afif</t>
  </si>
  <si>
    <t>Aprillia</t>
  </si>
  <si>
    <t>Ridho Virgatama</t>
  </si>
  <si>
    <t>Nory Andri Wibowo</t>
  </si>
  <si>
    <t>Makassar</t>
  </si>
  <si>
    <t>Untung Syahputra</t>
  </si>
  <si>
    <t>jambi</t>
  </si>
  <si>
    <t>Yoga Anugrah</t>
  </si>
  <si>
    <t>Eko Saptiadi</t>
  </si>
  <si>
    <t>Sukaharjo</t>
  </si>
  <si>
    <t>Teguh Syahlany</t>
  </si>
  <si>
    <t>Malang</t>
  </si>
  <si>
    <t>lolos OJT</t>
  </si>
  <si>
    <t>Tengku Rizaki</t>
  </si>
  <si>
    <t>Ruslan Andi</t>
  </si>
  <si>
    <t>Okki Riandika</t>
  </si>
  <si>
    <t>Pontianak</t>
  </si>
  <si>
    <t>Ibnu</t>
  </si>
  <si>
    <t>Marlon</t>
  </si>
  <si>
    <t>Manado</t>
  </si>
  <si>
    <t>Masyuliana</t>
  </si>
  <si>
    <t>Medan</t>
  </si>
  <si>
    <t>Theo</t>
  </si>
  <si>
    <t>palembang</t>
  </si>
  <si>
    <t>J&amp;T</t>
  </si>
  <si>
    <t>-</t>
  </si>
  <si>
    <t>JNE Reg</t>
  </si>
  <si>
    <t>Abdi</t>
  </si>
  <si>
    <t>Mukhlis</t>
  </si>
  <si>
    <t>Tuti</t>
  </si>
  <si>
    <t>Irvan</t>
  </si>
  <si>
    <t>ponorogo</t>
  </si>
  <si>
    <t>Taufik</t>
  </si>
  <si>
    <t>samarida</t>
  </si>
  <si>
    <t>Sutiawan</t>
  </si>
  <si>
    <t>Jelfi Imanda</t>
  </si>
  <si>
    <t>Widiansyah</t>
  </si>
  <si>
    <t>Andhimayno</t>
  </si>
  <si>
    <t>gagal OJT</t>
  </si>
  <si>
    <t>CMC</t>
  </si>
  <si>
    <t>Eko Saptyadi</t>
  </si>
  <si>
    <t>Sulaiman Nur</t>
  </si>
  <si>
    <t>Pare-Pare</t>
  </si>
  <si>
    <t>Yudi Ilhamsyah</t>
  </si>
  <si>
    <t>Muhamad Budi</t>
  </si>
  <si>
    <t>Kalses</t>
  </si>
  <si>
    <t>Risky Setyo</t>
  </si>
  <si>
    <t>Ismail Wahyudi</t>
  </si>
  <si>
    <t>Okki maulana</t>
  </si>
  <si>
    <t>Jakarta</t>
  </si>
  <si>
    <t>Khaizi</t>
  </si>
  <si>
    <t>Pekanbaru</t>
  </si>
  <si>
    <t>Untung</t>
  </si>
  <si>
    <t>Masyuliani</t>
  </si>
  <si>
    <t>Free</t>
  </si>
  <si>
    <t>reza Mahardiansyah</t>
  </si>
  <si>
    <t>Eko Saptiyidi</t>
  </si>
  <si>
    <t>Yoga</t>
  </si>
  <si>
    <t>Irma Sulistiawati</t>
  </si>
  <si>
    <t>Sukoharjo</t>
  </si>
  <si>
    <t>banjarmasin</t>
  </si>
  <si>
    <t>Maret</t>
  </si>
  <si>
    <t>April</t>
  </si>
  <si>
    <t>Total Penjualan</t>
  </si>
  <si>
    <t>Area</t>
  </si>
  <si>
    <t>No.</t>
  </si>
  <si>
    <t>Total Produk</t>
  </si>
  <si>
    <t>Katalog IKF &amp; KZT</t>
  </si>
  <si>
    <t>Katalog INF BCL</t>
  </si>
  <si>
    <t>Eko Saptiyadi</t>
  </si>
  <si>
    <t>Total Katalog</t>
  </si>
  <si>
    <t>Efektifitas</t>
  </si>
  <si>
    <t>free</t>
  </si>
  <si>
    <t>Pengiriman Katalog Terakhir</t>
  </si>
  <si>
    <t>Banjarmasing</t>
  </si>
  <si>
    <t>Yoga Anugrag</t>
  </si>
  <si>
    <t>Mei</t>
  </si>
  <si>
    <t>Jelfi</t>
  </si>
  <si>
    <t>Total penjualan OJT, SA &amp; Reseller Dari Awal</t>
  </si>
  <si>
    <t>Untung Saputra</t>
  </si>
  <si>
    <t>sudah ttd OL</t>
  </si>
  <si>
    <t>Oki Maulana</t>
  </si>
  <si>
    <t>Khaizi Hafhizan</t>
  </si>
  <si>
    <t>Okki Maulana</t>
  </si>
  <si>
    <t>Ismail wahyudi</t>
  </si>
  <si>
    <t>khaizi Hafhizan</t>
  </si>
  <si>
    <t>tidak bergabung</t>
  </si>
  <si>
    <t>Lis Indriyani</t>
  </si>
  <si>
    <t>Rizki Setiawan</t>
  </si>
  <si>
    <t>Andhimaryno</t>
  </si>
  <si>
    <t>Youngky</t>
  </si>
  <si>
    <t>Total Belanja</t>
  </si>
  <si>
    <t>review dan pengajuan 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</si>
</sst>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8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14999847407452621"/>
      <name val="Calibri"/>
      <family val="2"/>
      <charset val="1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87">
    <xf numFmtId="0" fontId="0" fillId="0" borderId="0" xfId="0"/>
    <xf numFmtId="0" fontId="29" fillId="0" borderId="0" xfId="0" applyFont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4" borderId="0" xfId="0" applyFont="1" applyFill="1" applyAlignment="1">
      <alignment horizontal="left"/>
    </xf>
    <xf numFmtId="0" fontId="29" fillId="4" borderId="0" xfId="0" applyFont="1" applyFill="1" applyAlignment="1">
      <alignment vertical="center"/>
    </xf>
    <xf numFmtId="0" fontId="29" fillId="4" borderId="0" xfId="0" applyFont="1" applyFill="1"/>
    <xf numFmtId="0" fontId="29" fillId="5" borderId="0" xfId="0" applyFont="1" applyFill="1" applyAlignment="1">
      <alignment horizontal="center"/>
    </xf>
    <xf numFmtId="0" fontId="29" fillId="5" borderId="0" xfId="0" applyFont="1" applyFill="1" applyAlignment="1">
      <alignment horizontal="left"/>
    </xf>
    <xf numFmtId="0" fontId="29" fillId="4" borderId="0" xfId="0" applyFont="1" applyFill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Alignment="1">
      <alignment horizontal="left" vertical="center"/>
    </xf>
    <xf numFmtId="0" fontId="29" fillId="5" borderId="0" xfId="0" applyFont="1" applyFill="1"/>
    <xf numFmtId="0" fontId="29" fillId="5" borderId="0" xfId="0" quotePrefix="1" applyFont="1" applyFill="1"/>
    <xf numFmtId="0" fontId="29" fillId="5" borderId="0" xfId="0" quotePrefix="1" applyFont="1" applyFill="1" applyAlignment="1">
      <alignment horizontal="left"/>
    </xf>
    <xf numFmtId="0" fontId="30" fillId="5" borderId="0" xfId="0" applyFont="1" applyFill="1"/>
    <xf numFmtId="0" fontId="29" fillId="6" borderId="0" xfId="0" applyFont="1" applyFill="1" applyAlignment="1">
      <alignment horizontal="left"/>
    </xf>
    <xf numFmtId="0" fontId="29" fillId="6" borderId="0" xfId="0" applyFont="1" applyFill="1" applyAlignment="1">
      <alignment horizontal="center"/>
    </xf>
    <xf numFmtId="0" fontId="32" fillId="0" borderId="0" xfId="0" applyFont="1"/>
    <xf numFmtId="0" fontId="29" fillId="6" borderId="0" xfId="0" applyFont="1" applyFill="1"/>
    <xf numFmtId="0" fontId="31" fillId="6" borderId="0" xfId="0" applyFont="1" applyFill="1"/>
    <xf numFmtId="0" fontId="29" fillId="6" borderId="0" xfId="0" applyFont="1" applyFill="1" applyAlignment="1">
      <alignment horizontal="center" vertical="center" wrapText="1"/>
    </xf>
    <xf numFmtId="0" fontId="31" fillId="5" borderId="0" xfId="0" applyFont="1" applyFill="1"/>
    <xf numFmtId="0" fontId="29" fillId="4" borderId="0" xfId="0" applyFont="1" applyFill="1" applyAlignment="1">
      <alignment vertical="center" wrapText="1"/>
    </xf>
    <xf numFmtId="0" fontId="29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33" fillId="4" borderId="0" xfId="0" applyFont="1" applyFill="1" applyAlignment="1"/>
    <xf numFmtId="0" fontId="32" fillId="0" borderId="0" xfId="0" applyFont="1" applyAlignment="1">
      <alignment horizontal="center"/>
    </xf>
    <xf numFmtId="0" fontId="33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right"/>
    </xf>
    <xf numFmtId="0" fontId="29" fillId="5" borderId="0" xfId="0" applyFont="1" applyFill="1" applyAlignment="1">
      <alignment horizontal="right" vertical="center" wrapText="1"/>
    </xf>
    <xf numFmtId="0" fontId="29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left" vertical="center" wrapText="1" indent="1"/>
    </xf>
    <xf numFmtId="0" fontId="35" fillId="5" borderId="0" xfId="0" applyFont="1" applyFill="1" applyAlignment="1">
      <alignment vertical="center" wrapText="1"/>
    </xf>
    <xf numFmtId="0" fontId="29" fillId="5" borderId="0" xfId="0" quotePrefix="1" applyFont="1" applyFill="1" applyAlignment="1">
      <alignment horizontal="right"/>
    </xf>
    <xf numFmtId="37" fontId="0" fillId="0" borderId="0" xfId="1" applyNumberFormat="1" applyFont="1"/>
    <xf numFmtId="37" fontId="38" fillId="9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/>
    </xf>
    <xf numFmtId="37" fontId="35" fillId="8" borderId="0" xfId="1" applyNumberFormat="1" applyFont="1" applyFill="1" applyAlignment="1">
      <alignment vertical="center"/>
    </xf>
    <xf numFmtId="37" fontId="35" fillId="8" borderId="0" xfId="1" applyNumberFormat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9" borderId="0" xfId="1" applyNumberFormat="1" applyFont="1" applyFill="1" applyAlignment="1">
      <alignment horizontal="center"/>
    </xf>
    <xf numFmtId="37" fontId="0" fillId="7" borderId="0" xfId="1" applyNumberFormat="1" applyFont="1" applyFill="1" applyAlignment="1">
      <alignment horizontal="center"/>
    </xf>
    <xf numFmtId="37" fontId="35" fillId="8" borderId="0" xfId="1" applyNumberFormat="1" applyFont="1" applyFill="1"/>
    <xf numFmtId="37" fontId="35" fillId="8" borderId="0" xfId="1" applyNumberFormat="1" applyFont="1" applyFill="1" applyAlignment="1"/>
    <xf numFmtId="37" fontId="0" fillId="0" borderId="0" xfId="1" applyNumberFormat="1" applyFont="1" applyAlignment="1">
      <alignment horizontal="center"/>
    </xf>
    <xf numFmtId="37" fontId="0" fillId="7" borderId="0" xfId="1" applyNumberFormat="1" applyFont="1" applyFill="1" applyAlignment="1">
      <alignment horizontal="right"/>
    </xf>
    <xf numFmtId="0" fontId="31" fillId="4" borderId="0" xfId="0" applyFont="1" applyFill="1"/>
    <xf numFmtId="0" fontId="29" fillId="5" borderId="0" xfId="0" applyFont="1" applyFill="1" applyAlignment="1">
      <alignment horizontal="center" vertical="center"/>
    </xf>
    <xf numFmtId="0" fontId="29" fillId="4" borderId="0" xfId="0" quotePrefix="1" applyFont="1" applyFill="1"/>
    <xf numFmtId="0" fontId="32" fillId="0" borderId="0" xfId="0" applyFont="1" applyAlignment="1">
      <alignment horizontal="center"/>
    </xf>
    <xf numFmtId="0" fontId="34" fillId="4" borderId="0" xfId="0" applyFont="1" applyFill="1" applyAlignment="1">
      <alignment horizontal="left" vertical="center" wrapText="1" indent="1"/>
    </xf>
    <xf numFmtId="0" fontId="34" fillId="5" borderId="0" xfId="0" quotePrefix="1" applyFont="1" applyFill="1" applyAlignment="1">
      <alignment horizontal="right" vertical="center" wrapText="1"/>
    </xf>
    <xf numFmtId="37" fontId="0" fillId="10" borderId="0" xfId="1" applyNumberFormat="1" applyFont="1" applyFill="1" applyAlignment="1">
      <alignment horizontal="center"/>
    </xf>
    <xf numFmtId="37" fontId="38" fillId="9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/>
    </xf>
    <xf numFmtId="37" fontId="38" fillId="9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/>
    </xf>
    <xf numFmtId="0" fontId="29" fillId="4" borderId="0" xfId="0" applyFont="1" applyFill="1" applyAlignment="1">
      <alignment horizontal="center" wrapText="1"/>
    </xf>
    <xf numFmtId="0" fontId="29" fillId="6" borderId="0" xfId="0" applyFont="1" applyFill="1" applyAlignment="1">
      <alignment horizontal="center" wrapText="1"/>
    </xf>
    <xf numFmtId="0" fontId="29" fillId="4" borderId="0" xfId="0" applyFont="1" applyFill="1" applyAlignment="1">
      <alignment horizontal="left" wrapText="1"/>
    </xf>
    <xf numFmtId="0" fontId="29" fillId="4" borderId="0" xfId="0" applyFont="1" applyFill="1" applyAlignment="1">
      <alignment wrapText="1"/>
    </xf>
    <xf numFmtId="0" fontId="29" fillId="4" borderId="0" xfId="0" applyFont="1" applyFill="1" applyAlignment="1">
      <alignment horizontal="right" wrapText="1"/>
    </xf>
    <xf numFmtId="0" fontId="29" fillId="6" borderId="0" xfId="0" quotePrefix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11" borderId="0" xfId="1" applyNumberFormat="1" applyFont="1" applyFill="1"/>
    <xf numFmtId="37" fontId="0" fillId="6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12" borderId="0" xfId="1" applyNumberFormat="1" applyFont="1" applyFill="1"/>
    <xf numFmtId="37" fontId="0" fillId="12" borderId="0" xfId="1" applyNumberFormat="1" applyFont="1" applyFill="1" applyAlignment="1">
      <alignment horizontal="center"/>
    </xf>
    <xf numFmtId="37" fontId="0" fillId="12" borderId="0" xfId="1" applyNumberFormat="1" applyFont="1" applyFill="1" applyAlignment="1">
      <alignment horizontal="right"/>
    </xf>
    <xf numFmtId="37" fontId="0" fillId="13" borderId="0" xfId="1" applyNumberFormat="1" applyFont="1" applyFill="1"/>
    <xf numFmtId="37" fontId="0" fillId="13" borderId="0" xfId="1" applyNumberFormat="1" applyFont="1" applyFill="1" applyAlignment="1">
      <alignment horizontal="center"/>
    </xf>
    <xf numFmtId="37" fontId="0" fillId="13" borderId="0" xfId="1" applyNumberFormat="1" applyFont="1" applyFill="1" applyAlignment="1">
      <alignment horizontal="right"/>
    </xf>
    <xf numFmtId="37" fontId="0" fillId="4" borderId="0" xfId="1" applyNumberFormat="1" applyFont="1" applyFill="1"/>
    <xf numFmtId="37" fontId="0" fillId="4" borderId="0" xfId="1" applyNumberFormat="1" applyFont="1" applyFill="1" applyAlignment="1">
      <alignment horizontal="right"/>
    </xf>
    <xf numFmtId="37" fontId="0" fillId="1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6" borderId="0" xfId="1" applyNumberFormat="1" applyFont="1" applyFill="1" applyAlignment="1">
      <alignment horizontal="left"/>
    </xf>
    <xf numFmtId="37" fontId="0" fillId="6" borderId="0" xfId="1" applyNumberFormat="1" applyFont="1" applyFill="1" applyAlignment="1">
      <alignment horizontal="right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6" borderId="0" xfId="1" applyNumberFormat="1" applyFont="1" applyFill="1"/>
    <xf numFmtId="37" fontId="0" fillId="16" borderId="0" xfId="1" applyNumberFormat="1" applyFont="1" applyFill="1"/>
    <xf numFmtId="37" fontId="0" fillId="16" borderId="0" xfId="1" applyNumberFormat="1" applyFont="1" applyFill="1" applyAlignment="1">
      <alignment horizontal="center"/>
    </xf>
    <xf numFmtId="37" fontId="0" fillId="16" borderId="0" xfId="1" applyNumberFormat="1" applyFont="1" applyFill="1" applyAlignment="1">
      <alignment horizontal="right"/>
    </xf>
    <xf numFmtId="37" fontId="29" fillId="8" borderId="0" xfId="1" applyNumberFormat="1" applyFont="1" applyFill="1"/>
    <xf numFmtId="37" fontId="28" fillId="4" borderId="0" xfId="1" applyNumberFormat="1" applyFont="1" applyFill="1" applyAlignment="1">
      <alignment horizontal="center" vertical="center"/>
    </xf>
    <xf numFmtId="37" fontId="28" fillId="9" borderId="0" xfId="1" applyNumberFormat="1" applyFont="1" applyFill="1" applyAlignment="1">
      <alignment horizontal="center" vertical="center" wrapText="1"/>
    </xf>
    <xf numFmtId="37" fontId="28" fillId="7" borderId="0" xfId="1" applyNumberFormat="1" applyFont="1" applyFill="1" applyAlignment="1">
      <alignment horizontal="center" vertical="center"/>
    </xf>
    <xf numFmtId="37" fontId="29" fillId="8" borderId="0" xfId="1" applyNumberFormat="1" applyFont="1" applyFill="1" applyAlignment="1">
      <alignment horizontal="left"/>
    </xf>
    <xf numFmtId="37" fontId="28" fillId="4" borderId="0" xfId="1" applyNumberFormat="1" applyFont="1" applyFill="1" applyAlignment="1">
      <alignment horizontal="center"/>
    </xf>
    <xf numFmtId="37" fontId="28" fillId="9" borderId="0" xfId="1" applyNumberFormat="1" applyFont="1" applyFill="1" applyAlignment="1">
      <alignment horizontal="center"/>
    </xf>
    <xf numFmtId="37" fontId="28" fillId="7" borderId="0" xfId="1" applyNumberFormat="1" applyFont="1" applyFill="1" applyAlignment="1">
      <alignment horizontal="center"/>
    </xf>
    <xf numFmtId="37" fontId="29" fillId="8" borderId="0" xfId="1" applyNumberFormat="1" applyFont="1" applyFill="1" applyAlignment="1"/>
    <xf numFmtId="37" fontId="0" fillId="3" borderId="0" xfId="1" applyNumberFormat="1" applyFont="1" applyFill="1"/>
    <xf numFmtId="37" fontId="0" fillId="3" borderId="0" xfId="1" applyNumberFormat="1" applyFont="1" applyFill="1" applyAlignment="1">
      <alignment horizontal="center"/>
    </xf>
    <xf numFmtId="37" fontId="0" fillId="3" borderId="0" xfId="1" applyNumberFormat="1" applyFont="1" applyFill="1" applyAlignment="1">
      <alignment horizontal="right"/>
    </xf>
    <xf numFmtId="0" fontId="29" fillId="0" borderId="0" xfId="0" quotePrefix="1" applyFont="1"/>
    <xf numFmtId="37" fontId="0" fillId="4" borderId="0" xfId="1" applyNumberFormat="1" applyFont="1" applyFill="1" applyAlignment="1">
      <alignment horizontal="center"/>
    </xf>
    <xf numFmtId="37" fontId="27" fillId="9" borderId="0" xfId="1" applyNumberFormat="1" applyFont="1" applyFill="1" applyAlignment="1">
      <alignment horizontal="center"/>
    </xf>
    <xf numFmtId="0" fontId="0" fillId="17" borderId="0" xfId="0" applyFill="1"/>
    <xf numFmtId="37" fontId="0" fillId="17" borderId="0" xfId="0" applyNumberFormat="1" applyFill="1"/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29" fillId="8" borderId="0" xfId="1" applyNumberFormat="1" applyFont="1" applyFill="1" applyAlignment="1">
      <alignment horizontal="left" vertical="center" wrapText="1"/>
    </xf>
    <xf numFmtId="37" fontId="29" fillId="4" borderId="0" xfId="1" applyNumberFormat="1" applyFont="1" applyFill="1" applyAlignment="1">
      <alignment horizontal="center" vertical="center"/>
    </xf>
    <xf numFmtId="37" fontId="29" fillId="9" borderId="0" xfId="1" applyNumberFormat="1" applyFont="1" applyFill="1" applyAlignment="1">
      <alignment horizontal="center" vertical="center" wrapText="1"/>
    </xf>
    <xf numFmtId="37" fontId="29" fillId="7" borderId="0" xfId="1" applyNumberFormat="1" applyFont="1" applyFill="1" applyAlignment="1">
      <alignment horizontal="center" vertical="center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0" fillId="4" borderId="0" xfId="1" applyNumberFormat="1" applyFont="1" applyFill="1" applyAlignment="1">
      <alignment horizontal="center"/>
    </xf>
    <xf numFmtId="37" fontId="38" fillId="9" borderId="0" xfId="1" applyNumberFormat="1" applyFont="1" applyFill="1" applyAlignment="1">
      <alignment horizontal="center" vertical="center" wrapText="1"/>
    </xf>
    <xf numFmtId="37" fontId="0" fillId="9" borderId="0" xfId="1" applyNumberFormat="1" applyFont="1" applyFill="1"/>
    <xf numFmtId="37" fontId="0" fillId="9" borderId="0" xfId="1" applyNumberFormat="1" applyFont="1" applyFill="1" applyAlignment="1">
      <alignment horizontal="right"/>
    </xf>
    <xf numFmtId="37" fontId="25" fillId="4" borderId="0" xfId="1" applyNumberFormat="1" applyFont="1" applyFill="1" applyAlignment="1">
      <alignment horizontal="center" vertical="center"/>
    </xf>
    <xf numFmtId="37" fontId="25" fillId="8" borderId="0" xfId="1" applyNumberFormat="1" applyFont="1" applyFill="1" applyAlignment="1">
      <alignment horizontal="left" vertical="center" wrapText="1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38" fillId="8" borderId="0" xfId="1" applyNumberFormat="1" applyFont="1" applyFill="1" applyAlignment="1">
      <alignment horizontal="left" vertical="center"/>
    </xf>
    <xf numFmtId="37" fontId="38" fillId="8" borderId="0" xfId="1" applyNumberFormat="1" applyFont="1" applyFill="1" applyAlignment="1">
      <alignment horizontal="left" vertical="center" wrapText="1"/>
    </xf>
    <xf numFmtId="37" fontId="24" fillId="8" borderId="0" xfId="1" applyNumberFormat="1" applyFont="1" applyFill="1" applyAlignment="1">
      <alignment horizontal="left" vertical="center"/>
    </xf>
    <xf numFmtId="37" fontId="24" fillId="8" borderId="0" xfId="1" applyNumberFormat="1" applyFont="1" applyFill="1" applyAlignment="1">
      <alignment horizontal="left" vertical="center" wrapText="1"/>
    </xf>
    <xf numFmtId="37" fontId="24" fillId="4" borderId="0" xfId="1" applyNumberFormat="1" applyFont="1" applyFill="1" applyAlignment="1">
      <alignment horizontal="center" vertical="center"/>
    </xf>
    <xf numFmtId="37" fontId="24" fillId="9" borderId="0" xfId="1" applyNumberFormat="1" applyFont="1" applyFill="1" applyAlignment="1">
      <alignment horizontal="center" vertical="center" wrapText="1"/>
    </xf>
    <xf numFmtId="9" fontId="0" fillId="0" borderId="0" xfId="1" applyNumberFormat="1" applyFont="1"/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 vertical="center" wrapText="1"/>
    </xf>
    <xf numFmtId="37" fontId="0" fillId="17" borderId="0" xfId="0" applyNumberFormat="1" applyFill="1" applyAlignment="1">
      <alignment horizontal="right"/>
    </xf>
    <xf numFmtId="37" fontId="0" fillId="17" borderId="0" xfId="0" applyNumberFormat="1" applyFill="1" applyAlignment="1">
      <alignment horizontal="center"/>
    </xf>
    <xf numFmtId="37" fontId="23" fillId="8" borderId="0" xfId="1" applyNumberFormat="1" applyFont="1" applyFill="1" applyAlignment="1">
      <alignment horizontal="left" vertical="center"/>
    </xf>
    <xf numFmtId="37" fontId="23" fillId="8" borderId="0" xfId="1" applyNumberFormat="1" applyFont="1" applyFill="1" applyAlignment="1">
      <alignment horizontal="left" vertical="center" wrapText="1"/>
    </xf>
    <xf numFmtId="37" fontId="0" fillId="4" borderId="0" xfId="1" applyNumberFormat="1" applyFont="1" applyFill="1" applyAlignment="1">
      <alignment horizontal="center"/>
    </xf>
    <xf numFmtId="37" fontId="38" fillId="9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39" fillId="8" borderId="0" xfId="1" applyNumberFormat="1" applyFont="1" applyFill="1" applyAlignment="1">
      <alignment horizontal="left" vertical="center"/>
    </xf>
    <xf numFmtId="37" fontId="40" fillId="8" borderId="0" xfId="1" applyNumberFormat="1" applyFont="1" applyFill="1" applyAlignment="1">
      <alignment horizontal="left" vertical="center"/>
    </xf>
    <xf numFmtId="0" fontId="40" fillId="8" borderId="0" xfId="0" applyFont="1" applyFill="1"/>
    <xf numFmtId="37" fontId="40" fillId="8" borderId="0" xfId="1" applyNumberFormat="1" applyFont="1" applyFill="1"/>
    <xf numFmtId="37" fontId="40" fillId="8" borderId="0" xfId="1" applyNumberFormat="1" applyFont="1" applyFill="1" applyAlignment="1">
      <alignment vertical="center"/>
    </xf>
    <xf numFmtId="37" fontId="41" fillId="3" borderId="0" xfId="1" applyNumberFormat="1" applyFont="1" applyFill="1"/>
    <xf numFmtId="37" fontId="0" fillId="10" borderId="0" xfId="1" applyNumberFormat="1" applyFont="1" applyFill="1"/>
    <xf numFmtId="37" fontId="22" fillId="9" borderId="0" xfId="1" applyNumberFormat="1" applyFont="1" applyFill="1" applyAlignment="1">
      <alignment horizontal="left" vertical="center"/>
    </xf>
    <xf numFmtId="37" fontId="22" fillId="8" borderId="0" xfId="1" applyNumberFormat="1" applyFont="1" applyFill="1" applyAlignment="1">
      <alignment horizontal="left" vertical="center"/>
    </xf>
    <xf numFmtId="37" fontId="22" fillId="8" borderId="0" xfId="1" applyNumberFormat="1" applyFont="1" applyFill="1" applyAlignment="1">
      <alignment horizontal="left" vertical="center" wrapText="1"/>
    </xf>
    <xf numFmtId="37" fontId="0" fillId="18" borderId="0" xfId="1" applyNumberFormat="1" applyFont="1" applyFill="1"/>
    <xf numFmtId="37" fontId="21" fillId="9" borderId="0" xfId="1" applyNumberFormat="1" applyFont="1" applyFill="1" applyAlignment="1">
      <alignment horizontal="left" vertical="center"/>
    </xf>
    <xf numFmtId="37" fontId="20" fillId="9" borderId="0" xfId="1" applyNumberFormat="1" applyFont="1" applyFill="1" applyAlignment="1">
      <alignment horizontal="left" vertical="center"/>
    </xf>
    <xf numFmtId="37" fontId="19" fillId="9" borderId="0" xfId="1" applyNumberFormat="1" applyFont="1" applyFill="1" applyAlignment="1">
      <alignment horizontal="left" vertical="center"/>
    </xf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18" fillId="9" borderId="0" xfId="1" applyNumberFormat="1" applyFont="1" applyFill="1" applyAlignment="1">
      <alignment horizontal="left" vertical="center"/>
    </xf>
    <xf numFmtId="37" fontId="38" fillId="7" borderId="0" xfId="1" applyNumberFormat="1" applyFont="1" applyFill="1" applyAlignment="1">
      <alignment horizontal="center" vertical="center"/>
    </xf>
    <xf numFmtId="37" fontId="17" fillId="8" borderId="0" xfId="1" applyNumberFormat="1" applyFont="1" applyFill="1" applyAlignment="1">
      <alignment horizontal="left" vertical="center"/>
    </xf>
    <xf numFmtId="37" fontId="17" fillId="8" borderId="0" xfId="1" applyNumberFormat="1" applyFont="1" applyFill="1" applyAlignment="1">
      <alignment horizontal="left" vertical="center" wrapText="1"/>
    </xf>
    <xf numFmtId="37" fontId="17" fillId="9" borderId="0" xfId="1" applyNumberFormat="1" applyFont="1" applyFill="1" applyAlignment="1">
      <alignment horizontal="left" vertical="center"/>
    </xf>
    <xf numFmtId="37" fontId="16" fillId="9" borderId="0" xfId="1" applyNumberFormat="1" applyFont="1" applyFill="1" applyAlignment="1">
      <alignment horizontal="left" vertical="center"/>
    </xf>
    <xf numFmtId="37" fontId="16" fillId="8" borderId="0" xfId="1" applyNumberFormat="1" applyFont="1" applyFill="1" applyAlignment="1">
      <alignment horizontal="left" vertical="center"/>
    </xf>
    <xf numFmtId="37" fontId="16" fillId="8" borderId="0" xfId="1" applyNumberFormat="1" applyFont="1" applyFill="1" applyAlignment="1">
      <alignment horizontal="left" vertical="center" wrapText="1"/>
    </xf>
    <xf numFmtId="0" fontId="0" fillId="0" borderId="0" xfId="0" applyAlignment="1">
      <alignment wrapText="1"/>
    </xf>
    <xf numFmtId="37" fontId="38" fillId="9" borderId="0" xfId="1" applyNumberFormat="1" applyFont="1" applyFill="1" applyAlignment="1">
      <alignment horizontal="left" vertical="center"/>
    </xf>
    <xf numFmtId="37" fontId="38" fillId="7" borderId="0" xfId="1" applyNumberFormat="1" applyFont="1" applyFill="1" applyAlignment="1">
      <alignment horizontal="center" vertical="center"/>
    </xf>
    <xf numFmtId="37" fontId="15" fillId="9" borderId="0" xfId="1" applyNumberFormat="1" applyFont="1" applyFill="1" applyAlignment="1">
      <alignment horizontal="left" vertical="center"/>
    </xf>
    <xf numFmtId="37" fontId="0" fillId="4" borderId="0" xfId="1" applyNumberFormat="1" applyFont="1" applyFill="1" applyAlignment="1">
      <alignment horizontal="center"/>
    </xf>
    <xf numFmtId="37" fontId="14" fillId="9" borderId="0" xfId="1" applyNumberFormat="1" applyFont="1" applyFill="1" applyAlignment="1">
      <alignment horizontal="left" vertical="center"/>
    </xf>
    <xf numFmtId="37" fontId="14" fillId="8" borderId="0" xfId="1" applyNumberFormat="1" applyFont="1" applyFill="1" applyAlignment="1">
      <alignment horizontal="left" vertical="center"/>
    </xf>
    <xf numFmtId="37" fontId="14" fillId="8" borderId="0" xfId="1" applyNumberFormat="1" applyFont="1" applyFill="1" applyAlignment="1">
      <alignment horizontal="left" vertical="center" wrapText="1"/>
    </xf>
    <xf numFmtId="37" fontId="38" fillId="7" borderId="0" xfId="1" applyNumberFormat="1" applyFont="1" applyFill="1" applyAlignment="1">
      <alignment horizontal="center" vertic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13" fillId="8" borderId="0" xfId="1" applyNumberFormat="1" applyFont="1" applyFill="1" applyAlignment="1">
      <alignment horizontal="left" vertical="center"/>
    </xf>
    <xf numFmtId="37" fontId="13" fillId="9" borderId="0" xfId="1" applyNumberFormat="1" applyFont="1" applyFill="1" applyAlignment="1">
      <alignment horizontal="left" vertical="center"/>
    </xf>
    <xf numFmtId="37" fontId="13" fillId="8" borderId="0" xfId="1" applyNumberFormat="1" applyFont="1" applyFill="1" applyAlignment="1">
      <alignment horizontal="left" vertical="center" wrapText="1"/>
    </xf>
    <xf numFmtId="37" fontId="38" fillId="7" borderId="0" xfId="1" applyNumberFormat="1" applyFont="1" applyFill="1" applyAlignment="1">
      <alignment horizontal="center" vertical="center"/>
    </xf>
    <xf numFmtId="37" fontId="12" fillId="8" borderId="0" xfId="1" applyNumberFormat="1" applyFont="1" applyFill="1" applyAlignment="1">
      <alignment horizontal="left" vertical="center"/>
    </xf>
    <xf numFmtId="37" fontId="12" fillId="8" borderId="0" xfId="1" applyNumberFormat="1" applyFont="1" applyFill="1" applyAlignment="1">
      <alignment horizontal="left" vertical="center" wrapText="1"/>
    </xf>
    <xf numFmtId="37" fontId="12" fillId="4" borderId="0" xfId="1" applyNumberFormat="1" applyFont="1" applyFill="1" applyAlignment="1">
      <alignment horizontal="center" vertical="center"/>
    </xf>
    <xf numFmtId="37" fontId="0" fillId="18" borderId="0" xfId="1" applyNumberFormat="1" applyFont="1" applyFill="1" applyAlignment="1">
      <alignment horizontal="center"/>
    </xf>
    <xf numFmtId="37" fontId="0" fillId="2" borderId="0" xfId="1" applyNumberFormat="1" applyFont="1" applyFill="1"/>
    <xf numFmtId="37" fontId="0" fillId="2" borderId="0" xfId="1" applyNumberFormat="1" applyFont="1" applyFill="1" applyAlignment="1">
      <alignment horizontal="center"/>
    </xf>
    <xf numFmtId="37" fontId="0" fillId="19" borderId="0" xfId="1" applyNumberFormat="1" applyFont="1" applyFill="1"/>
    <xf numFmtId="37" fontId="0" fillId="19" borderId="0" xfId="1" applyNumberFormat="1" applyFont="1" applyFill="1" applyAlignment="1">
      <alignment horizontal="center"/>
    </xf>
    <xf numFmtId="37" fontId="0" fillId="9" borderId="0" xfId="1" applyNumberFormat="1" applyFont="1" applyFill="1" applyAlignment="1">
      <alignment horizontal="left"/>
    </xf>
    <xf numFmtId="37" fontId="11" fillId="8" borderId="0" xfId="1" applyNumberFormat="1" applyFont="1" applyFill="1" applyAlignment="1">
      <alignment horizontal="left" vertical="center"/>
    </xf>
    <xf numFmtId="37" fontId="11" fillId="8" borderId="0" xfId="1" applyNumberFormat="1" applyFont="1" applyFill="1" applyAlignment="1">
      <alignment horizontal="left" vertical="center" wrapText="1"/>
    </xf>
    <xf numFmtId="37" fontId="11" fillId="9" borderId="0" xfId="1" applyNumberFormat="1" applyFont="1" applyFill="1" applyAlignment="1">
      <alignment horizontal="left" vertical="center"/>
    </xf>
    <xf numFmtId="37" fontId="38" fillId="7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 vertical="center"/>
    </xf>
    <xf numFmtId="37" fontId="28" fillId="9" borderId="0" xfId="1" applyNumberFormat="1" applyFont="1" applyFill="1" applyAlignment="1">
      <alignment horizontal="center" vertical="center"/>
    </xf>
    <xf numFmtId="37" fontId="26" fillId="9" borderId="0" xfId="1" applyNumberFormat="1" applyFont="1" applyFill="1" applyAlignment="1">
      <alignment horizontal="center" vertical="center"/>
    </xf>
    <xf numFmtId="0" fontId="0" fillId="0" borderId="0" xfId="0" applyAlignment="1"/>
    <xf numFmtId="37" fontId="10" fillId="9" borderId="0" xfId="1" applyNumberFormat="1" applyFont="1" applyFill="1" applyAlignment="1">
      <alignment horizontal="left" vertical="center"/>
    </xf>
    <xf numFmtId="37" fontId="10" fillId="8" borderId="0" xfId="1" applyNumberFormat="1" applyFont="1" applyFill="1" applyAlignment="1">
      <alignment horizontal="left" vertical="center"/>
    </xf>
    <xf numFmtId="37" fontId="10" fillId="8" borderId="0" xfId="1" applyNumberFormat="1" applyFont="1" applyFill="1" applyAlignment="1">
      <alignment horizontal="left" vertical="center" wrapText="1"/>
    </xf>
    <xf numFmtId="37" fontId="38" fillId="7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/>
    </xf>
    <xf numFmtId="37" fontId="9" fillId="4" borderId="0" xfId="1" applyNumberFormat="1" applyFont="1" applyFill="1" applyAlignment="1">
      <alignment horizontal="center" vertical="center"/>
    </xf>
    <xf numFmtId="37" fontId="8" fillId="9" borderId="0" xfId="1" applyNumberFormat="1" applyFont="1" applyFill="1" applyAlignment="1">
      <alignment horizontal="left" vertical="center"/>
    </xf>
    <xf numFmtId="37" fontId="0" fillId="20" borderId="0" xfId="1" applyNumberFormat="1" applyFont="1" applyFill="1"/>
    <xf numFmtId="37" fontId="0" fillId="20" borderId="0" xfId="1" applyNumberFormat="1" applyFont="1" applyFill="1" applyAlignment="1">
      <alignment horizontal="center"/>
    </xf>
    <xf numFmtId="37" fontId="7" fillId="9" borderId="0" xfId="1" applyNumberFormat="1" applyFont="1" applyFill="1" applyAlignment="1">
      <alignment horizontal="left" vertical="center"/>
    </xf>
    <xf numFmtId="0" fontId="38" fillId="17" borderId="0" xfId="0" applyFont="1" applyFill="1" applyAlignment="1">
      <alignment horizontal="center"/>
    </xf>
    <xf numFmtId="37" fontId="0" fillId="21" borderId="0" xfId="0" applyNumberFormat="1" applyFill="1"/>
    <xf numFmtId="0" fontId="0" fillId="3" borderId="0" xfId="0" applyFill="1"/>
    <xf numFmtId="37" fontId="0" fillId="3" borderId="0" xfId="0" applyNumberFormat="1" applyFill="1"/>
    <xf numFmtId="0" fontId="0" fillId="17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8" fillId="3" borderId="0" xfId="0" applyFont="1" applyFill="1" applyAlignment="1">
      <alignment horizontal="center"/>
    </xf>
    <xf numFmtId="0" fontId="38" fillId="17" borderId="0" xfId="0" applyFont="1" applyFill="1" applyAlignment="1">
      <alignment horizontal="center" vertical="center"/>
    </xf>
    <xf numFmtId="0" fontId="38" fillId="17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21" borderId="0" xfId="0" applyFill="1"/>
    <xf numFmtId="2" fontId="0" fillId="22" borderId="0" xfId="0" applyNumberFormat="1" applyFill="1"/>
    <xf numFmtId="37" fontId="6" fillId="9" borderId="0" xfId="1" applyNumberFormat="1" applyFont="1" applyFill="1" applyAlignment="1">
      <alignment horizontal="left" vertical="center"/>
    </xf>
    <xf numFmtId="37" fontId="6" fillId="9" borderId="0" xfId="1" applyNumberFormat="1" applyFont="1" applyFill="1" applyAlignment="1">
      <alignment horizontal="center" vertical="center" wrapText="1"/>
    </xf>
    <xf numFmtId="37" fontId="0" fillId="4" borderId="0" xfId="1" applyNumberFormat="1" applyFont="1" applyFill="1" applyAlignment="1">
      <alignment horizontal="center"/>
    </xf>
    <xf numFmtId="37" fontId="0" fillId="23" borderId="0" xfId="1" applyNumberFormat="1" applyFont="1" applyFill="1"/>
    <xf numFmtId="37" fontId="0" fillId="23" borderId="0" xfId="1" applyNumberFormat="1" applyFont="1" applyFill="1" applyAlignment="1">
      <alignment horizontal="center"/>
    </xf>
    <xf numFmtId="37" fontId="5" fillId="9" borderId="0" xfId="1" applyNumberFormat="1" applyFont="1" applyFill="1" applyAlignment="1">
      <alignment horizontal="left" vertical="center"/>
    </xf>
    <xf numFmtId="37" fontId="0" fillId="15" borderId="0" xfId="1" applyNumberFormat="1" applyFont="1" applyFill="1" applyAlignment="1"/>
    <xf numFmtId="0" fontId="38" fillId="11" borderId="0" xfId="0" applyFont="1" applyFill="1"/>
    <xf numFmtId="37" fontId="38" fillId="11" borderId="0" xfId="0" applyNumberFormat="1" applyFont="1" applyFill="1"/>
    <xf numFmtId="37" fontId="0" fillId="4" borderId="0" xfId="1" applyNumberFormat="1" applyFont="1" applyFill="1" applyAlignment="1">
      <alignment horizontal="center"/>
    </xf>
    <xf numFmtId="37" fontId="0" fillId="4" borderId="0" xfId="1" applyNumberFormat="1" applyFont="1" applyFill="1" applyAlignment="1">
      <alignment horizontal="center"/>
    </xf>
    <xf numFmtId="37" fontId="0" fillId="4" borderId="0" xfId="0" applyNumberFormat="1" applyFill="1"/>
    <xf numFmtId="37" fontId="0" fillId="15" borderId="0" xfId="1" applyNumberFormat="1" applyFont="1" applyFill="1" applyAlignment="1">
      <alignment horizontal="center"/>
    </xf>
    <xf numFmtId="37" fontId="0" fillId="15" borderId="0" xfId="1" applyNumberFormat="1" applyFont="1" applyFill="1"/>
    <xf numFmtId="37" fontId="38" fillId="7" borderId="0" xfId="1" applyNumberFormat="1" applyFont="1" applyFill="1" applyAlignment="1">
      <alignment horizontal="center" vertical="center"/>
    </xf>
    <xf numFmtId="37" fontId="4" fillId="8" borderId="0" xfId="1" applyNumberFormat="1" applyFont="1" applyFill="1" applyAlignment="1">
      <alignment horizontal="left" vertical="center"/>
    </xf>
    <xf numFmtId="37" fontId="4" fillId="8" borderId="0" xfId="1" applyNumberFormat="1" applyFont="1" applyFill="1" applyAlignment="1">
      <alignment horizontal="left" vertical="center" wrapText="1"/>
    </xf>
    <xf numFmtId="37" fontId="0" fillId="24" borderId="0" xfId="1" applyNumberFormat="1" applyFont="1" applyFill="1"/>
    <xf numFmtId="37" fontId="0" fillId="24" borderId="0" xfId="1" applyNumberFormat="1" applyFont="1" applyFill="1" applyAlignment="1">
      <alignment horizontal="center"/>
    </xf>
    <xf numFmtId="37" fontId="0" fillId="25" borderId="0" xfId="1" applyNumberFormat="1" applyFont="1" applyFill="1"/>
    <xf numFmtId="37" fontId="0" fillId="25" borderId="0" xfId="1" applyNumberFormat="1" applyFont="1" applyFill="1" applyAlignment="1">
      <alignment horizontal="center"/>
    </xf>
    <xf numFmtId="37" fontId="0" fillId="26" borderId="0" xfId="1" applyNumberFormat="1" applyFont="1" applyFill="1"/>
    <xf numFmtId="37" fontId="0" fillId="26" borderId="0" xfId="1" applyNumberFormat="1" applyFont="1" applyFill="1" applyAlignment="1">
      <alignment horizontal="center"/>
    </xf>
    <xf numFmtId="37" fontId="0" fillId="0" borderId="0" xfId="0" applyNumberFormat="1"/>
    <xf numFmtId="37" fontId="38" fillId="7" borderId="0" xfId="1" applyNumberFormat="1" applyFont="1" applyFill="1" applyAlignment="1">
      <alignment horizontal="center" vertical="center"/>
    </xf>
    <xf numFmtId="37" fontId="3" fillId="8" borderId="0" xfId="1" applyNumberFormat="1" applyFont="1" applyFill="1" applyAlignment="1">
      <alignment horizontal="left" vertical="center"/>
    </xf>
    <xf numFmtId="37" fontId="3" fillId="8" borderId="0" xfId="1" applyNumberFormat="1" applyFont="1" applyFill="1" applyAlignment="1">
      <alignment horizontal="left" vertical="center" wrapText="1"/>
    </xf>
    <xf numFmtId="37" fontId="0" fillId="27" borderId="0" xfId="1" applyNumberFormat="1" applyFont="1" applyFill="1"/>
    <xf numFmtId="37" fontId="0" fillId="27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2" fillId="4" borderId="0" xfId="1" applyNumberFormat="1" applyFont="1" applyFill="1" applyAlignment="1">
      <alignment horizontal="center" vertical="center"/>
    </xf>
    <xf numFmtId="37" fontId="2" fillId="8" borderId="0" xfId="1" applyNumberFormat="1" applyFont="1" applyFill="1" applyAlignment="1">
      <alignment horizontal="left" vertical="center"/>
    </xf>
    <xf numFmtId="37" fontId="2" fillId="8" borderId="0" xfId="1" applyNumberFormat="1" applyFont="1" applyFill="1" applyAlignment="1">
      <alignment horizontal="left" vertical="center" wrapText="1"/>
    </xf>
    <xf numFmtId="37" fontId="0" fillId="4" borderId="0" xfId="1" applyNumberFormat="1" applyFont="1" applyFill="1" applyAlignment="1">
      <alignment horizontal="center"/>
    </xf>
    <xf numFmtId="37" fontId="1" fillId="4" borderId="0" xfId="1" applyNumberFormat="1" applyFont="1" applyFill="1" applyAlignment="1">
      <alignment horizontal="center" vertical="center"/>
    </xf>
    <xf numFmtId="37" fontId="38" fillId="7" borderId="0" xfId="1" applyNumberFormat="1" applyFont="1" applyFill="1" applyAlignment="1">
      <alignment horizontal="center" vertical="center"/>
    </xf>
    <xf numFmtId="9" fontId="0" fillId="0" borderId="0" xfId="2" applyFont="1"/>
    <xf numFmtId="37" fontId="0" fillId="15" borderId="0" xfId="1" applyNumberFormat="1" applyFont="1" applyFill="1" applyAlignment="1">
      <alignment horizontal="left"/>
    </xf>
    <xf numFmtId="37" fontId="0" fillId="4" borderId="0" xfId="1" applyNumberFormat="1" applyFont="1" applyFill="1" applyAlignment="1">
      <alignment horizontal="center"/>
    </xf>
    <xf numFmtId="37" fontId="0" fillId="15" borderId="0" xfId="1" applyNumberFormat="1" applyFont="1" applyFill="1" applyAlignment="1">
      <alignment horizontal="center"/>
    </xf>
    <xf numFmtId="0" fontId="36" fillId="0" borderId="0" xfId="0" applyFont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/>
    </xf>
    <xf numFmtId="37" fontId="38" fillId="8" borderId="0" xfId="1" applyNumberFormat="1" applyFont="1" applyFill="1" applyAlignment="1">
      <alignment horizontal="center" vertical="center"/>
    </xf>
    <xf numFmtId="37" fontId="38" fillId="8" borderId="0" xfId="1" applyNumberFormat="1" applyFont="1" applyFill="1" applyAlignment="1">
      <alignment horizontal="center" vertical="center" wrapText="1"/>
    </xf>
    <xf numFmtId="37" fontId="38" fillId="4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/>
    </xf>
    <xf numFmtId="37" fontId="38" fillId="0" borderId="0" xfId="1" applyNumberFormat="1" applyFont="1" applyAlignment="1">
      <alignment horizontal="center" vertical="center"/>
    </xf>
    <xf numFmtId="37" fontId="0" fillId="4" borderId="0" xfId="1" applyNumberFormat="1" applyFont="1" applyFill="1" applyAlignment="1">
      <alignment horizontal="center"/>
    </xf>
    <xf numFmtId="37" fontId="38" fillId="7" borderId="0" xfId="1" applyNumberFormat="1" applyFont="1" applyFill="1" applyAlignment="1">
      <alignment horizontal="center" vertical="center"/>
    </xf>
    <xf numFmtId="37" fontId="38" fillId="9" borderId="0" xfId="1" applyNumberFormat="1" applyFont="1" applyFill="1" applyAlignment="1">
      <alignment horizontal="center" vertical="center" wrapText="1"/>
    </xf>
    <xf numFmtId="37" fontId="0" fillId="14" borderId="0" xfId="1" applyNumberFormat="1" applyFont="1" applyFill="1" applyAlignment="1">
      <alignment horizontal="center" wrapText="1"/>
    </xf>
    <xf numFmtId="37" fontId="0" fillId="14" borderId="0" xfId="1" applyNumberFormat="1" applyFont="1" applyFill="1" applyAlignment="1">
      <alignment horizontal="center" vertical="center"/>
    </xf>
    <xf numFmtId="37" fontId="0" fillId="15" borderId="0" xfId="1" applyNumberFormat="1" applyFont="1" applyFill="1" applyAlignment="1">
      <alignment horizontal="center"/>
    </xf>
    <xf numFmtId="37" fontId="0" fillId="15" borderId="0" xfId="1" applyNumberFormat="1" applyFont="1" applyFill="1" applyAlignment="1">
      <alignment horizontal="right"/>
    </xf>
    <xf numFmtId="37" fontId="38" fillId="14" borderId="0" xfId="1" applyNumberFormat="1" applyFont="1" applyFill="1" applyAlignment="1">
      <alignment horizontal="center"/>
    </xf>
    <xf numFmtId="37" fontId="0" fillId="15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71"/>
  <sheetViews>
    <sheetView topLeftCell="A43" zoomScale="90" zoomScaleNormal="90" workbookViewId="0">
      <selection activeCell="A5" sqref="A5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7109375" style="2" bestFit="1" customWidth="1"/>
    <col min="8" max="9" width="9.140625" style="2"/>
    <col min="10" max="10" width="9.140625" style="3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268" t="s">
        <v>208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55"/>
      <c r="K2" s="29"/>
      <c r="L2" s="29"/>
      <c r="M2" s="29"/>
      <c r="N2" s="29"/>
      <c r="O2" s="29"/>
    </row>
    <row r="3" spans="1:15" s="3" customFormat="1" x14ac:dyDescent="0.2">
      <c r="A3" s="270" t="s">
        <v>0</v>
      </c>
      <c r="B3" s="270" t="s">
        <v>1</v>
      </c>
      <c r="C3" s="270" t="s">
        <v>8</v>
      </c>
      <c r="D3" s="270" t="s">
        <v>9</v>
      </c>
      <c r="E3" s="270" t="s">
        <v>14</v>
      </c>
      <c r="F3" s="270" t="s">
        <v>2</v>
      </c>
      <c r="G3" s="270" t="s">
        <v>20</v>
      </c>
      <c r="H3" s="269" t="s">
        <v>3</v>
      </c>
      <c r="I3" s="269"/>
      <c r="J3" s="269"/>
      <c r="K3" s="269" t="s">
        <v>110</v>
      </c>
      <c r="L3" s="269" t="s">
        <v>4</v>
      </c>
      <c r="M3" s="269"/>
      <c r="N3" s="269"/>
      <c r="O3" s="269"/>
    </row>
    <row r="4" spans="1:15" s="5" customFormat="1" x14ac:dyDescent="0.25">
      <c r="A4" s="270"/>
      <c r="B4" s="270"/>
      <c r="C4" s="270"/>
      <c r="D4" s="270"/>
      <c r="E4" s="270"/>
      <c r="F4" s="270"/>
      <c r="G4" s="270"/>
      <c r="H4" s="4" t="s">
        <v>7</v>
      </c>
      <c r="I4" s="4" t="s">
        <v>5</v>
      </c>
      <c r="J4" s="4" t="s">
        <v>6</v>
      </c>
      <c r="K4" s="269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2" t="s">
        <v>442</v>
      </c>
      <c r="C5" s="2" t="s">
        <v>17</v>
      </c>
      <c r="D5" s="2" t="s">
        <v>443</v>
      </c>
      <c r="F5" s="2" t="s">
        <v>444</v>
      </c>
      <c r="G5" s="2">
        <v>87780808223</v>
      </c>
      <c r="J5" s="3" t="s">
        <v>109</v>
      </c>
      <c r="K5" s="1" t="s">
        <v>465</v>
      </c>
    </row>
    <row r="6" spans="1:15" x14ac:dyDescent="0.2">
      <c r="A6" s="2" t="s">
        <v>445</v>
      </c>
      <c r="C6" s="2" t="s">
        <v>405</v>
      </c>
      <c r="D6" s="2" t="s">
        <v>335</v>
      </c>
      <c r="F6" s="2" t="s">
        <v>35</v>
      </c>
      <c r="G6" s="2">
        <v>85272432406</v>
      </c>
      <c r="J6" s="3" t="s">
        <v>109</v>
      </c>
      <c r="K6" s="1" t="s">
        <v>465</v>
      </c>
    </row>
    <row r="7" spans="1:15" x14ac:dyDescent="0.2">
      <c r="A7" s="2" t="s">
        <v>448</v>
      </c>
      <c r="C7" s="2" t="s">
        <v>17</v>
      </c>
      <c r="D7" s="2" t="s">
        <v>449</v>
      </c>
      <c r="F7" s="2" t="s">
        <v>123</v>
      </c>
      <c r="G7" s="2">
        <v>83802988929</v>
      </c>
      <c r="J7" s="3" t="s">
        <v>109</v>
      </c>
      <c r="K7" s="1" t="s">
        <v>465</v>
      </c>
    </row>
    <row r="8" spans="1:15" x14ac:dyDescent="0.2">
      <c r="A8" s="2" t="s">
        <v>455</v>
      </c>
      <c r="C8" s="2" t="s">
        <v>405</v>
      </c>
      <c r="D8" s="2" t="s">
        <v>456</v>
      </c>
      <c r="F8" s="2" t="s">
        <v>65</v>
      </c>
      <c r="G8" s="2">
        <v>82370308254</v>
      </c>
      <c r="J8" s="3" t="s">
        <v>109</v>
      </c>
      <c r="K8" s="1" t="s">
        <v>465</v>
      </c>
    </row>
    <row r="9" spans="1:15" x14ac:dyDescent="0.2">
      <c r="A9" s="2" t="s">
        <v>458</v>
      </c>
      <c r="C9" s="2" t="s">
        <v>405</v>
      </c>
      <c r="D9" s="2" t="s">
        <v>59</v>
      </c>
      <c r="F9" s="2" t="s">
        <v>212</v>
      </c>
      <c r="G9" s="2">
        <v>82384346212</v>
      </c>
      <c r="J9" s="3" t="s">
        <v>109</v>
      </c>
      <c r="K9" s="1" t="s">
        <v>465</v>
      </c>
    </row>
    <row r="10" spans="1:15" x14ac:dyDescent="0.2">
      <c r="A10" s="2" t="s">
        <v>470</v>
      </c>
      <c r="J10" s="3" t="s">
        <v>109</v>
      </c>
      <c r="K10" s="1" t="s">
        <v>465</v>
      </c>
    </row>
    <row r="16" spans="1:15" s="21" customFormat="1" x14ac:dyDescent="0.2">
      <c r="B16" s="18"/>
      <c r="D16" s="22"/>
      <c r="J16" s="19"/>
      <c r="K16" s="18"/>
      <c r="L16" s="18"/>
    </row>
    <row r="17" spans="1:15" s="21" customFormat="1" x14ac:dyDescent="0.2">
      <c r="B17" s="18"/>
      <c r="D17" s="22"/>
      <c r="J17" s="19"/>
      <c r="K17" s="18"/>
      <c r="L17" s="18"/>
    </row>
    <row r="18" spans="1:15" s="21" customFormat="1" x14ac:dyDescent="0.2">
      <c r="B18" s="18"/>
      <c r="D18" s="22"/>
      <c r="J18" s="19"/>
      <c r="K18" s="18"/>
      <c r="L18" s="18"/>
    </row>
    <row r="19" spans="1:15" ht="15.75" x14ac:dyDescent="0.25">
      <c r="A19" s="20" t="s">
        <v>132</v>
      </c>
    </row>
    <row r="20" spans="1:15" s="1" customFormat="1" x14ac:dyDescent="0.2">
      <c r="A20" s="13" t="s">
        <v>32</v>
      </c>
      <c r="B20" s="10" t="s">
        <v>18</v>
      </c>
      <c r="C20" s="10" t="s">
        <v>37</v>
      </c>
      <c r="D20" s="13" t="s">
        <v>33</v>
      </c>
      <c r="E20" s="10" t="s">
        <v>34</v>
      </c>
      <c r="F20" s="10" t="s">
        <v>35</v>
      </c>
      <c r="G20" s="16" t="s">
        <v>38</v>
      </c>
      <c r="H20" s="10"/>
      <c r="I20" s="10"/>
      <c r="J20" s="9" t="s">
        <v>109</v>
      </c>
      <c r="K20" s="10" t="s">
        <v>115</v>
      </c>
      <c r="L20" s="10" t="s">
        <v>130</v>
      </c>
    </row>
    <row r="21" spans="1:15" s="1" customFormat="1" x14ac:dyDescent="0.2">
      <c r="A21" s="13" t="s">
        <v>51</v>
      </c>
      <c r="B21" s="10" t="s">
        <v>18</v>
      </c>
      <c r="C21" s="10" t="s">
        <v>31</v>
      </c>
      <c r="D21" s="10" t="s">
        <v>52</v>
      </c>
      <c r="E21" s="10" t="s">
        <v>53</v>
      </c>
      <c r="F21" s="13" t="s">
        <v>54</v>
      </c>
      <c r="G21" s="16" t="s">
        <v>55</v>
      </c>
      <c r="H21" s="10"/>
      <c r="I21" s="10"/>
      <c r="J21" s="9" t="s">
        <v>109</v>
      </c>
      <c r="K21" s="10" t="s">
        <v>111</v>
      </c>
      <c r="L21" s="10" t="s">
        <v>131</v>
      </c>
    </row>
    <row r="22" spans="1:15" x14ac:dyDescent="0.2">
      <c r="A22" s="12" t="s">
        <v>66</v>
      </c>
      <c r="B22" s="10" t="s">
        <v>18</v>
      </c>
      <c r="C22" s="14" t="s">
        <v>31</v>
      </c>
      <c r="D22" s="14" t="s">
        <v>67</v>
      </c>
      <c r="E22" s="17" t="s">
        <v>107</v>
      </c>
      <c r="F22" s="14" t="s">
        <v>48</v>
      </c>
      <c r="G22" s="15" t="s">
        <v>68</v>
      </c>
      <c r="H22" s="14"/>
      <c r="I22" s="14"/>
      <c r="J22" s="9" t="s">
        <v>109</v>
      </c>
      <c r="K22" s="10" t="s">
        <v>112</v>
      </c>
      <c r="L22" s="10" t="s">
        <v>130</v>
      </c>
    </row>
    <row r="23" spans="1:15" x14ac:dyDescent="0.2">
      <c r="A23" s="14" t="s">
        <v>119</v>
      </c>
      <c r="B23" s="10" t="s">
        <v>18</v>
      </c>
      <c r="C23" s="14" t="s">
        <v>120</v>
      </c>
      <c r="D23" s="14" t="s">
        <v>121</v>
      </c>
      <c r="E23" s="14" t="s">
        <v>122</v>
      </c>
      <c r="F23" s="14" t="s">
        <v>123</v>
      </c>
      <c r="G23" s="10">
        <v>82133624447</v>
      </c>
      <c r="H23" s="14"/>
      <c r="I23" s="14"/>
      <c r="J23" s="9" t="s">
        <v>109</v>
      </c>
      <c r="K23" s="10" t="s">
        <v>112</v>
      </c>
      <c r="L23" s="10" t="s">
        <v>131</v>
      </c>
    </row>
    <row r="24" spans="1:15" customFormat="1" ht="15" x14ac:dyDescent="0.25">
      <c r="A24" s="13" t="s">
        <v>45</v>
      </c>
      <c r="B24" s="10" t="s">
        <v>18</v>
      </c>
      <c r="C24" s="10" t="s">
        <v>49</v>
      </c>
      <c r="D24" s="10" t="s">
        <v>46</v>
      </c>
      <c r="E24" s="10" t="s">
        <v>47</v>
      </c>
      <c r="F24" s="10" t="s">
        <v>48</v>
      </c>
      <c r="G24" s="16" t="s">
        <v>50</v>
      </c>
      <c r="H24" s="10"/>
      <c r="I24" s="10"/>
      <c r="J24" s="9" t="s">
        <v>109</v>
      </c>
      <c r="K24" s="10" t="s">
        <v>113</v>
      </c>
      <c r="L24" s="10"/>
      <c r="M24" s="1"/>
      <c r="N24" s="1"/>
      <c r="O24" s="1"/>
    </row>
    <row r="25" spans="1:15" customFormat="1" ht="15" x14ac:dyDescent="0.25">
      <c r="A25" s="12" t="s">
        <v>60</v>
      </c>
      <c r="B25" s="10" t="s">
        <v>18</v>
      </c>
      <c r="C25" s="13" t="s">
        <v>17</v>
      </c>
      <c r="D25" s="14" t="s">
        <v>61</v>
      </c>
      <c r="E25" s="14" t="s">
        <v>62</v>
      </c>
      <c r="F25" s="14" t="s">
        <v>42</v>
      </c>
      <c r="G25" s="15" t="s">
        <v>63</v>
      </c>
      <c r="H25" s="10"/>
      <c r="I25" s="10"/>
      <c r="J25" s="9" t="s">
        <v>109</v>
      </c>
      <c r="K25" s="10" t="s">
        <v>112</v>
      </c>
      <c r="L25" s="10" t="s">
        <v>117</v>
      </c>
      <c r="M25" s="1"/>
      <c r="N25" s="1"/>
      <c r="O25" s="1"/>
    </row>
    <row r="26" spans="1:15" customFormat="1" ht="15" x14ac:dyDescent="0.25">
      <c r="A26" s="12" t="s">
        <v>82</v>
      </c>
      <c r="B26" s="10" t="s">
        <v>18</v>
      </c>
      <c r="C26" s="14" t="s">
        <v>31</v>
      </c>
      <c r="D26" s="14" t="s">
        <v>83</v>
      </c>
      <c r="E26" s="14" t="s">
        <v>84</v>
      </c>
      <c r="F26" s="14" t="s">
        <v>85</v>
      </c>
      <c r="G26" s="15" t="s">
        <v>86</v>
      </c>
      <c r="H26" s="14"/>
      <c r="I26" s="14"/>
      <c r="J26" s="9" t="s">
        <v>109</v>
      </c>
      <c r="K26" s="10" t="s">
        <v>112</v>
      </c>
      <c r="L26" s="10" t="s">
        <v>117</v>
      </c>
      <c r="M26" s="2"/>
      <c r="N26" s="2"/>
      <c r="O26" s="2"/>
    </row>
    <row r="27" spans="1:15" s="1" customFormat="1" x14ac:dyDescent="0.2">
      <c r="A27" s="13" t="s">
        <v>27</v>
      </c>
      <c r="B27" s="10" t="s">
        <v>18</v>
      </c>
      <c r="C27" s="10" t="s">
        <v>31</v>
      </c>
      <c r="D27" s="10" t="s">
        <v>28</v>
      </c>
      <c r="E27" s="10" t="s">
        <v>29</v>
      </c>
      <c r="F27" s="10" t="s">
        <v>30</v>
      </c>
      <c r="G27" s="16" t="s">
        <v>36</v>
      </c>
      <c r="H27" s="10"/>
      <c r="I27" s="10"/>
      <c r="J27" s="9" t="s">
        <v>109</v>
      </c>
      <c r="K27" s="10" t="s">
        <v>113</v>
      </c>
      <c r="L27" s="10"/>
    </row>
    <row r="28" spans="1:15" x14ac:dyDescent="0.2">
      <c r="A28" s="12" t="s">
        <v>69</v>
      </c>
      <c r="B28" s="10" t="s">
        <v>18</v>
      </c>
      <c r="C28" s="13" t="s">
        <v>17</v>
      </c>
      <c r="D28" s="14" t="s">
        <v>70</v>
      </c>
      <c r="E28" s="14" t="s">
        <v>71</v>
      </c>
      <c r="F28" s="14" t="s">
        <v>72</v>
      </c>
      <c r="G28" s="15" t="s">
        <v>73</v>
      </c>
      <c r="H28" s="14"/>
      <c r="I28" s="14"/>
      <c r="J28" s="9" t="s">
        <v>109</v>
      </c>
      <c r="K28" s="10" t="s">
        <v>112</v>
      </c>
      <c r="L28" s="14" t="s">
        <v>114</v>
      </c>
    </row>
    <row r="29" spans="1:15" x14ac:dyDescent="0.2">
      <c r="A29" s="12" t="s">
        <v>98</v>
      </c>
      <c r="B29" s="10" t="s">
        <v>18</v>
      </c>
      <c r="C29" s="14" t="s">
        <v>49</v>
      </c>
      <c r="D29" s="14" t="s">
        <v>70</v>
      </c>
      <c r="E29" s="14" t="s">
        <v>97</v>
      </c>
      <c r="F29" s="14" t="s">
        <v>72</v>
      </c>
      <c r="G29" s="15" t="s">
        <v>99</v>
      </c>
      <c r="H29" s="14"/>
      <c r="I29" s="14"/>
      <c r="J29" s="9" t="s">
        <v>109</v>
      </c>
      <c r="K29" s="10" t="s">
        <v>112</v>
      </c>
      <c r="L29" s="10" t="s">
        <v>116</v>
      </c>
      <c r="M29" s="10" t="s">
        <v>129</v>
      </c>
      <c r="N29" s="14" t="s">
        <v>147</v>
      </c>
    </row>
    <row r="30" spans="1:15" x14ac:dyDescent="0.2">
      <c r="A30" s="14" t="s">
        <v>124</v>
      </c>
      <c r="B30" s="10" t="s">
        <v>18</v>
      </c>
      <c r="C30" s="14" t="s">
        <v>31</v>
      </c>
      <c r="D30" s="24" t="s">
        <v>59</v>
      </c>
      <c r="E30" s="14" t="s">
        <v>125</v>
      </c>
      <c r="F30" s="14" t="s">
        <v>65</v>
      </c>
      <c r="G30" s="15" t="s">
        <v>376</v>
      </c>
      <c r="H30" s="14"/>
      <c r="I30" s="14"/>
      <c r="J30" s="9" t="s">
        <v>109</v>
      </c>
      <c r="K30" s="10" t="s">
        <v>112</v>
      </c>
      <c r="L30" s="14" t="s">
        <v>130</v>
      </c>
    </row>
    <row r="31" spans="1:15" x14ac:dyDescent="0.2">
      <c r="A31" s="14" t="s">
        <v>118</v>
      </c>
      <c r="B31" s="10" t="s">
        <v>18</v>
      </c>
      <c r="C31" s="14" t="s">
        <v>31</v>
      </c>
      <c r="D31" s="14" t="s">
        <v>56</v>
      </c>
      <c r="E31" s="14" t="s">
        <v>57</v>
      </c>
      <c r="F31" s="14" t="s">
        <v>42</v>
      </c>
      <c r="G31" s="10">
        <v>82210067518</v>
      </c>
      <c r="H31" s="14"/>
      <c r="I31" s="14"/>
      <c r="J31" s="9" t="s">
        <v>109</v>
      </c>
      <c r="K31" s="10" t="s">
        <v>148</v>
      </c>
      <c r="L31" s="14"/>
    </row>
    <row r="32" spans="1:15" s="1" customFormat="1" x14ac:dyDescent="0.2">
      <c r="A32" s="13" t="s">
        <v>39</v>
      </c>
      <c r="B32" s="10" t="s">
        <v>18</v>
      </c>
      <c r="C32" s="10" t="s">
        <v>43</v>
      </c>
      <c r="D32" s="10" t="s">
        <v>40</v>
      </c>
      <c r="E32" s="10" t="s">
        <v>41</v>
      </c>
      <c r="F32" s="10" t="s">
        <v>42</v>
      </c>
      <c r="G32" s="16" t="s">
        <v>44</v>
      </c>
      <c r="H32" s="10"/>
      <c r="I32" s="10"/>
      <c r="J32" s="9" t="s">
        <v>109</v>
      </c>
      <c r="K32" s="10" t="s">
        <v>111</v>
      </c>
      <c r="L32" s="10" t="s">
        <v>149</v>
      </c>
    </row>
    <row r="33" spans="1:15" s="1" customFormat="1" x14ac:dyDescent="0.2">
      <c r="A33" s="13" t="s">
        <v>22</v>
      </c>
      <c r="B33" s="10" t="s">
        <v>18</v>
      </c>
      <c r="C33" s="13" t="s">
        <v>17</v>
      </c>
      <c r="D33" s="13" t="s">
        <v>23</v>
      </c>
      <c r="E33" s="10" t="s">
        <v>24</v>
      </c>
      <c r="F33" s="10" t="s">
        <v>25</v>
      </c>
      <c r="G33" s="16" t="s">
        <v>26</v>
      </c>
      <c r="H33" s="10"/>
      <c r="I33" s="10"/>
      <c r="J33" s="9" t="s">
        <v>109</v>
      </c>
      <c r="K33" s="10" t="s">
        <v>112</v>
      </c>
      <c r="L33" s="10" t="s">
        <v>147</v>
      </c>
    </row>
    <row r="34" spans="1:15" x14ac:dyDescent="0.2">
      <c r="A34" s="12" t="s">
        <v>92</v>
      </c>
      <c r="B34" s="10" t="s">
        <v>18</v>
      </c>
      <c r="C34" s="14" t="s">
        <v>31</v>
      </c>
      <c r="D34" s="12" t="s">
        <v>93</v>
      </c>
      <c r="E34" s="14" t="s">
        <v>94</v>
      </c>
      <c r="F34" s="14" t="s">
        <v>95</v>
      </c>
      <c r="G34" s="15" t="s">
        <v>96</v>
      </c>
      <c r="H34" s="14"/>
      <c r="I34" s="14"/>
      <c r="J34" s="9" t="s">
        <v>109</v>
      </c>
      <c r="K34" s="10" t="s">
        <v>111</v>
      </c>
      <c r="L34" s="10" t="s">
        <v>116</v>
      </c>
      <c r="M34" s="10" t="s">
        <v>129</v>
      </c>
      <c r="N34" s="14" t="s">
        <v>147</v>
      </c>
    </row>
    <row r="35" spans="1:15" s="1" customFormat="1" x14ac:dyDescent="0.2">
      <c r="A35" s="13" t="s">
        <v>108</v>
      </c>
      <c r="B35" s="10" t="s">
        <v>18</v>
      </c>
      <c r="C35" s="13" t="s">
        <v>17</v>
      </c>
      <c r="D35" s="13" t="s">
        <v>15</v>
      </c>
      <c r="E35" s="10" t="s">
        <v>16</v>
      </c>
      <c r="F35" s="13" t="s">
        <v>19</v>
      </c>
      <c r="G35" s="16" t="s">
        <v>21</v>
      </c>
      <c r="H35" s="10"/>
      <c r="I35" s="10"/>
      <c r="J35" s="9" t="s">
        <v>109</v>
      </c>
      <c r="K35" s="10" t="s">
        <v>111</v>
      </c>
      <c r="L35" s="10" t="s">
        <v>116</v>
      </c>
      <c r="M35" s="10" t="s">
        <v>129</v>
      </c>
      <c r="N35" s="14" t="s">
        <v>147</v>
      </c>
    </row>
    <row r="36" spans="1:15" x14ac:dyDescent="0.2">
      <c r="A36" s="14" t="s">
        <v>126</v>
      </c>
      <c r="B36" s="10" t="s">
        <v>18</v>
      </c>
      <c r="C36" s="14" t="s">
        <v>31</v>
      </c>
      <c r="D36" s="24" t="s">
        <v>127</v>
      </c>
      <c r="E36" s="14" t="s">
        <v>128</v>
      </c>
      <c r="F36" s="14" t="s">
        <v>25</v>
      </c>
      <c r="G36" s="14">
        <v>82361399819</v>
      </c>
      <c r="H36" s="14"/>
      <c r="I36" s="14"/>
      <c r="J36" s="9" t="s">
        <v>109</v>
      </c>
      <c r="K36" s="10" t="s">
        <v>112</v>
      </c>
      <c r="L36" s="10" t="s">
        <v>116</v>
      </c>
      <c r="M36" s="10" t="s">
        <v>129</v>
      </c>
      <c r="N36" s="14" t="s">
        <v>147</v>
      </c>
      <c r="O36" s="1"/>
    </row>
    <row r="37" spans="1:15" s="23" customFormat="1" x14ac:dyDescent="0.2">
      <c r="A37" s="34" t="s">
        <v>143</v>
      </c>
      <c r="B37" s="10" t="s">
        <v>18</v>
      </c>
      <c r="C37" s="35" t="s">
        <v>134</v>
      </c>
      <c r="D37" s="36" t="s">
        <v>144</v>
      </c>
      <c r="E37" s="36"/>
      <c r="F37" s="36" t="s">
        <v>145</v>
      </c>
      <c r="G37" s="37">
        <v>82280970592</v>
      </c>
      <c r="H37" s="35"/>
      <c r="I37" s="35"/>
      <c r="J37" s="35" t="s">
        <v>109</v>
      </c>
      <c r="K37" s="10" t="s">
        <v>211</v>
      </c>
      <c r="L37" s="35"/>
      <c r="M37" s="35"/>
      <c r="N37" s="35"/>
    </row>
    <row r="38" spans="1:15" x14ac:dyDescent="0.2">
      <c r="A38" s="10" t="s">
        <v>51</v>
      </c>
      <c r="B38" s="10"/>
      <c r="C38" s="10" t="s">
        <v>31</v>
      </c>
      <c r="D38" s="10" t="s">
        <v>52</v>
      </c>
      <c r="E38" s="10"/>
      <c r="F38" s="10" t="s">
        <v>212</v>
      </c>
      <c r="G38" s="10">
        <v>81364688338</v>
      </c>
      <c r="H38" s="14"/>
      <c r="I38" s="14"/>
      <c r="J38" s="9" t="s">
        <v>109</v>
      </c>
      <c r="K38" s="10" t="s">
        <v>254</v>
      </c>
      <c r="L38" s="14"/>
    </row>
    <row r="39" spans="1:15" x14ac:dyDescent="0.2">
      <c r="A39" s="12" t="s">
        <v>78</v>
      </c>
      <c r="B39" s="10" t="s">
        <v>18</v>
      </c>
      <c r="C39" s="9" t="s">
        <v>31</v>
      </c>
      <c r="D39" s="14" t="s">
        <v>79</v>
      </c>
      <c r="E39" s="14" t="s">
        <v>80</v>
      </c>
      <c r="F39" s="14" t="s">
        <v>72</v>
      </c>
      <c r="G39" s="15" t="s">
        <v>81</v>
      </c>
      <c r="H39" s="14"/>
      <c r="I39" s="14"/>
      <c r="J39" s="9" t="s">
        <v>109</v>
      </c>
      <c r="K39" s="10" t="s">
        <v>210</v>
      </c>
      <c r="L39" s="14"/>
    </row>
    <row r="40" spans="1:15" x14ac:dyDescent="0.2">
      <c r="A40" s="14" t="s">
        <v>249</v>
      </c>
      <c r="B40" s="14"/>
      <c r="C40" s="14" t="s">
        <v>152</v>
      </c>
      <c r="D40" s="14" t="s">
        <v>250</v>
      </c>
      <c r="E40" s="14"/>
      <c r="F40" s="14" t="s">
        <v>251</v>
      </c>
      <c r="G40" s="32">
        <v>85268274146</v>
      </c>
      <c r="H40" s="14"/>
      <c r="I40" s="14"/>
      <c r="J40" s="9" t="s">
        <v>109</v>
      </c>
      <c r="K40" s="10" t="s">
        <v>254</v>
      </c>
      <c r="L40" s="14"/>
    </row>
    <row r="41" spans="1:15" x14ac:dyDescent="0.2">
      <c r="A41" s="14" t="s">
        <v>247</v>
      </c>
      <c r="B41" s="14"/>
      <c r="C41" s="14" t="s">
        <v>31</v>
      </c>
      <c r="D41" s="14" t="s">
        <v>216</v>
      </c>
      <c r="E41" s="14"/>
      <c r="F41" s="14" t="s">
        <v>248</v>
      </c>
      <c r="G41" s="32">
        <v>82285505711</v>
      </c>
      <c r="H41" s="14"/>
      <c r="I41" s="14"/>
      <c r="J41" s="9" t="s">
        <v>109</v>
      </c>
      <c r="K41" s="10" t="s">
        <v>256</v>
      </c>
      <c r="L41" s="14"/>
    </row>
    <row r="42" spans="1:15" x14ac:dyDescent="0.2">
      <c r="A42" s="12" t="s">
        <v>100</v>
      </c>
      <c r="B42" s="10" t="s">
        <v>18</v>
      </c>
      <c r="C42" s="9" t="s">
        <v>31</v>
      </c>
      <c r="D42" s="14" t="s">
        <v>101</v>
      </c>
      <c r="E42" s="14" t="s">
        <v>102</v>
      </c>
      <c r="F42" s="14" t="s">
        <v>30</v>
      </c>
      <c r="G42" s="39" t="s">
        <v>103</v>
      </c>
      <c r="H42" s="14"/>
      <c r="I42" s="14"/>
      <c r="J42" s="9" t="s">
        <v>109</v>
      </c>
      <c r="K42" s="10" t="s">
        <v>256</v>
      </c>
      <c r="L42" s="14"/>
    </row>
    <row r="43" spans="1:15" x14ac:dyDescent="0.2">
      <c r="A43" s="14" t="s">
        <v>252</v>
      </c>
      <c r="B43" s="14"/>
      <c r="C43" s="14" t="s">
        <v>120</v>
      </c>
      <c r="D43" s="14" t="s">
        <v>253</v>
      </c>
      <c r="E43" s="14"/>
      <c r="F43" s="14" t="s">
        <v>25</v>
      </c>
      <c r="G43" s="32">
        <v>85922242883</v>
      </c>
      <c r="H43" s="14"/>
      <c r="I43" s="14"/>
      <c r="J43" s="9" t="s">
        <v>109</v>
      </c>
      <c r="K43" s="10" t="s">
        <v>209</v>
      </c>
      <c r="L43" s="14"/>
    </row>
    <row r="44" spans="1:15" x14ac:dyDescent="0.2">
      <c r="A44" s="12" t="s">
        <v>74</v>
      </c>
      <c r="B44" s="10" t="s">
        <v>18</v>
      </c>
      <c r="C44" s="9" t="s">
        <v>31</v>
      </c>
      <c r="D44" s="14" t="s">
        <v>75</v>
      </c>
      <c r="E44" s="14" t="s">
        <v>76</v>
      </c>
      <c r="F44" s="14" t="s">
        <v>72</v>
      </c>
      <c r="G44" s="39" t="s">
        <v>77</v>
      </c>
      <c r="H44" s="14"/>
      <c r="I44" s="14"/>
      <c r="J44" s="9" t="s">
        <v>109</v>
      </c>
      <c r="K44" s="10" t="s">
        <v>209</v>
      </c>
      <c r="L44" s="14"/>
    </row>
    <row r="45" spans="1:15" x14ac:dyDescent="0.2">
      <c r="A45" s="12" t="s">
        <v>87</v>
      </c>
      <c r="B45" s="10" t="s">
        <v>18</v>
      </c>
      <c r="C45" s="53" t="s">
        <v>17</v>
      </c>
      <c r="D45" s="14" t="s">
        <v>88</v>
      </c>
      <c r="E45" s="14" t="s">
        <v>89</v>
      </c>
      <c r="F45" s="14" t="s">
        <v>90</v>
      </c>
      <c r="G45" s="39" t="s">
        <v>91</v>
      </c>
      <c r="H45" s="14"/>
      <c r="I45" s="14"/>
      <c r="J45" s="9" t="s">
        <v>109</v>
      </c>
      <c r="K45" s="10" t="s">
        <v>255</v>
      </c>
      <c r="L45" s="14"/>
    </row>
    <row r="46" spans="1:15" s="21" customFormat="1" x14ac:dyDescent="0.2">
      <c r="A46" s="14" t="s">
        <v>137</v>
      </c>
      <c r="B46" s="10"/>
      <c r="C46" s="14" t="s">
        <v>120</v>
      </c>
      <c r="D46" s="24" t="s">
        <v>317</v>
      </c>
      <c r="E46" s="14"/>
      <c r="F46" s="14" t="s">
        <v>42</v>
      </c>
      <c r="G46" s="14">
        <v>81271785800</v>
      </c>
      <c r="H46" s="14"/>
      <c r="I46" s="14"/>
      <c r="J46" s="9" t="s">
        <v>109</v>
      </c>
      <c r="K46" s="10" t="s">
        <v>324</v>
      </c>
      <c r="L46" s="10"/>
    </row>
    <row r="47" spans="1:15" s="21" customFormat="1" ht="13.5" customHeight="1" x14ac:dyDescent="0.2">
      <c r="A47" s="14" t="s">
        <v>310</v>
      </c>
      <c r="B47" s="10"/>
      <c r="C47" s="14" t="s">
        <v>31</v>
      </c>
      <c r="D47" s="24" t="s">
        <v>311</v>
      </c>
      <c r="E47" s="14"/>
      <c r="F47" s="14" t="s">
        <v>25</v>
      </c>
      <c r="G47" s="14">
        <v>82210471268</v>
      </c>
      <c r="H47" s="14"/>
      <c r="I47" s="14"/>
      <c r="J47" s="9" t="s">
        <v>109</v>
      </c>
      <c r="K47" s="10" t="s">
        <v>324</v>
      </c>
      <c r="L47" s="10"/>
    </row>
    <row r="48" spans="1:15" s="21" customFormat="1" ht="13.5" customHeight="1" x14ac:dyDescent="0.2">
      <c r="A48" s="14" t="s">
        <v>312</v>
      </c>
      <c r="B48" s="10"/>
      <c r="C48" s="14" t="s">
        <v>31</v>
      </c>
      <c r="D48" s="24" t="s">
        <v>313</v>
      </c>
      <c r="E48" s="14"/>
      <c r="F48" s="14" t="s">
        <v>314</v>
      </c>
      <c r="G48" s="57" t="s">
        <v>322</v>
      </c>
      <c r="H48" s="14"/>
      <c r="I48" s="14"/>
      <c r="J48" s="9" t="s">
        <v>109</v>
      </c>
      <c r="K48" s="10" t="s">
        <v>324</v>
      </c>
      <c r="L48" s="10"/>
    </row>
    <row r="49" spans="1:14" s="21" customFormat="1" x14ac:dyDescent="0.2">
      <c r="A49" s="14" t="s">
        <v>315</v>
      </c>
      <c r="B49" s="10"/>
      <c r="C49" s="14" t="s">
        <v>31</v>
      </c>
      <c r="D49" s="24" t="s">
        <v>222</v>
      </c>
      <c r="E49" s="14"/>
      <c r="F49" s="14" t="s">
        <v>316</v>
      </c>
      <c r="G49" s="14">
        <v>85266370063</v>
      </c>
      <c r="H49" s="14"/>
      <c r="I49" s="14"/>
      <c r="J49" s="9" t="s">
        <v>109</v>
      </c>
      <c r="K49" s="10" t="s">
        <v>328</v>
      </c>
      <c r="L49" s="10"/>
    </row>
    <row r="50" spans="1:14" s="21" customFormat="1" x14ac:dyDescent="0.2">
      <c r="A50" s="14" t="s">
        <v>320</v>
      </c>
      <c r="B50" s="10"/>
      <c r="C50" s="14" t="s">
        <v>31</v>
      </c>
      <c r="D50" s="24" t="s">
        <v>321</v>
      </c>
      <c r="E50" s="14"/>
      <c r="F50" s="14" t="s">
        <v>25</v>
      </c>
      <c r="G50" s="14">
        <v>82294870067</v>
      </c>
      <c r="H50" s="14"/>
      <c r="I50" s="14"/>
      <c r="J50" s="9" t="s">
        <v>109</v>
      </c>
      <c r="K50" s="10" t="s">
        <v>328</v>
      </c>
      <c r="L50" s="10"/>
    </row>
    <row r="51" spans="1:14" s="23" customFormat="1" x14ac:dyDescent="0.2">
      <c r="A51" s="26" t="s">
        <v>133</v>
      </c>
      <c r="B51" s="6" t="s">
        <v>18</v>
      </c>
      <c r="C51" s="27" t="s">
        <v>134</v>
      </c>
      <c r="D51" s="25" t="s">
        <v>135</v>
      </c>
      <c r="E51" s="25"/>
      <c r="F51" s="28" t="s">
        <v>123</v>
      </c>
      <c r="G51" s="27">
        <v>81278379702</v>
      </c>
      <c r="H51" s="27"/>
      <c r="I51" s="27"/>
      <c r="J51" s="27" t="s">
        <v>109</v>
      </c>
      <c r="K51" s="6" t="s">
        <v>255</v>
      </c>
      <c r="L51" s="27"/>
      <c r="N51" s="2" t="s">
        <v>130</v>
      </c>
    </row>
    <row r="52" spans="1:14" s="21" customFormat="1" x14ac:dyDescent="0.2">
      <c r="A52" s="8" t="s">
        <v>87</v>
      </c>
      <c r="B52" s="6"/>
      <c r="C52" s="8" t="s">
        <v>120</v>
      </c>
      <c r="D52" s="52" t="s">
        <v>88</v>
      </c>
      <c r="E52" s="8"/>
      <c r="F52" s="8" t="s">
        <v>345</v>
      </c>
      <c r="G52" s="8">
        <v>82166772028</v>
      </c>
      <c r="H52" s="8"/>
      <c r="I52" s="8"/>
      <c r="J52" s="11"/>
      <c r="K52" s="6" t="s">
        <v>356</v>
      </c>
      <c r="L52" s="6"/>
      <c r="N52" s="21" t="s">
        <v>361</v>
      </c>
    </row>
    <row r="53" spans="1:14" s="21" customFormat="1" x14ac:dyDescent="0.2">
      <c r="A53" s="8" t="s">
        <v>346</v>
      </c>
      <c r="B53" s="6"/>
      <c r="C53" s="8" t="s">
        <v>120</v>
      </c>
      <c r="D53" s="52" t="s">
        <v>347</v>
      </c>
      <c r="E53" s="8"/>
      <c r="F53" s="8" t="s">
        <v>35</v>
      </c>
      <c r="G53" s="8">
        <v>81276545726</v>
      </c>
      <c r="H53" s="8"/>
      <c r="I53" s="8"/>
      <c r="J53" s="11"/>
      <c r="K53" s="6" t="s">
        <v>356</v>
      </c>
      <c r="L53" s="6"/>
      <c r="N53" s="21" t="s">
        <v>361</v>
      </c>
    </row>
    <row r="54" spans="1:14" s="21" customFormat="1" x14ac:dyDescent="0.2">
      <c r="A54" s="8" t="s">
        <v>354</v>
      </c>
      <c r="B54" s="6"/>
      <c r="C54" s="8" t="s">
        <v>31</v>
      </c>
      <c r="D54" s="52" t="s">
        <v>56</v>
      </c>
      <c r="E54" s="8"/>
      <c r="F54" s="8" t="s">
        <v>355</v>
      </c>
      <c r="G54" s="56">
        <v>82176803571</v>
      </c>
      <c r="H54" s="8"/>
      <c r="I54" s="8"/>
      <c r="J54" s="11"/>
      <c r="K54" s="6" t="s">
        <v>356</v>
      </c>
      <c r="L54" s="6"/>
      <c r="N54" s="21" t="s">
        <v>361</v>
      </c>
    </row>
    <row r="55" spans="1:14" s="21" customFormat="1" x14ac:dyDescent="0.2">
      <c r="A55" s="8" t="s">
        <v>342</v>
      </c>
      <c r="B55" s="6"/>
      <c r="C55" s="8" t="s">
        <v>298</v>
      </c>
      <c r="D55" s="52" t="s">
        <v>216</v>
      </c>
      <c r="E55" s="8"/>
      <c r="F55" s="8" t="s">
        <v>343</v>
      </c>
      <c r="G55" s="8">
        <v>85325775777</v>
      </c>
      <c r="H55" s="8"/>
      <c r="I55" s="8"/>
      <c r="J55" s="11"/>
      <c r="K55" s="6" t="s">
        <v>356</v>
      </c>
      <c r="L55" s="6"/>
      <c r="N55" s="21" t="s">
        <v>360</v>
      </c>
    </row>
    <row r="56" spans="1:14" s="21" customFormat="1" x14ac:dyDescent="0.2">
      <c r="A56" s="8" t="s">
        <v>348</v>
      </c>
      <c r="B56" s="6"/>
      <c r="C56" s="8" t="s">
        <v>120</v>
      </c>
      <c r="D56" s="52" t="s">
        <v>216</v>
      </c>
      <c r="E56" s="8"/>
      <c r="F56" s="8" t="s">
        <v>349</v>
      </c>
      <c r="G56" s="8">
        <v>81275786606</v>
      </c>
      <c r="H56" s="8"/>
      <c r="I56" s="8"/>
      <c r="J56" s="11"/>
      <c r="K56" s="6" t="s">
        <v>356</v>
      </c>
      <c r="L56" s="6"/>
      <c r="N56" s="21" t="s">
        <v>360</v>
      </c>
    </row>
    <row r="57" spans="1:14" s="23" customFormat="1" x14ac:dyDescent="0.2">
      <c r="A57" s="26" t="s">
        <v>139</v>
      </c>
      <c r="B57" s="6" t="s">
        <v>18</v>
      </c>
      <c r="C57" s="27" t="s">
        <v>17</v>
      </c>
      <c r="D57" s="25" t="s">
        <v>140</v>
      </c>
      <c r="E57" s="25"/>
      <c r="F57" s="25" t="s">
        <v>25</v>
      </c>
      <c r="G57" s="27">
        <v>85275204946</v>
      </c>
      <c r="H57" s="27"/>
      <c r="I57" s="27"/>
      <c r="J57" s="27" t="s">
        <v>109</v>
      </c>
      <c r="K57" s="6" t="s">
        <v>357</v>
      </c>
      <c r="L57" s="27"/>
      <c r="N57" s="2" t="s">
        <v>369</v>
      </c>
    </row>
    <row r="58" spans="1:14" s="21" customFormat="1" x14ac:dyDescent="0.2">
      <c r="A58" s="8" t="s">
        <v>318</v>
      </c>
      <c r="B58" s="6"/>
      <c r="C58" s="8" t="s">
        <v>31</v>
      </c>
      <c r="D58" s="52" t="s">
        <v>319</v>
      </c>
      <c r="E58" s="8"/>
      <c r="F58" s="8" t="s">
        <v>35</v>
      </c>
      <c r="G58" s="8">
        <v>85274698668</v>
      </c>
      <c r="H58" s="8"/>
      <c r="I58" s="8"/>
      <c r="J58" s="11" t="s">
        <v>109</v>
      </c>
      <c r="K58" s="6" t="s">
        <v>327</v>
      </c>
      <c r="L58" s="6"/>
    </row>
    <row r="59" spans="1:14" s="21" customFormat="1" x14ac:dyDescent="0.2">
      <c r="A59" s="8" t="s">
        <v>323</v>
      </c>
      <c r="B59" s="6"/>
      <c r="C59" s="8" t="s">
        <v>31</v>
      </c>
      <c r="D59" s="52" t="s">
        <v>59</v>
      </c>
      <c r="E59" s="8"/>
      <c r="F59" s="8" t="s">
        <v>136</v>
      </c>
      <c r="G59" s="8">
        <v>85265909423</v>
      </c>
      <c r="H59" s="8"/>
      <c r="I59" s="8"/>
      <c r="J59" s="11" t="s">
        <v>109</v>
      </c>
      <c r="K59" s="6" t="s">
        <v>327</v>
      </c>
      <c r="L59" s="6"/>
    </row>
    <row r="60" spans="1:14" x14ac:dyDescent="0.2">
      <c r="A60" s="7" t="s">
        <v>104</v>
      </c>
      <c r="B60" s="6" t="s">
        <v>18</v>
      </c>
      <c r="C60" s="8" t="s">
        <v>31</v>
      </c>
      <c r="D60" s="7" t="s">
        <v>93</v>
      </c>
      <c r="E60" s="8" t="s">
        <v>105</v>
      </c>
      <c r="F60" s="8" t="s">
        <v>65</v>
      </c>
      <c r="G60" s="54" t="s">
        <v>106</v>
      </c>
      <c r="H60" s="8"/>
      <c r="I60" s="8"/>
      <c r="J60" s="11" t="s">
        <v>109</v>
      </c>
      <c r="K60" s="6" t="s">
        <v>327</v>
      </c>
      <c r="L60" s="8"/>
    </row>
    <row r="61" spans="1:14" s="23" customFormat="1" x14ac:dyDescent="0.2">
      <c r="A61" s="26" t="s">
        <v>141</v>
      </c>
      <c r="B61" s="6" t="s">
        <v>18</v>
      </c>
      <c r="C61" s="27" t="s">
        <v>17</v>
      </c>
      <c r="D61" s="25" t="s">
        <v>142</v>
      </c>
      <c r="E61" s="25"/>
      <c r="F61" s="25" t="s">
        <v>146</v>
      </c>
      <c r="G61" s="27">
        <v>85270507228</v>
      </c>
      <c r="H61" s="27"/>
      <c r="I61" s="27"/>
      <c r="J61" s="27" t="s">
        <v>109</v>
      </c>
      <c r="K61" s="6" t="s">
        <v>327</v>
      </c>
      <c r="L61" s="27"/>
    </row>
    <row r="62" spans="1:14" s="21" customFormat="1" x14ac:dyDescent="0.2">
      <c r="A62" s="8" t="s">
        <v>350</v>
      </c>
      <c r="B62" s="6"/>
      <c r="C62" s="8" t="s">
        <v>31</v>
      </c>
      <c r="D62" s="52" t="s">
        <v>351</v>
      </c>
      <c r="E62" s="8"/>
      <c r="F62" s="8" t="s">
        <v>352</v>
      </c>
      <c r="G62" s="8">
        <v>85925859683</v>
      </c>
      <c r="H62" s="8"/>
      <c r="I62" s="8"/>
      <c r="J62" s="11" t="s">
        <v>109</v>
      </c>
      <c r="K62" s="6" t="s">
        <v>366</v>
      </c>
      <c r="L62" s="6"/>
    </row>
    <row r="63" spans="1:14" s="21" customFormat="1" x14ac:dyDescent="0.2">
      <c r="A63" s="8" t="s">
        <v>353</v>
      </c>
      <c r="B63" s="6"/>
      <c r="C63" s="8" t="s">
        <v>31</v>
      </c>
      <c r="D63" s="52" t="s">
        <v>33</v>
      </c>
      <c r="E63" s="8"/>
      <c r="F63" s="8" t="s">
        <v>42</v>
      </c>
      <c r="G63" s="8">
        <v>82177082884</v>
      </c>
      <c r="H63" s="8"/>
      <c r="I63" s="8"/>
      <c r="J63" s="11" t="s">
        <v>109</v>
      </c>
      <c r="K63" s="6" t="s">
        <v>366</v>
      </c>
      <c r="L63" s="6"/>
    </row>
    <row r="64" spans="1:14" s="64" customFormat="1" ht="15" customHeight="1" x14ac:dyDescent="0.2">
      <c r="A64" s="65" t="s">
        <v>137</v>
      </c>
      <c r="B64" s="6" t="s">
        <v>18</v>
      </c>
      <c r="C64" s="63" t="s">
        <v>17</v>
      </c>
      <c r="D64" s="28" t="s">
        <v>138</v>
      </c>
      <c r="E64" s="66"/>
      <c r="F64" s="28" t="s">
        <v>42</v>
      </c>
      <c r="G64" s="67">
        <v>81271785800</v>
      </c>
      <c r="H64" s="63"/>
      <c r="I64" s="63"/>
      <c r="J64" s="11" t="s">
        <v>109</v>
      </c>
      <c r="K64" s="6" t="s">
        <v>327</v>
      </c>
      <c r="L64" s="63"/>
      <c r="N64" s="68" t="s">
        <v>368</v>
      </c>
    </row>
    <row r="65" spans="1:14" s="21" customFormat="1" ht="13.5" customHeight="1" x14ac:dyDescent="0.2">
      <c r="A65" s="8" t="s">
        <v>308</v>
      </c>
      <c r="B65" s="6"/>
      <c r="C65" s="8" t="s">
        <v>31</v>
      </c>
      <c r="D65" s="52" t="s">
        <v>308</v>
      </c>
      <c r="E65" s="8"/>
      <c r="F65" s="8" t="s">
        <v>309</v>
      </c>
      <c r="G65" s="8">
        <v>81315062787</v>
      </c>
      <c r="H65" s="8"/>
      <c r="I65" s="8"/>
      <c r="J65" s="11" t="s">
        <v>109</v>
      </c>
      <c r="K65" s="6" t="s">
        <v>327</v>
      </c>
      <c r="L65" s="6"/>
      <c r="N65" s="2" t="s">
        <v>276</v>
      </c>
    </row>
    <row r="66" spans="1:14" x14ac:dyDescent="0.2">
      <c r="A66" s="2" t="s">
        <v>446</v>
      </c>
      <c r="C66" s="2" t="s">
        <v>17</v>
      </c>
      <c r="D66" s="2" t="s">
        <v>447</v>
      </c>
      <c r="F66" s="2" t="s">
        <v>123</v>
      </c>
      <c r="G66" s="2">
        <v>85925520200</v>
      </c>
      <c r="J66" s="3" t="s">
        <v>109</v>
      </c>
      <c r="K66" s="1" t="s">
        <v>466</v>
      </c>
    </row>
    <row r="67" spans="1:14" x14ac:dyDescent="0.2">
      <c r="A67" s="2" t="s">
        <v>450</v>
      </c>
      <c r="C67" s="2" t="s">
        <v>420</v>
      </c>
      <c r="D67" s="2" t="s">
        <v>451</v>
      </c>
      <c r="F67" s="2" t="s">
        <v>452</v>
      </c>
      <c r="G67" s="2">
        <v>82184244447</v>
      </c>
      <c r="J67" s="3" t="s">
        <v>109</v>
      </c>
      <c r="K67" s="1" t="s">
        <v>363</v>
      </c>
    </row>
    <row r="68" spans="1:14" x14ac:dyDescent="0.2">
      <c r="A68" s="2" t="s">
        <v>453</v>
      </c>
      <c r="C68" s="2" t="s">
        <v>405</v>
      </c>
      <c r="D68" s="2" t="s">
        <v>454</v>
      </c>
      <c r="F68" s="2" t="s">
        <v>72</v>
      </c>
      <c r="G68" s="2">
        <v>81228342822</v>
      </c>
      <c r="J68" s="3" t="s">
        <v>109</v>
      </c>
      <c r="K68" s="1" t="s">
        <v>363</v>
      </c>
    </row>
    <row r="69" spans="1:14" x14ac:dyDescent="0.2">
      <c r="A69" s="2" t="s">
        <v>457</v>
      </c>
      <c r="C69" s="2" t="s">
        <v>17</v>
      </c>
      <c r="D69" s="2" t="s">
        <v>178</v>
      </c>
      <c r="F69" s="2" t="s">
        <v>444</v>
      </c>
      <c r="G69" s="2">
        <v>82124815251</v>
      </c>
      <c r="J69" s="3" t="s">
        <v>109</v>
      </c>
      <c r="K69" s="1" t="s">
        <v>147</v>
      </c>
    </row>
    <row r="70" spans="1:14" x14ac:dyDescent="0.2">
      <c r="A70" s="2" t="s">
        <v>459</v>
      </c>
      <c r="C70" s="2" t="s">
        <v>17</v>
      </c>
      <c r="D70" s="2" t="s">
        <v>460</v>
      </c>
      <c r="F70" s="2" t="s">
        <v>85</v>
      </c>
      <c r="G70" s="2">
        <v>85265735155</v>
      </c>
      <c r="J70" s="3" t="s">
        <v>109</v>
      </c>
      <c r="K70" s="1" t="s">
        <v>467</v>
      </c>
    </row>
    <row r="71" spans="1:14" x14ac:dyDescent="0.2">
      <c r="A71" s="2" t="s">
        <v>461</v>
      </c>
      <c r="C71" s="2" t="s">
        <v>17</v>
      </c>
      <c r="D71" s="2" t="s">
        <v>462</v>
      </c>
      <c r="F71" s="2" t="s">
        <v>463</v>
      </c>
      <c r="G71" s="2">
        <v>85370004797</v>
      </c>
      <c r="H71" s="2" t="s">
        <v>464</v>
      </c>
      <c r="J71" s="3" t="s">
        <v>109</v>
      </c>
      <c r="K71" s="1" t="s">
        <v>147</v>
      </c>
    </row>
  </sheetData>
  <mergeCells count="11">
    <mergeCell ref="A1:O1"/>
    <mergeCell ref="H3:J3"/>
    <mergeCell ref="L3:O3"/>
    <mergeCell ref="A3:A4"/>
    <mergeCell ref="B3:B4"/>
    <mergeCell ref="C3:C4"/>
    <mergeCell ref="D3:D4"/>
    <mergeCell ref="E3:E4"/>
    <mergeCell ref="F3:F4"/>
    <mergeCell ref="G3:G4"/>
    <mergeCell ref="K3:K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zoomScale="90" zoomScaleNormal="90" workbookViewId="0">
      <selection activeCell="T12" sqref="T12"/>
    </sheetView>
  </sheetViews>
  <sheetFormatPr defaultRowHeight="15" x14ac:dyDescent="0.25"/>
  <cols>
    <col min="3" max="3" width="18.85546875" bestFit="1" customWidth="1"/>
    <col min="4" max="5" width="9.140625" customWidth="1"/>
    <col min="6" max="6" width="10.85546875" customWidth="1"/>
    <col min="7" max="8" width="9.140625" customWidth="1"/>
    <col min="9" max="9" width="8.7109375" customWidth="1"/>
    <col min="10" max="12" width="9.140625" customWidth="1"/>
    <col min="13" max="14" width="11.140625" customWidth="1"/>
  </cols>
  <sheetData>
    <row r="2" spans="2:14" s="225" customFormat="1" ht="45" x14ac:dyDescent="0.25">
      <c r="B2" s="223" t="s">
        <v>551</v>
      </c>
      <c r="C2" s="223" t="s">
        <v>0</v>
      </c>
      <c r="D2" s="223" t="s">
        <v>550</v>
      </c>
      <c r="E2" s="223" t="s">
        <v>12</v>
      </c>
      <c r="F2" s="223" t="s">
        <v>547</v>
      </c>
      <c r="G2" s="223" t="s">
        <v>548</v>
      </c>
      <c r="H2" s="223" t="s">
        <v>562</v>
      </c>
      <c r="I2" s="224" t="s">
        <v>552</v>
      </c>
      <c r="J2" s="224" t="s">
        <v>553</v>
      </c>
      <c r="K2" s="224" t="s">
        <v>554</v>
      </c>
      <c r="L2" s="224" t="s">
        <v>556</v>
      </c>
      <c r="M2" s="224" t="s">
        <v>557</v>
      </c>
      <c r="N2" s="224" t="s">
        <v>559</v>
      </c>
    </row>
    <row r="3" spans="2:14" x14ac:dyDescent="0.25">
      <c r="B3" s="222">
        <v>1</v>
      </c>
      <c r="C3" s="218" t="s">
        <v>455</v>
      </c>
      <c r="D3" s="218" t="s">
        <v>65</v>
      </c>
      <c r="E3" s="219">
        <f>'Ojt Maret-April'!E17</f>
        <v>10</v>
      </c>
      <c r="F3" s="218">
        <v>0</v>
      </c>
      <c r="G3" s="219">
        <f>'SA April'!AG46</f>
        <v>29</v>
      </c>
      <c r="H3" s="219">
        <f>'SA Mei'!AG32</f>
        <v>33</v>
      </c>
      <c r="I3" s="217">
        <f>SUM(E3:H3)</f>
        <v>72</v>
      </c>
      <c r="J3" s="218">
        <v>20</v>
      </c>
      <c r="K3" s="218">
        <v>22</v>
      </c>
      <c r="L3" s="226">
        <f>J3+K3</f>
        <v>42</v>
      </c>
      <c r="M3" s="227">
        <f>I3/L3</f>
        <v>1.7142857142857142</v>
      </c>
      <c r="N3" s="227"/>
    </row>
    <row r="4" spans="2:14" x14ac:dyDescent="0.25">
      <c r="B4" s="222">
        <v>2</v>
      </c>
      <c r="C4" s="218" t="s">
        <v>499</v>
      </c>
      <c r="D4" s="218" t="s">
        <v>65</v>
      </c>
      <c r="E4" s="219">
        <f>'Ojt Maret-April'!E24</f>
        <v>12</v>
      </c>
      <c r="F4" s="218">
        <v>0</v>
      </c>
      <c r="G4" s="219">
        <f>'SA April'!AG40</f>
        <v>14</v>
      </c>
      <c r="H4" s="219">
        <f>'SA Mei'!AG28</f>
        <v>85</v>
      </c>
      <c r="I4" s="217">
        <f t="shared" ref="I4:I21" si="0">SUM(E4:H4)</f>
        <v>111</v>
      </c>
      <c r="J4" s="218">
        <v>16</v>
      </c>
      <c r="K4" s="218">
        <v>18</v>
      </c>
      <c r="L4" s="226">
        <f t="shared" ref="L4:L20" si="1">J4+K4</f>
        <v>34</v>
      </c>
      <c r="M4" s="227">
        <f t="shared" ref="M4:M21" si="2">I4/L4</f>
        <v>3.2647058823529411</v>
      </c>
      <c r="N4" s="227"/>
    </row>
    <row r="5" spans="2:14" x14ac:dyDescent="0.25">
      <c r="B5" s="222">
        <v>3</v>
      </c>
      <c r="C5" s="218" t="s">
        <v>514</v>
      </c>
      <c r="D5" s="218" t="s">
        <v>65</v>
      </c>
      <c r="E5" s="219">
        <f>'Ojt Maret-April'!E16</f>
        <v>13</v>
      </c>
      <c r="F5" s="218">
        <v>0</v>
      </c>
      <c r="G5" s="218">
        <v>0</v>
      </c>
      <c r="H5" s="218">
        <v>0</v>
      </c>
      <c r="I5" s="217">
        <f t="shared" si="0"/>
        <v>13</v>
      </c>
      <c r="J5" s="218">
        <v>12</v>
      </c>
      <c r="K5" s="218">
        <v>14</v>
      </c>
      <c r="L5" s="226">
        <f t="shared" si="1"/>
        <v>26</v>
      </c>
      <c r="M5" s="227">
        <f t="shared" si="2"/>
        <v>0.5</v>
      </c>
      <c r="N5" s="227"/>
    </row>
    <row r="6" spans="2:14" x14ac:dyDescent="0.25">
      <c r="B6" s="222">
        <v>4</v>
      </c>
      <c r="C6" s="218" t="s">
        <v>539</v>
      </c>
      <c r="D6" s="218" t="s">
        <v>507</v>
      </c>
      <c r="E6" s="219">
        <f>'Ojt Maret-April'!E16</f>
        <v>13</v>
      </c>
      <c r="F6" s="218">
        <v>0</v>
      </c>
      <c r="G6" s="219">
        <f>'SA April'!AG64</f>
        <v>11</v>
      </c>
      <c r="H6" s="219">
        <f>'SA Mei'!AG44</f>
        <v>15</v>
      </c>
      <c r="I6" s="217">
        <f t="shared" si="0"/>
        <v>39</v>
      </c>
      <c r="J6" s="218">
        <v>12</v>
      </c>
      <c r="K6" s="218">
        <v>14</v>
      </c>
      <c r="L6" s="226">
        <f t="shared" si="1"/>
        <v>26</v>
      </c>
      <c r="M6" s="227">
        <f t="shared" si="2"/>
        <v>1.5</v>
      </c>
      <c r="N6" s="227"/>
    </row>
    <row r="7" spans="2:14" x14ac:dyDescent="0.25">
      <c r="B7" s="222">
        <v>5</v>
      </c>
      <c r="C7" s="218" t="s">
        <v>344</v>
      </c>
      <c r="D7" s="218" t="s">
        <v>387</v>
      </c>
      <c r="E7" s="219">
        <f>'Ojt Maret-April'!E25</f>
        <v>16</v>
      </c>
      <c r="F7" s="219">
        <f>SAMaret!AH34</f>
        <v>24</v>
      </c>
      <c r="G7" s="219">
        <f>'SA April'!AG34</f>
        <v>25</v>
      </c>
      <c r="H7" s="219">
        <f>'SA Mei'!AG24</f>
        <v>74</v>
      </c>
      <c r="I7" s="217">
        <f t="shared" si="0"/>
        <v>139</v>
      </c>
      <c r="J7" s="218">
        <v>22</v>
      </c>
      <c r="K7" s="218">
        <v>14</v>
      </c>
      <c r="L7" s="226">
        <f t="shared" si="1"/>
        <v>36</v>
      </c>
      <c r="M7" s="227">
        <f t="shared" si="2"/>
        <v>3.8611111111111112</v>
      </c>
      <c r="N7" s="227"/>
    </row>
    <row r="8" spans="2:14" x14ac:dyDescent="0.25">
      <c r="B8" s="222">
        <v>6</v>
      </c>
      <c r="C8" s="218" t="s">
        <v>488</v>
      </c>
      <c r="D8" s="218" t="s">
        <v>387</v>
      </c>
      <c r="E8" s="219">
        <f>'Ojt Maret-April'!E10</f>
        <v>10</v>
      </c>
      <c r="F8" s="218">
        <v>0</v>
      </c>
      <c r="G8" s="219">
        <f>'SA April'!AG52</f>
        <v>8</v>
      </c>
      <c r="H8" s="219">
        <f>'SA Mei'!AG36</f>
        <v>3</v>
      </c>
      <c r="I8" s="217">
        <f t="shared" si="0"/>
        <v>21</v>
      </c>
      <c r="J8" s="218">
        <v>12</v>
      </c>
      <c r="K8" s="218">
        <v>14</v>
      </c>
      <c r="L8" s="226">
        <f t="shared" si="1"/>
        <v>26</v>
      </c>
      <c r="M8" s="227">
        <f t="shared" si="2"/>
        <v>0.80769230769230771</v>
      </c>
      <c r="N8" s="227"/>
    </row>
    <row r="9" spans="2:14" x14ac:dyDescent="0.25">
      <c r="B9" s="222">
        <v>7</v>
      </c>
      <c r="C9" s="218" t="s">
        <v>58</v>
      </c>
      <c r="D9" s="218" t="s">
        <v>72</v>
      </c>
      <c r="E9" s="219">
        <f>'ojt Feb'!I4</f>
        <v>10</v>
      </c>
      <c r="F9" s="219">
        <f>SAMaret!AH16</f>
        <v>102</v>
      </c>
      <c r="G9" s="219">
        <f>'SA April'!AG16</f>
        <v>14</v>
      </c>
      <c r="H9" s="219">
        <f>'SA Mei'!AG12</f>
        <v>18</v>
      </c>
      <c r="I9" s="217">
        <f t="shared" si="0"/>
        <v>144</v>
      </c>
      <c r="J9" s="218">
        <v>38</v>
      </c>
      <c r="K9" s="218">
        <v>26</v>
      </c>
      <c r="L9" s="226">
        <f t="shared" si="1"/>
        <v>64</v>
      </c>
      <c r="M9" s="227">
        <f t="shared" si="2"/>
        <v>2.25</v>
      </c>
      <c r="N9" s="227"/>
    </row>
    <row r="10" spans="2:14" x14ac:dyDescent="0.25">
      <c r="B10" s="222">
        <v>8</v>
      </c>
      <c r="C10" s="218" t="s">
        <v>520</v>
      </c>
      <c r="D10" s="218" t="s">
        <v>42</v>
      </c>
      <c r="E10" s="219">
        <f>'Ojt Maret-April'!E18</f>
        <v>14</v>
      </c>
      <c r="F10" s="218">
        <v>0</v>
      </c>
      <c r="G10" s="218">
        <v>0</v>
      </c>
      <c r="H10" s="219">
        <f>'SA Mei'!AG52</f>
        <v>70</v>
      </c>
      <c r="I10" s="217">
        <f t="shared" si="0"/>
        <v>84</v>
      </c>
      <c r="J10" s="218">
        <v>12</v>
      </c>
      <c r="K10" s="218">
        <v>14</v>
      </c>
      <c r="L10" s="226">
        <f t="shared" si="1"/>
        <v>26</v>
      </c>
      <c r="M10" s="227">
        <f t="shared" si="2"/>
        <v>3.2307692307692308</v>
      </c>
      <c r="N10" s="227"/>
    </row>
    <row r="11" spans="2:14" x14ac:dyDescent="0.25">
      <c r="B11" s="222">
        <v>9</v>
      </c>
      <c r="C11" s="218" t="s">
        <v>521</v>
      </c>
      <c r="D11" s="218" t="s">
        <v>264</v>
      </c>
      <c r="E11" s="219">
        <f>'Ojt Maret-April'!E19</f>
        <v>11</v>
      </c>
      <c r="F11" s="219">
        <v>0</v>
      </c>
      <c r="G11" s="218">
        <v>0</v>
      </c>
      <c r="H11" s="219">
        <f>'SA Mei'!AG56</f>
        <v>54</v>
      </c>
      <c r="I11" s="217">
        <f t="shared" si="0"/>
        <v>65</v>
      </c>
      <c r="J11" s="218">
        <v>12</v>
      </c>
      <c r="K11" s="218">
        <v>14</v>
      </c>
      <c r="L11" s="226">
        <f t="shared" si="1"/>
        <v>26</v>
      </c>
      <c r="M11" s="227">
        <f t="shared" si="2"/>
        <v>2.5</v>
      </c>
      <c r="N11" s="227"/>
    </row>
    <row r="12" spans="2:14" x14ac:dyDescent="0.25">
      <c r="B12" s="222">
        <v>10</v>
      </c>
      <c r="C12" s="218" t="s">
        <v>541</v>
      </c>
      <c r="D12" s="218" t="s">
        <v>264</v>
      </c>
      <c r="E12" s="219">
        <f>'ojt Feb'!I7</f>
        <v>11</v>
      </c>
      <c r="F12" s="219">
        <f>SAMaret!AH4</f>
        <v>21</v>
      </c>
      <c r="G12" s="219">
        <f>'SA April'!AG4</f>
        <v>6</v>
      </c>
      <c r="H12" s="219">
        <f>'SA Mei'!AG4</f>
        <v>8</v>
      </c>
      <c r="I12" s="217">
        <f t="shared" si="0"/>
        <v>46</v>
      </c>
      <c r="J12" s="218">
        <v>12</v>
      </c>
      <c r="K12" s="218">
        <v>14</v>
      </c>
      <c r="L12" s="226">
        <f t="shared" si="1"/>
        <v>26</v>
      </c>
      <c r="M12" s="227">
        <f t="shared" si="2"/>
        <v>1.7692307692307692</v>
      </c>
      <c r="N12" s="227"/>
    </row>
    <row r="13" spans="2:14" x14ac:dyDescent="0.25">
      <c r="B13" s="222">
        <v>11</v>
      </c>
      <c r="C13" s="218" t="s">
        <v>555</v>
      </c>
      <c r="D13" s="218" t="s">
        <v>545</v>
      </c>
      <c r="E13" s="219">
        <f>'Ojt Maret-April'!E22</f>
        <v>14</v>
      </c>
      <c r="F13" s="219">
        <v>0</v>
      </c>
      <c r="G13" s="219">
        <f>'SA April'!AG58</f>
        <v>11</v>
      </c>
      <c r="H13" s="219">
        <f>'SA Mei'!AG40</f>
        <v>16</v>
      </c>
      <c r="I13" s="217">
        <f t="shared" si="0"/>
        <v>41</v>
      </c>
      <c r="J13" s="218">
        <v>12</v>
      </c>
      <c r="K13" s="218">
        <v>14</v>
      </c>
      <c r="L13" s="226">
        <f t="shared" si="1"/>
        <v>26</v>
      </c>
      <c r="M13" s="227">
        <f t="shared" si="2"/>
        <v>1.5769230769230769</v>
      </c>
      <c r="N13" s="227"/>
    </row>
    <row r="14" spans="2:14" x14ac:dyDescent="0.25">
      <c r="B14" s="222">
        <v>12</v>
      </c>
      <c r="C14" s="218" t="s">
        <v>389</v>
      </c>
      <c r="D14" s="218" t="s">
        <v>497</v>
      </c>
      <c r="E14" s="219">
        <f>'Ojt Maret-April'!E23</f>
        <v>10</v>
      </c>
      <c r="F14" s="219">
        <f>SAMaret!AH22</f>
        <v>25</v>
      </c>
      <c r="G14" s="219">
        <f>'SA April'!AG22</f>
        <v>21</v>
      </c>
      <c r="H14" s="219">
        <f>'SA Mei'!AG16</f>
        <v>4</v>
      </c>
      <c r="I14" s="217">
        <f t="shared" si="0"/>
        <v>60</v>
      </c>
      <c r="J14" s="218">
        <v>26</v>
      </c>
      <c r="K14" s="218">
        <f>10+4+14</f>
        <v>28</v>
      </c>
      <c r="L14" s="226">
        <f t="shared" si="1"/>
        <v>54</v>
      </c>
      <c r="M14" s="227">
        <f t="shared" si="2"/>
        <v>1.1111111111111112</v>
      </c>
      <c r="N14" s="227"/>
    </row>
    <row r="15" spans="2:14" x14ac:dyDescent="0.25">
      <c r="B15" s="222">
        <v>13</v>
      </c>
      <c r="C15" s="218" t="s">
        <v>543</v>
      </c>
      <c r="D15" s="218" t="s">
        <v>546</v>
      </c>
      <c r="E15" s="219">
        <f>'Ojt Maret-April'!E21</f>
        <v>10</v>
      </c>
      <c r="F15" s="219">
        <v>0</v>
      </c>
      <c r="G15" s="218">
        <v>0</v>
      </c>
      <c r="H15" s="219">
        <f>'SA Mei'!AG48</f>
        <v>0</v>
      </c>
      <c r="I15" s="217">
        <f t="shared" si="0"/>
        <v>10</v>
      </c>
      <c r="J15" s="218">
        <v>12</v>
      </c>
      <c r="K15" s="218">
        <v>14</v>
      </c>
      <c r="L15" s="226">
        <f t="shared" si="1"/>
        <v>26</v>
      </c>
      <c r="M15" s="227">
        <f t="shared" si="2"/>
        <v>0.38461538461538464</v>
      </c>
      <c r="N15" s="227"/>
    </row>
    <row r="16" spans="2:14" x14ac:dyDescent="0.25">
      <c r="B16" s="222">
        <v>14</v>
      </c>
      <c r="C16" s="218" t="s">
        <v>226</v>
      </c>
      <c r="D16" s="218" t="s">
        <v>490</v>
      </c>
      <c r="E16" s="219">
        <f>'Ojt Maret-April'!E9</f>
        <v>10</v>
      </c>
      <c r="F16" s="219">
        <f>SAMaret!AH28</f>
        <v>10</v>
      </c>
      <c r="G16" s="219">
        <f>'SA April'!AG28</f>
        <v>3</v>
      </c>
      <c r="H16" s="219">
        <f>'SA Mei'!AG20</f>
        <v>12</v>
      </c>
      <c r="I16" s="217">
        <f t="shared" si="0"/>
        <v>35</v>
      </c>
      <c r="J16" s="218">
        <v>12</v>
      </c>
      <c r="K16" s="218">
        <v>14</v>
      </c>
      <c r="L16" s="226">
        <f t="shared" si="1"/>
        <v>26</v>
      </c>
      <c r="M16" s="227">
        <f t="shared" si="2"/>
        <v>1.3461538461538463</v>
      </c>
      <c r="N16" s="227"/>
    </row>
    <row r="17" spans="2:14" x14ac:dyDescent="0.25">
      <c r="B17" s="222">
        <v>15</v>
      </c>
      <c r="C17" s="218" t="s">
        <v>544</v>
      </c>
      <c r="D17" s="218" t="s">
        <v>490</v>
      </c>
      <c r="E17" s="219">
        <f>'ojt Feb'!I6</f>
        <v>21</v>
      </c>
      <c r="F17" s="219">
        <f>SAMaret!AH10</f>
        <v>160</v>
      </c>
      <c r="G17" s="219">
        <f>'SA April'!AG10</f>
        <v>8</v>
      </c>
      <c r="H17" s="219">
        <f>'SA Mei'!AG8</f>
        <v>7</v>
      </c>
      <c r="I17" s="217">
        <f t="shared" si="0"/>
        <v>196</v>
      </c>
      <c r="J17" s="218">
        <v>22</v>
      </c>
      <c r="K17" s="218">
        <v>26</v>
      </c>
      <c r="L17" s="226">
        <f t="shared" si="1"/>
        <v>48</v>
      </c>
      <c r="M17" s="227">
        <f t="shared" si="2"/>
        <v>4.083333333333333</v>
      </c>
      <c r="N17" s="227"/>
    </row>
    <row r="18" spans="2:14" x14ac:dyDescent="0.25">
      <c r="B18" s="222">
        <v>16</v>
      </c>
      <c r="C18" s="218" t="s">
        <v>569</v>
      </c>
      <c r="D18" s="218" t="s">
        <v>535</v>
      </c>
      <c r="E18" s="219">
        <f>'Ojt Maret-April'!E14</f>
        <v>13</v>
      </c>
      <c r="F18" s="219">
        <v>0</v>
      </c>
      <c r="G18" s="219">
        <v>0</v>
      </c>
      <c r="H18" s="219">
        <f>'SA Mei'!AG60</f>
        <v>55</v>
      </c>
      <c r="I18" s="217">
        <f t="shared" si="0"/>
        <v>68</v>
      </c>
      <c r="J18" s="218">
        <v>7</v>
      </c>
      <c r="K18" s="218">
        <v>9</v>
      </c>
      <c r="L18" s="226">
        <f t="shared" si="1"/>
        <v>16</v>
      </c>
      <c r="M18" s="227">
        <f t="shared" si="2"/>
        <v>4.25</v>
      </c>
      <c r="N18" s="227"/>
    </row>
    <row r="19" spans="2:14" x14ac:dyDescent="0.25">
      <c r="B19" s="222">
        <v>17</v>
      </c>
      <c r="C19" s="218" t="s">
        <v>570</v>
      </c>
      <c r="D19" s="218" t="s">
        <v>388</v>
      </c>
      <c r="E19" s="219">
        <f>'Ojt Maret-April'!E11</f>
        <v>10</v>
      </c>
      <c r="F19" s="219">
        <v>0</v>
      </c>
      <c r="G19" s="219">
        <v>0</v>
      </c>
      <c r="H19" s="219">
        <f>'SA Mei'!AG64</f>
        <v>11</v>
      </c>
      <c r="I19" s="217">
        <f t="shared" si="0"/>
        <v>21</v>
      </c>
      <c r="J19" s="218">
        <v>7</v>
      </c>
      <c r="K19" s="218">
        <v>9</v>
      </c>
      <c r="L19" s="226">
        <f t="shared" si="1"/>
        <v>16</v>
      </c>
      <c r="M19" s="227">
        <f t="shared" si="2"/>
        <v>1.3125</v>
      </c>
      <c r="N19" s="227"/>
    </row>
    <row r="20" spans="2:14" x14ac:dyDescent="0.25">
      <c r="B20" s="222">
        <v>18</v>
      </c>
      <c r="C20" s="218" t="s">
        <v>571</v>
      </c>
      <c r="D20" s="218" t="s">
        <v>537</v>
      </c>
      <c r="E20" s="219">
        <f>'Ojt Maret-April'!E12</f>
        <v>14</v>
      </c>
      <c r="F20" s="219">
        <v>0</v>
      </c>
      <c r="G20" s="219">
        <v>0</v>
      </c>
      <c r="H20" s="219">
        <f>'SA Mei'!AG68</f>
        <v>20</v>
      </c>
      <c r="I20" s="217">
        <f t="shared" si="0"/>
        <v>34</v>
      </c>
      <c r="J20" s="218">
        <v>7</v>
      </c>
      <c r="K20" s="218">
        <v>9</v>
      </c>
      <c r="L20" s="226">
        <f t="shared" si="1"/>
        <v>16</v>
      </c>
      <c r="M20" s="227">
        <f t="shared" si="2"/>
        <v>2.125</v>
      </c>
      <c r="N20" s="227"/>
    </row>
    <row r="21" spans="2:14" x14ac:dyDescent="0.25">
      <c r="B21" s="222">
        <v>19</v>
      </c>
      <c r="C21" s="218" t="s">
        <v>575</v>
      </c>
      <c r="D21" s="218" t="s">
        <v>72</v>
      </c>
      <c r="E21" s="219">
        <f>'Ojt Maret-April'!E13</f>
        <v>11</v>
      </c>
      <c r="F21" s="219">
        <v>0</v>
      </c>
      <c r="G21" s="219">
        <v>0</v>
      </c>
      <c r="H21" s="219">
        <f>'SA Mei'!AG72</f>
        <v>27</v>
      </c>
      <c r="I21" s="217">
        <f t="shared" si="0"/>
        <v>38</v>
      </c>
      <c r="J21" s="218">
        <v>7</v>
      </c>
      <c r="K21" s="218">
        <v>9</v>
      </c>
      <c r="L21" s="226">
        <f>J21+K21</f>
        <v>16</v>
      </c>
      <c r="M21" s="227">
        <f t="shared" si="2"/>
        <v>2.375</v>
      </c>
      <c r="N21" s="227"/>
    </row>
    <row r="22" spans="2:14" x14ac:dyDescent="0.25">
      <c r="E22" s="217">
        <f t="shared" ref="E22:H22" si="3">SUM(E3:E17)</f>
        <v>185</v>
      </c>
      <c r="F22" s="217">
        <f t="shared" si="3"/>
        <v>342</v>
      </c>
      <c r="G22" s="217">
        <f t="shared" si="3"/>
        <v>150</v>
      </c>
      <c r="H22" s="217">
        <f t="shared" si="3"/>
        <v>399</v>
      </c>
      <c r="I22" s="217">
        <f>SUM(I3:I17)</f>
        <v>1076</v>
      </c>
      <c r="J22" s="217">
        <f t="shared" ref="J22" si="4">SUM(J3:J17)</f>
        <v>252</v>
      </c>
      <c r="K22" s="217">
        <f>SUM(K3:K21)</f>
        <v>296</v>
      </c>
      <c r="L22" s="217">
        <f>SUM(L3:L18)</f>
        <v>528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A5" sqref="A5"/>
    </sheetView>
  </sheetViews>
  <sheetFormatPr defaultRowHeight="15" x14ac:dyDescent="0.25"/>
  <cols>
    <col min="4" max="4" width="11.7109375" bestFit="1" customWidth="1"/>
    <col min="5" max="5" width="12.5703125" bestFit="1" customWidth="1"/>
    <col min="6" max="6" width="9.85546875" bestFit="1" customWidth="1"/>
  </cols>
  <sheetData>
    <row r="2" spans="1:8" x14ac:dyDescent="0.25">
      <c r="A2" s="70" t="s">
        <v>374</v>
      </c>
      <c r="B2" s="40"/>
      <c r="C2" s="50"/>
      <c r="D2" s="50"/>
      <c r="E2" s="50"/>
      <c r="F2" s="50"/>
      <c r="G2" s="50"/>
      <c r="H2" s="50"/>
    </row>
    <row r="3" spans="1:8" x14ac:dyDescent="0.25">
      <c r="A3" s="272" t="s">
        <v>0</v>
      </c>
      <c r="B3" s="273" t="s">
        <v>262</v>
      </c>
      <c r="C3" s="274"/>
      <c r="D3" s="146" t="s">
        <v>269</v>
      </c>
      <c r="E3" s="146" t="s">
        <v>270</v>
      </c>
      <c r="F3" s="276" t="s">
        <v>271</v>
      </c>
      <c r="G3" s="276"/>
      <c r="H3" s="279" t="s">
        <v>364</v>
      </c>
    </row>
    <row r="4" spans="1:8" x14ac:dyDescent="0.25">
      <c r="A4" s="272"/>
      <c r="B4" s="273"/>
      <c r="C4" s="274"/>
      <c r="D4" s="61"/>
      <c r="E4" s="61" t="s">
        <v>267</v>
      </c>
      <c r="F4" s="62" t="s">
        <v>273</v>
      </c>
      <c r="G4" s="62" t="s">
        <v>272</v>
      </c>
      <c r="H4" s="279"/>
    </row>
    <row r="5" spans="1:8" x14ac:dyDescent="0.25">
      <c r="A5" s="131" t="s">
        <v>487</v>
      </c>
      <c r="B5" s="132" t="s">
        <v>387</v>
      </c>
      <c r="C5" s="211" t="s">
        <v>374</v>
      </c>
      <c r="D5" s="128"/>
      <c r="E5" s="128"/>
      <c r="F5" s="47">
        <f t="shared" ref="F5:G11" si="0">D5</f>
        <v>0</v>
      </c>
      <c r="G5" s="47">
        <f t="shared" si="0"/>
        <v>0</v>
      </c>
      <c r="H5" s="127"/>
    </row>
    <row r="6" spans="1:8" x14ac:dyDescent="0.25">
      <c r="A6" s="131" t="s">
        <v>538</v>
      </c>
      <c r="B6" s="132" t="s">
        <v>123</v>
      </c>
      <c r="C6" s="211" t="s">
        <v>374</v>
      </c>
      <c r="D6" s="210">
        <v>120020</v>
      </c>
      <c r="E6" s="210">
        <v>1</v>
      </c>
      <c r="F6" s="47">
        <f t="shared" si="0"/>
        <v>120020</v>
      </c>
      <c r="G6" s="47">
        <f t="shared" si="0"/>
        <v>1</v>
      </c>
      <c r="H6" s="209"/>
    </row>
    <row r="7" spans="1:8" x14ac:dyDescent="0.25">
      <c r="A7" s="43" t="s">
        <v>377</v>
      </c>
      <c r="B7" s="44" t="s">
        <v>42</v>
      </c>
      <c r="C7" s="69" t="s">
        <v>374</v>
      </c>
      <c r="D7" s="46">
        <f>143735+197030+245092+126438</f>
        <v>712295</v>
      </c>
      <c r="E7" s="46">
        <v>8</v>
      </c>
      <c r="F7" s="47">
        <f t="shared" si="0"/>
        <v>712295</v>
      </c>
      <c r="G7" s="47">
        <f t="shared" si="0"/>
        <v>8</v>
      </c>
      <c r="H7" s="47" t="s">
        <v>365</v>
      </c>
    </row>
    <row r="8" spans="1:8" x14ac:dyDescent="0.25">
      <c r="A8" s="43" t="s">
        <v>527</v>
      </c>
      <c r="B8" s="44" t="s">
        <v>528</v>
      </c>
      <c r="C8" s="183" t="s">
        <v>374</v>
      </c>
      <c r="D8" s="197"/>
      <c r="E8" s="46"/>
      <c r="F8" s="47">
        <f t="shared" si="0"/>
        <v>0</v>
      </c>
      <c r="G8" s="47">
        <f t="shared" si="0"/>
        <v>0</v>
      </c>
      <c r="H8" s="47"/>
    </row>
    <row r="9" spans="1:8" x14ac:dyDescent="0.25">
      <c r="A9" s="43" t="s">
        <v>473</v>
      </c>
      <c r="B9" s="44" t="s">
        <v>560</v>
      </c>
      <c r="C9" s="230" t="s">
        <v>374</v>
      </c>
      <c r="D9" s="46">
        <f>50065+390601+226100+82862</f>
        <v>749628</v>
      </c>
      <c r="E9" s="46">
        <v>7</v>
      </c>
      <c r="F9" s="47">
        <f t="shared" si="0"/>
        <v>749628</v>
      </c>
      <c r="G9" s="47">
        <f t="shared" si="0"/>
        <v>7</v>
      </c>
      <c r="H9" s="47"/>
    </row>
    <row r="10" spans="1:8" x14ac:dyDescent="0.25">
      <c r="A10" s="43" t="s">
        <v>503</v>
      </c>
      <c r="B10" s="44" t="s">
        <v>264</v>
      </c>
      <c r="C10" s="163" t="s">
        <v>374</v>
      </c>
      <c r="D10" s="46">
        <f>111475+120020+112030+55212+123288+395749+405960+109055</f>
        <v>1432789</v>
      </c>
      <c r="E10" s="46">
        <v>13</v>
      </c>
      <c r="F10" s="47">
        <f t="shared" si="0"/>
        <v>1432789</v>
      </c>
      <c r="G10" s="47">
        <f t="shared" si="0"/>
        <v>13</v>
      </c>
      <c r="H10" s="47" t="s">
        <v>365</v>
      </c>
    </row>
    <row r="11" spans="1:8" x14ac:dyDescent="0.25">
      <c r="A11" s="43" t="s">
        <v>486</v>
      </c>
      <c r="B11" s="44" t="s">
        <v>387</v>
      </c>
      <c r="C11" s="126" t="s">
        <v>374</v>
      </c>
      <c r="D11" s="46">
        <f>217005+156485+123590+108630</f>
        <v>605710</v>
      </c>
      <c r="E11" s="46">
        <v>5</v>
      </c>
      <c r="F11" s="47">
        <f t="shared" si="0"/>
        <v>605710</v>
      </c>
      <c r="G11" s="47">
        <f t="shared" si="0"/>
        <v>5</v>
      </c>
      <c r="H11" s="47" t="s">
        <v>365</v>
      </c>
    </row>
    <row r="12" spans="1:8" x14ac:dyDescent="0.25">
      <c r="A12" s="40"/>
      <c r="B12" s="40"/>
      <c r="C12" s="50"/>
      <c r="D12" s="50"/>
      <c r="E12" s="50"/>
      <c r="F12" s="58">
        <f>SUM(F7:F11)</f>
        <v>3500422</v>
      </c>
      <c r="G12" s="58">
        <f>SUM(G7:G11)</f>
        <v>33</v>
      </c>
      <c r="H12" s="71"/>
    </row>
  </sheetData>
  <mergeCells count="5">
    <mergeCell ref="F3:G3"/>
    <mergeCell ref="H3:H4"/>
    <mergeCell ref="A3:A4"/>
    <mergeCell ref="B3:B4"/>
    <mergeCell ref="C3:C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80" zoomScaleNormal="80" workbookViewId="0">
      <selection activeCell="K39" sqref="K39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3" customWidth="1"/>
    <col min="5" max="5" width="38.140625" style="2" hidden="1" customWidth="1"/>
    <col min="6" max="6" width="27.7109375" style="2" bestFit="1" customWidth="1"/>
    <col min="7" max="7" width="14.5703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21" x14ac:dyDescent="0.35">
      <c r="A1" s="268" t="s">
        <v>207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" customFormat="1" x14ac:dyDescent="0.2">
      <c r="A3" s="270" t="s">
        <v>0</v>
      </c>
      <c r="B3" s="270" t="s">
        <v>1</v>
      </c>
      <c r="C3" s="270" t="s">
        <v>8</v>
      </c>
      <c r="D3" s="270" t="s">
        <v>9</v>
      </c>
      <c r="E3" s="270" t="s">
        <v>14</v>
      </c>
      <c r="F3" s="270" t="s">
        <v>2</v>
      </c>
      <c r="G3" s="270" t="s">
        <v>20</v>
      </c>
      <c r="H3" s="269" t="s">
        <v>3</v>
      </c>
      <c r="I3" s="269"/>
      <c r="J3" s="269"/>
      <c r="K3" s="269" t="s">
        <v>110</v>
      </c>
      <c r="L3" s="269" t="s">
        <v>4</v>
      </c>
      <c r="M3" s="269"/>
      <c r="N3" s="269"/>
      <c r="O3" s="269"/>
    </row>
    <row r="4" spans="1:15" s="5" customFormat="1" x14ac:dyDescent="0.25">
      <c r="A4" s="270"/>
      <c r="B4" s="270"/>
      <c r="C4" s="270"/>
      <c r="D4" s="270"/>
      <c r="E4" s="270"/>
      <c r="F4" s="270"/>
      <c r="G4" s="270"/>
      <c r="H4" s="4" t="s">
        <v>7</v>
      </c>
      <c r="I4" s="4" t="s">
        <v>5</v>
      </c>
      <c r="J4" s="4" t="s">
        <v>6</v>
      </c>
      <c r="K4" s="269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2" t="s">
        <v>417</v>
      </c>
      <c r="C5" s="2" t="s">
        <v>17</v>
      </c>
      <c r="D5" s="3" t="s">
        <v>418</v>
      </c>
      <c r="F5" s="2" t="s">
        <v>419</v>
      </c>
      <c r="G5" s="2">
        <v>82188830706</v>
      </c>
      <c r="J5" s="3" t="s">
        <v>109</v>
      </c>
      <c r="K5" s="1" t="s">
        <v>465</v>
      </c>
    </row>
    <row r="6" spans="1:15" x14ac:dyDescent="0.2">
      <c r="A6" s="2" t="s">
        <v>421</v>
      </c>
      <c r="C6" s="2" t="s">
        <v>420</v>
      </c>
      <c r="D6" s="3" t="s">
        <v>422</v>
      </c>
      <c r="F6" s="2" t="s">
        <v>241</v>
      </c>
      <c r="G6" s="2">
        <v>82293298675</v>
      </c>
      <c r="J6" s="3" t="s">
        <v>109</v>
      </c>
      <c r="K6" s="1" t="s">
        <v>465</v>
      </c>
    </row>
    <row r="7" spans="1:15" x14ac:dyDescent="0.2">
      <c r="A7" s="2" t="s">
        <v>423</v>
      </c>
      <c r="C7" s="2" t="s">
        <v>405</v>
      </c>
      <c r="D7" s="3" t="s">
        <v>424</v>
      </c>
      <c r="F7" s="2" t="s">
        <v>333</v>
      </c>
      <c r="G7" s="2">
        <v>85933205390</v>
      </c>
      <c r="J7" s="3" t="s">
        <v>109</v>
      </c>
      <c r="K7" s="1" t="s">
        <v>465</v>
      </c>
    </row>
    <row r="8" spans="1:15" x14ac:dyDescent="0.2">
      <c r="A8" s="21" t="s">
        <v>428</v>
      </c>
      <c r="C8" s="2" t="s">
        <v>420</v>
      </c>
      <c r="D8" s="3" t="s">
        <v>429</v>
      </c>
      <c r="F8" s="2" t="s">
        <v>204</v>
      </c>
      <c r="G8" s="2">
        <v>82188632257</v>
      </c>
      <c r="J8" s="3" t="s">
        <v>109</v>
      </c>
      <c r="K8" s="1" t="s">
        <v>465</v>
      </c>
    </row>
    <row r="9" spans="1:15" x14ac:dyDescent="0.2">
      <c r="A9" s="2" t="s">
        <v>432</v>
      </c>
      <c r="C9" s="2" t="s">
        <v>405</v>
      </c>
      <c r="D9" s="3" t="s">
        <v>433</v>
      </c>
      <c r="F9" s="2" t="s">
        <v>436</v>
      </c>
      <c r="G9" s="2">
        <v>81347578881</v>
      </c>
      <c r="J9" s="3" t="s">
        <v>109</v>
      </c>
      <c r="K9" s="1" t="s">
        <v>465</v>
      </c>
    </row>
    <row r="10" spans="1:15" x14ac:dyDescent="0.2">
      <c r="A10" s="2" t="s">
        <v>437</v>
      </c>
      <c r="C10" s="2" t="s">
        <v>17</v>
      </c>
      <c r="D10" s="3" t="s">
        <v>438</v>
      </c>
      <c r="F10" s="2" t="s">
        <v>168</v>
      </c>
      <c r="G10" s="2" t="s">
        <v>439</v>
      </c>
      <c r="J10" s="3" t="s">
        <v>109</v>
      </c>
      <c r="K10" s="1" t="s">
        <v>465</v>
      </c>
    </row>
    <row r="15" spans="1:15" ht="15.75" x14ac:dyDescent="0.25">
      <c r="A15" s="20" t="s">
        <v>132</v>
      </c>
      <c r="D15" s="2"/>
    </row>
    <row r="16" spans="1:15" x14ac:dyDescent="0.2">
      <c r="A16" s="31" t="s">
        <v>163</v>
      </c>
      <c r="B16" s="31"/>
      <c r="C16" s="31" t="s">
        <v>120</v>
      </c>
      <c r="D16" s="9" t="s">
        <v>165</v>
      </c>
      <c r="E16" s="31"/>
      <c r="F16" s="31" t="s">
        <v>164</v>
      </c>
      <c r="G16" s="32" t="s">
        <v>169</v>
      </c>
      <c r="H16" s="14"/>
      <c r="I16" s="14"/>
      <c r="J16" s="14" t="s">
        <v>109</v>
      </c>
      <c r="K16" s="10" t="s">
        <v>210</v>
      </c>
      <c r="L16" s="14"/>
    </row>
    <row r="17" spans="1:14" x14ac:dyDescent="0.2">
      <c r="A17" s="31" t="s">
        <v>166</v>
      </c>
      <c r="B17" s="31"/>
      <c r="C17" s="31" t="s">
        <v>120</v>
      </c>
      <c r="D17" s="9" t="s">
        <v>167</v>
      </c>
      <c r="E17" s="31"/>
      <c r="F17" s="31" t="s">
        <v>168</v>
      </c>
      <c r="G17" s="33">
        <v>82254112929</v>
      </c>
      <c r="H17" s="14"/>
      <c r="I17" s="14"/>
      <c r="J17" s="14" t="s">
        <v>109</v>
      </c>
      <c r="K17" s="10" t="s">
        <v>210</v>
      </c>
      <c r="L17" s="14"/>
    </row>
    <row r="18" spans="1:14" x14ac:dyDescent="0.2">
      <c r="A18" s="14" t="s">
        <v>240</v>
      </c>
      <c r="B18" s="14"/>
      <c r="C18" s="14" t="s">
        <v>31</v>
      </c>
      <c r="D18" s="14" t="s">
        <v>242</v>
      </c>
      <c r="E18" s="14"/>
      <c r="F18" s="14" t="s">
        <v>241</v>
      </c>
      <c r="G18" s="37">
        <v>82293112274</v>
      </c>
      <c r="H18" s="14"/>
      <c r="I18" s="14"/>
      <c r="J18" s="14"/>
      <c r="K18" s="10" t="s">
        <v>147</v>
      </c>
      <c r="L18" s="14"/>
    </row>
    <row r="19" spans="1:14" x14ac:dyDescent="0.2">
      <c r="A19" s="14" t="s">
        <v>223</v>
      </c>
      <c r="B19" s="14"/>
      <c r="C19" s="14" t="s">
        <v>31</v>
      </c>
      <c r="D19" s="14" t="s">
        <v>224</v>
      </c>
      <c r="E19" s="14"/>
      <c r="F19" s="14" t="s">
        <v>225</v>
      </c>
      <c r="G19" s="14">
        <v>81355511844</v>
      </c>
      <c r="H19" s="14"/>
      <c r="I19" s="14"/>
      <c r="J19" s="9" t="s">
        <v>109</v>
      </c>
      <c r="K19" s="10" t="s">
        <v>256</v>
      </c>
      <c r="L19" s="14"/>
    </row>
    <row r="20" spans="1:14" x14ac:dyDescent="0.2">
      <c r="A20" s="36" t="s">
        <v>155</v>
      </c>
      <c r="B20" s="31"/>
      <c r="C20" s="31" t="s">
        <v>120</v>
      </c>
      <c r="D20" s="9" t="s">
        <v>156</v>
      </c>
      <c r="E20" s="31"/>
      <c r="F20" s="31" t="s">
        <v>154</v>
      </c>
      <c r="G20" s="32">
        <v>81343840466</v>
      </c>
      <c r="H20" s="14"/>
      <c r="I20" s="14"/>
      <c r="J20" s="9" t="s">
        <v>109</v>
      </c>
      <c r="K20" s="10" t="s">
        <v>259</v>
      </c>
      <c r="L20" s="14"/>
    </row>
    <row r="21" spans="1:14" x14ac:dyDescent="0.2">
      <c r="A21" s="31" t="s">
        <v>157</v>
      </c>
      <c r="B21" s="31"/>
      <c r="C21" s="31" t="s">
        <v>120</v>
      </c>
      <c r="D21" s="9" t="s">
        <v>158</v>
      </c>
      <c r="E21" s="31"/>
      <c r="F21" s="31" t="s">
        <v>159</v>
      </c>
      <c r="G21" s="32">
        <v>85338472719</v>
      </c>
      <c r="H21" s="14"/>
      <c r="I21" s="14"/>
      <c r="J21" s="9" t="s">
        <v>109</v>
      </c>
      <c r="K21" s="10" t="s">
        <v>259</v>
      </c>
      <c r="L21" s="14"/>
    </row>
    <row r="22" spans="1:14" x14ac:dyDescent="0.2">
      <c r="A22" s="31" t="s">
        <v>160</v>
      </c>
      <c r="B22" s="31"/>
      <c r="C22" s="31" t="s">
        <v>37</v>
      </c>
      <c r="D22" s="9" t="s">
        <v>161</v>
      </c>
      <c r="E22" s="31"/>
      <c r="F22" s="31" t="s">
        <v>162</v>
      </c>
      <c r="G22" s="32">
        <v>85391798373</v>
      </c>
      <c r="H22" s="14"/>
      <c r="I22" s="14"/>
      <c r="J22" s="9" t="s">
        <v>109</v>
      </c>
      <c r="K22" s="10" t="s">
        <v>259</v>
      </c>
      <c r="L22" s="14"/>
    </row>
    <row r="23" spans="1:14" x14ac:dyDescent="0.2">
      <c r="A23" s="38" t="s">
        <v>170</v>
      </c>
      <c r="B23" s="31"/>
      <c r="C23" s="31" t="s">
        <v>31</v>
      </c>
      <c r="D23" s="9" t="s">
        <v>59</v>
      </c>
      <c r="E23" s="31"/>
      <c r="F23" s="31" t="s">
        <v>171</v>
      </c>
      <c r="G23" s="33">
        <v>85399990168</v>
      </c>
      <c r="H23" s="14"/>
      <c r="I23" s="14"/>
      <c r="J23" s="9" t="s">
        <v>109</v>
      </c>
      <c r="K23" s="10" t="s">
        <v>259</v>
      </c>
      <c r="L23" s="14"/>
    </row>
    <row r="24" spans="1:14" x14ac:dyDescent="0.2">
      <c r="A24" s="31" t="s">
        <v>150</v>
      </c>
      <c r="B24" s="31" t="s">
        <v>151</v>
      </c>
      <c r="C24" s="31" t="s">
        <v>152</v>
      </c>
      <c r="D24" s="9" t="s">
        <v>153</v>
      </c>
      <c r="E24" s="31"/>
      <c r="F24" s="31" t="s">
        <v>154</v>
      </c>
      <c r="G24" s="32">
        <v>81333529899</v>
      </c>
      <c r="H24" s="14"/>
      <c r="I24" s="14"/>
      <c r="J24" s="9" t="s">
        <v>109</v>
      </c>
      <c r="K24" s="10" t="s">
        <v>259</v>
      </c>
      <c r="L24" s="14"/>
    </row>
    <row r="25" spans="1:14" x14ac:dyDescent="0.2">
      <c r="A25" s="14" t="s">
        <v>175</v>
      </c>
      <c r="B25" s="14"/>
      <c r="C25" s="14" t="s">
        <v>37</v>
      </c>
      <c r="D25" s="9" t="s">
        <v>176</v>
      </c>
      <c r="E25" s="14"/>
      <c r="F25" s="14" t="s">
        <v>164</v>
      </c>
      <c r="G25" s="14">
        <v>81354301115</v>
      </c>
      <c r="H25" s="14"/>
      <c r="I25" s="14"/>
      <c r="J25" s="9" t="s">
        <v>109</v>
      </c>
      <c r="K25" s="10" t="s">
        <v>261</v>
      </c>
      <c r="L25" s="14"/>
    </row>
    <row r="26" spans="1:14" x14ac:dyDescent="0.2">
      <c r="A26" s="14" t="s">
        <v>229</v>
      </c>
      <c r="B26" s="14"/>
      <c r="C26" s="14" t="s">
        <v>120</v>
      </c>
      <c r="D26" s="14" t="s">
        <v>121</v>
      </c>
      <c r="E26" s="14"/>
      <c r="F26" s="14" t="s">
        <v>230</v>
      </c>
      <c r="G26" s="14">
        <v>82188226200</v>
      </c>
      <c r="H26" s="14"/>
      <c r="I26" s="14"/>
      <c r="J26" s="9" t="s">
        <v>109</v>
      </c>
      <c r="K26" s="10" t="s">
        <v>259</v>
      </c>
      <c r="L26" s="14"/>
    </row>
    <row r="27" spans="1:14" x14ac:dyDescent="0.2">
      <c r="A27" s="14" t="s">
        <v>227</v>
      </c>
      <c r="B27" s="14"/>
      <c r="C27" s="14" t="s">
        <v>31</v>
      </c>
      <c r="D27" s="14" t="s">
        <v>70</v>
      </c>
      <c r="E27" s="14"/>
      <c r="F27" s="14" t="s">
        <v>228</v>
      </c>
      <c r="G27" s="15" t="s">
        <v>231</v>
      </c>
      <c r="H27" s="14"/>
      <c r="I27" s="14"/>
      <c r="J27" s="9" t="s">
        <v>109</v>
      </c>
      <c r="K27" s="10" t="s">
        <v>259</v>
      </c>
      <c r="L27" s="14"/>
    </row>
    <row r="28" spans="1:14" x14ac:dyDescent="0.2">
      <c r="A28" s="14" t="s">
        <v>235</v>
      </c>
      <c r="B28" s="14"/>
      <c r="C28" s="14" t="s">
        <v>31</v>
      </c>
      <c r="D28" s="14" t="s">
        <v>15</v>
      </c>
      <c r="E28" s="14"/>
      <c r="F28" s="14" t="s">
        <v>236</v>
      </c>
      <c r="G28" s="14">
        <v>85234011132</v>
      </c>
      <c r="H28" s="14"/>
      <c r="I28" s="14"/>
      <c r="J28" s="9" t="s">
        <v>109</v>
      </c>
      <c r="K28" s="10" t="s">
        <v>259</v>
      </c>
      <c r="L28" s="14"/>
    </row>
    <row r="29" spans="1:14" x14ac:dyDescent="0.2">
      <c r="A29" s="31" t="s">
        <v>172</v>
      </c>
      <c r="B29" s="31"/>
      <c r="C29" s="31" t="s">
        <v>120</v>
      </c>
      <c r="D29" s="9" t="s">
        <v>173</v>
      </c>
      <c r="E29" s="31"/>
      <c r="F29" s="31" t="s">
        <v>168</v>
      </c>
      <c r="G29" s="33" t="s">
        <v>174</v>
      </c>
      <c r="H29" s="14"/>
      <c r="I29" s="14"/>
      <c r="J29" s="9" t="s">
        <v>109</v>
      </c>
      <c r="K29" s="10" t="s">
        <v>255</v>
      </c>
      <c r="L29" s="14"/>
      <c r="M29" s="14"/>
      <c r="N29" s="14" t="s">
        <v>130</v>
      </c>
    </row>
    <row r="30" spans="1:14" x14ac:dyDescent="0.2">
      <c r="A30" s="14" t="s">
        <v>293</v>
      </c>
      <c r="B30" s="14"/>
      <c r="C30" s="14" t="s">
        <v>120</v>
      </c>
      <c r="D30" s="14" t="s">
        <v>295</v>
      </c>
      <c r="E30" s="14"/>
      <c r="F30" s="14" t="s">
        <v>294</v>
      </c>
      <c r="G30" s="14">
        <v>81213350030</v>
      </c>
      <c r="H30" s="14"/>
      <c r="I30" s="14"/>
      <c r="J30" s="9" t="s">
        <v>109</v>
      </c>
      <c r="K30" s="10" t="s">
        <v>324</v>
      </c>
      <c r="L30" s="14"/>
    </row>
    <row r="31" spans="1:14" x14ac:dyDescent="0.2">
      <c r="A31" s="14" t="s">
        <v>297</v>
      </c>
      <c r="B31" s="14"/>
      <c r="C31" s="14" t="s">
        <v>298</v>
      </c>
      <c r="D31" s="14" t="s">
        <v>299</v>
      </c>
      <c r="E31" s="14"/>
      <c r="F31" s="14" t="s">
        <v>300</v>
      </c>
      <c r="G31" s="14" t="s">
        <v>301</v>
      </c>
      <c r="H31" s="14"/>
      <c r="I31" s="14"/>
      <c r="J31" s="9" t="s">
        <v>109</v>
      </c>
      <c r="K31" s="10" t="s">
        <v>324</v>
      </c>
      <c r="L31" s="14"/>
    </row>
    <row r="32" spans="1:14" x14ac:dyDescent="0.2">
      <c r="A32" s="14" t="s">
        <v>302</v>
      </c>
      <c r="B32" s="14"/>
      <c r="C32" s="14" t="s">
        <v>152</v>
      </c>
      <c r="D32" s="14" t="s">
        <v>70</v>
      </c>
      <c r="E32" s="14"/>
      <c r="F32" s="14" t="s">
        <v>244</v>
      </c>
      <c r="G32" s="14" t="s">
        <v>303</v>
      </c>
      <c r="H32" s="14"/>
      <c r="I32" s="14"/>
      <c r="J32" s="9" t="s">
        <v>109</v>
      </c>
      <c r="K32" s="10" t="s">
        <v>324</v>
      </c>
      <c r="L32" s="14"/>
    </row>
    <row r="33" spans="1:14" x14ac:dyDescent="0.2">
      <c r="A33" s="14" t="s">
        <v>306</v>
      </c>
      <c r="B33" s="14"/>
      <c r="C33" s="14" t="s">
        <v>37</v>
      </c>
      <c r="D33" s="14" t="s">
        <v>307</v>
      </c>
      <c r="E33" s="14"/>
      <c r="F33" s="14" t="s">
        <v>164</v>
      </c>
      <c r="G33" s="14">
        <v>81242418860</v>
      </c>
      <c r="H33" s="14"/>
      <c r="I33" s="14"/>
      <c r="J33" s="9" t="s">
        <v>109</v>
      </c>
      <c r="K33" s="10" t="s">
        <v>324</v>
      </c>
      <c r="L33" s="14"/>
    </row>
    <row r="34" spans="1:14" x14ac:dyDescent="0.2">
      <c r="A34" s="14" t="s">
        <v>304</v>
      </c>
      <c r="B34" s="14"/>
      <c r="C34" s="14" t="s">
        <v>298</v>
      </c>
      <c r="D34" s="14" t="s">
        <v>305</v>
      </c>
      <c r="E34" s="14"/>
      <c r="F34" s="14" t="s">
        <v>168</v>
      </c>
      <c r="G34" s="14">
        <v>8115000995</v>
      </c>
      <c r="H34" s="14"/>
      <c r="I34" s="14"/>
      <c r="J34" s="9" t="s">
        <v>109</v>
      </c>
      <c r="K34" s="10" t="s">
        <v>259</v>
      </c>
      <c r="L34" s="14"/>
    </row>
    <row r="35" spans="1:14" x14ac:dyDescent="0.2">
      <c r="A35" s="14" t="s">
        <v>203</v>
      </c>
      <c r="B35" s="14"/>
      <c r="C35" s="14" t="s">
        <v>31</v>
      </c>
      <c r="D35" s="9" t="s">
        <v>205</v>
      </c>
      <c r="E35" s="14"/>
      <c r="F35" s="14" t="s">
        <v>204</v>
      </c>
      <c r="G35" s="14">
        <v>85349592229</v>
      </c>
      <c r="H35" s="14"/>
      <c r="I35" s="14"/>
      <c r="J35" s="9" t="s">
        <v>109</v>
      </c>
      <c r="K35" s="10" t="s">
        <v>255</v>
      </c>
      <c r="L35" s="14"/>
      <c r="N35" s="2" t="s">
        <v>277</v>
      </c>
    </row>
    <row r="36" spans="1:14" s="21" customFormat="1" x14ac:dyDescent="0.2">
      <c r="A36" s="14" t="s">
        <v>296</v>
      </c>
      <c r="B36" s="14"/>
      <c r="C36" s="14" t="s">
        <v>120</v>
      </c>
      <c r="D36" s="14" t="s">
        <v>59</v>
      </c>
      <c r="E36" s="14"/>
      <c r="F36" s="14" t="s">
        <v>228</v>
      </c>
      <c r="G36" s="14">
        <v>81259876788</v>
      </c>
      <c r="H36" s="14"/>
      <c r="I36" s="14"/>
      <c r="J36" s="9" t="s">
        <v>109</v>
      </c>
      <c r="K36" s="10" t="s">
        <v>328</v>
      </c>
      <c r="L36" s="14"/>
      <c r="M36" s="14"/>
      <c r="N36" s="14"/>
    </row>
    <row r="37" spans="1:14" x14ac:dyDescent="0.2">
      <c r="A37" s="14" t="s">
        <v>233</v>
      </c>
      <c r="B37" s="14"/>
      <c r="C37" s="14" t="s">
        <v>31</v>
      </c>
      <c r="D37" s="14" t="s">
        <v>234</v>
      </c>
      <c r="E37" s="14"/>
      <c r="F37" s="14" t="s">
        <v>275</v>
      </c>
      <c r="G37" s="14">
        <v>85242822387</v>
      </c>
      <c r="H37" s="14"/>
      <c r="I37" s="14"/>
      <c r="J37" s="9" t="s">
        <v>109</v>
      </c>
      <c r="K37" s="10" t="s">
        <v>357</v>
      </c>
      <c r="L37" s="14"/>
      <c r="N37" s="2" t="s">
        <v>326</v>
      </c>
    </row>
    <row r="38" spans="1:14" x14ac:dyDescent="0.2">
      <c r="A38" s="8" t="s">
        <v>329</v>
      </c>
      <c r="B38" s="8"/>
      <c r="C38" s="8" t="s">
        <v>49</v>
      </c>
      <c r="D38" s="11" t="s">
        <v>279</v>
      </c>
      <c r="E38" s="8"/>
      <c r="F38" s="8" t="s">
        <v>330</v>
      </c>
      <c r="G38" s="8">
        <v>85243183703</v>
      </c>
      <c r="H38" s="8"/>
      <c r="I38" s="8"/>
      <c r="J38" s="8"/>
      <c r="K38" s="6" t="s">
        <v>356</v>
      </c>
      <c r="L38" s="8"/>
      <c r="N38" s="2" t="s">
        <v>362</v>
      </c>
    </row>
    <row r="39" spans="1:14" x14ac:dyDescent="0.2">
      <c r="A39" s="8" t="s">
        <v>331</v>
      </c>
      <c r="B39" s="8"/>
      <c r="C39" s="8" t="s">
        <v>49</v>
      </c>
      <c r="D39" s="11" t="s">
        <v>332</v>
      </c>
      <c r="E39" s="8"/>
      <c r="F39" s="8" t="s">
        <v>228</v>
      </c>
      <c r="G39" s="8">
        <v>85254325552</v>
      </c>
      <c r="H39" s="8"/>
      <c r="I39" s="8"/>
      <c r="J39" s="8"/>
      <c r="K39" s="6" t="s">
        <v>324</v>
      </c>
      <c r="L39" s="8"/>
    </row>
    <row r="40" spans="1:14" x14ac:dyDescent="0.2">
      <c r="A40" s="8" t="s">
        <v>245</v>
      </c>
      <c r="B40" s="8"/>
      <c r="C40" s="8" t="s">
        <v>31</v>
      </c>
      <c r="D40" s="8" t="s">
        <v>31</v>
      </c>
      <c r="E40" s="8"/>
      <c r="F40" s="8" t="s">
        <v>274</v>
      </c>
      <c r="G40" s="8" t="s">
        <v>246</v>
      </c>
      <c r="H40" s="8"/>
      <c r="I40" s="8"/>
      <c r="J40" s="11" t="s">
        <v>109</v>
      </c>
      <c r="K40" s="6" t="s">
        <v>357</v>
      </c>
      <c r="L40" s="8"/>
      <c r="N40" s="2" t="s">
        <v>375</v>
      </c>
    </row>
    <row r="41" spans="1:14" x14ac:dyDescent="0.2">
      <c r="A41" s="8" t="s">
        <v>288</v>
      </c>
      <c r="B41" s="8"/>
      <c r="C41" s="8" t="s">
        <v>17</v>
      </c>
      <c r="D41" s="8" t="s">
        <v>289</v>
      </c>
      <c r="E41" s="8"/>
      <c r="F41" s="8" t="s">
        <v>154</v>
      </c>
      <c r="G41" s="8">
        <v>85343631929</v>
      </c>
      <c r="H41" s="8"/>
      <c r="I41" s="8"/>
      <c r="J41" s="11" t="s">
        <v>109</v>
      </c>
      <c r="K41" s="6" t="s">
        <v>368</v>
      </c>
      <c r="L41" s="8"/>
      <c r="N41" s="2" t="s">
        <v>357</v>
      </c>
    </row>
    <row r="42" spans="1:14" x14ac:dyDescent="0.2">
      <c r="A42" s="8" t="s">
        <v>290</v>
      </c>
      <c r="B42" s="8"/>
      <c r="C42" s="8" t="s">
        <v>31</v>
      </c>
      <c r="D42" s="8" t="s">
        <v>121</v>
      </c>
      <c r="E42" s="8"/>
      <c r="F42" s="8" t="s">
        <v>171</v>
      </c>
      <c r="G42" s="8">
        <v>8114588854</v>
      </c>
      <c r="H42" s="8"/>
      <c r="I42" s="8"/>
      <c r="J42" s="11" t="s">
        <v>109</v>
      </c>
      <c r="K42" s="6" t="s">
        <v>255</v>
      </c>
      <c r="L42" s="8"/>
    </row>
    <row r="43" spans="1:14" x14ac:dyDescent="0.2">
      <c r="A43" s="8" t="s">
        <v>237</v>
      </c>
      <c r="B43" s="8"/>
      <c r="C43" s="8" t="s">
        <v>31</v>
      </c>
      <c r="D43" s="8" t="s">
        <v>239</v>
      </c>
      <c r="E43" s="8"/>
      <c r="F43" s="8" t="s">
        <v>238</v>
      </c>
      <c r="G43" s="8">
        <v>85820801804</v>
      </c>
      <c r="H43" s="8"/>
      <c r="I43" s="8"/>
      <c r="J43" s="11" t="s">
        <v>109</v>
      </c>
      <c r="K43" s="6" t="s">
        <v>255</v>
      </c>
      <c r="L43" s="8"/>
    </row>
    <row r="44" spans="1:14" x14ac:dyDescent="0.2">
      <c r="A44" s="8" t="s">
        <v>291</v>
      </c>
      <c r="B44" s="8"/>
      <c r="C44" s="8" t="s">
        <v>120</v>
      </c>
      <c r="D44" s="8" t="s">
        <v>178</v>
      </c>
      <c r="E44" s="8"/>
      <c r="F44" s="8" t="s">
        <v>292</v>
      </c>
      <c r="G44" s="8">
        <v>85397145904</v>
      </c>
      <c r="H44" s="8"/>
      <c r="I44" s="8"/>
      <c r="J44" s="11" t="s">
        <v>109</v>
      </c>
      <c r="K44" s="6" t="s">
        <v>255</v>
      </c>
      <c r="L44" s="8"/>
      <c r="N44" s="2" t="s">
        <v>375</v>
      </c>
    </row>
    <row r="45" spans="1:14" x14ac:dyDescent="0.2">
      <c r="A45" s="2" t="s">
        <v>425</v>
      </c>
      <c r="C45" s="2" t="s">
        <v>17</v>
      </c>
      <c r="D45" s="3" t="s">
        <v>426</v>
      </c>
      <c r="F45" s="2" t="s">
        <v>427</v>
      </c>
      <c r="G45" s="2">
        <v>82250857710</v>
      </c>
      <c r="J45" s="3" t="s">
        <v>109</v>
      </c>
      <c r="K45" s="1" t="s">
        <v>363</v>
      </c>
    </row>
    <row r="46" spans="1:14" x14ac:dyDescent="0.2">
      <c r="A46" s="2" t="s">
        <v>430</v>
      </c>
      <c r="C46" s="2" t="s">
        <v>405</v>
      </c>
      <c r="D46" s="3" t="s">
        <v>142</v>
      </c>
      <c r="F46" s="2" t="s">
        <v>431</v>
      </c>
      <c r="G46" s="2">
        <v>82346131277</v>
      </c>
      <c r="J46" s="3" t="s">
        <v>109</v>
      </c>
      <c r="K46" s="1" t="s">
        <v>147</v>
      </c>
    </row>
    <row r="47" spans="1:14" x14ac:dyDescent="0.2">
      <c r="A47" s="2" t="s">
        <v>434</v>
      </c>
      <c r="C47" s="2" t="s">
        <v>405</v>
      </c>
      <c r="D47" s="3" t="s">
        <v>435</v>
      </c>
      <c r="F47" s="2" t="s">
        <v>154</v>
      </c>
      <c r="G47" s="2">
        <v>85299739896</v>
      </c>
      <c r="J47" s="3" t="s">
        <v>109</v>
      </c>
      <c r="K47" s="1" t="s">
        <v>147</v>
      </c>
    </row>
    <row r="48" spans="1:14" x14ac:dyDescent="0.2">
      <c r="A48" s="2" t="s">
        <v>440</v>
      </c>
      <c r="C48" s="2" t="s">
        <v>405</v>
      </c>
      <c r="D48" s="3" t="s">
        <v>167</v>
      </c>
      <c r="F48" s="2" t="s">
        <v>154</v>
      </c>
      <c r="G48" s="2">
        <v>85342442434</v>
      </c>
      <c r="J48" s="3" t="s">
        <v>109</v>
      </c>
      <c r="K48" s="1" t="s">
        <v>147</v>
      </c>
    </row>
    <row r="49" spans="1:11" x14ac:dyDescent="0.2">
      <c r="A49" s="2" t="s">
        <v>441</v>
      </c>
      <c r="C49" s="2" t="s">
        <v>400</v>
      </c>
      <c r="D49" s="3" t="s">
        <v>142</v>
      </c>
      <c r="F49" s="2" t="s">
        <v>180</v>
      </c>
      <c r="G49" s="2">
        <v>85230001238</v>
      </c>
      <c r="J49" s="3" t="s">
        <v>109</v>
      </c>
      <c r="K49" s="1" t="s">
        <v>147</v>
      </c>
    </row>
  </sheetData>
  <mergeCells count="11">
    <mergeCell ref="A1:O1"/>
    <mergeCell ref="F3:F4"/>
    <mergeCell ref="G3:G4"/>
    <mergeCell ref="H3:J3"/>
    <mergeCell ref="K3:K4"/>
    <mergeCell ref="L3:O3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0" zoomScale="87" zoomScaleNormal="87" workbookViewId="0">
      <selection activeCell="A6" sqref="A6:XFD6"/>
    </sheetView>
  </sheetViews>
  <sheetFormatPr defaultColWidth="9.140625" defaultRowHeight="12.75" x14ac:dyDescent="0.2"/>
  <cols>
    <col min="1" max="1" width="24.7109375" style="2" bestFit="1" customWidth="1"/>
    <col min="2" max="2" width="16.28515625" style="2" customWidth="1"/>
    <col min="3" max="3" width="11" style="2" customWidth="1"/>
    <col min="4" max="4" width="31.42578125" style="2" customWidth="1"/>
    <col min="5" max="5" width="38.140625" style="2" hidden="1" customWidth="1"/>
    <col min="6" max="6" width="27.7109375" style="2" bestFit="1" customWidth="1"/>
    <col min="7" max="7" width="14.42578125" style="2" bestFit="1" customWidth="1"/>
    <col min="8" max="10" width="9.140625" style="2"/>
    <col min="11" max="11" width="9.140625" style="1"/>
    <col min="12" max="12" width="9.140625" style="2"/>
    <col min="13" max="13" width="15.42578125" style="2" bestFit="1" customWidth="1"/>
    <col min="14" max="16384" width="9.140625" style="2"/>
  </cols>
  <sheetData>
    <row r="1" spans="1:15" ht="15.75" x14ac:dyDescent="0.25">
      <c r="A1" s="271" t="s">
        <v>206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3" spans="1:15" s="3" customFormat="1" x14ac:dyDescent="0.2">
      <c r="A3" s="270" t="s">
        <v>0</v>
      </c>
      <c r="B3" s="270" t="s">
        <v>1</v>
      </c>
      <c r="C3" s="270" t="s">
        <v>8</v>
      </c>
      <c r="D3" s="270" t="s">
        <v>9</v>
      </c>
      <c r="E3" s="270" t="s">
        <v>14</v>
      </c>
      <c r="F3" s="270" t="s">
        <v>2</v>
      </c>
      <c r="G3" s="270" t="s">
        <v>20</v>
      </c>
      <c r="H3" s="269" t="s">
        <v>3</v>
      </c>
      <c r="I3" s="269"/>
      <c r="J3" s="269"/>
      <c r="K3" s="269" t="s">
        <v>110</v>
      </c>
      <c r="L3" s="269" t="s">
        <v>4</v>
      </c>
      <c r="M3" s="269"/>
      <c r="N3" s="269"/>
      <c r="O3" s="269"/>
    </row>
    <row r="4" spans="1:15" s="5" customFormat="1" x14ac:dyDescent="0.25">
      <c r="A4" s="270"/>
      <c r="B4" s="270"/>
      <c r="C4" s="270"/>
      <c r="D4" s="270"/>
      <c r="E4" s="270"/>
      <c r="F4" s="270"/>
      <c r="G4" s="270"/>
      <c r="H4" s="4" t="s">
        <v>7</v>
      </c>
      <c r="I4" s="4" t="s">
        <v>5</v>
      </c>
      <c r="J4" s="4" t="s">
        <v>6</v>
      </c>
      <c r="K4" s="269"/>
      <c r="L4" s="4" t="s">
        <v>10</v>
      </c>
      <c r="M4" s="4" t="s">
        <v>11</v>
      </c>
      <c r="N4" s="4" t="s">
        <v>12</v>
      </c>
      <c r="O4" s="4" t="s">
        <v>13</v>
      </c>
    </row>
    <row r="5" spans="1:15" x14ac:dyDescent="0.2">
      <c r="A5" s="2" t="s">
        <v>397</v>
      </c>
      <c r="C5" s="2" t="s">
        <v>17</v>
      </c>
      <c r="D5" s="2" t="s">
        <v>121</v>
      </c>
      <c r="F5" s="2" t="s">
        <v>398</v>
      </c>
      <c r="G5" s="2">
        <v>81227836780</v>
      </c>
      <c r="J5" s="3"/>
    </row>
    <row r="6" spans="1:15" x14ac:dyDescent="0.2">
      <c r="A6" s="2" t="s">
        <v>399</v>
      </c>
      <c r="C6" s="2" t="s">
        <v>400</v>
      </c>
      <c r="D6" s="2" t="s">
        <v>401</v>
      </c>
      <c r="F6" s="2" t="s">
        <v>285</v>
      </c>
      <c r="G6" s="2">
        <v>82233844540</v>
      </c>
      <c r="J6" s="3" t="s">
        <v>109</v>
      </c>
      <c r="K6" s="1" t="s">
        <v>465</v>
      </c>
    </row>
    <row r="10" spans="1:15" ht="15.75" x14ac:dyDescent="0.25">
      <c r="A10" s="20" t="s">
        <v>132</v>
      </c>
    </row>
    <row r="11" spans="1:15" x14ac:dyDescent="0.2">
      <c r="A11" s="14" t="s">
        <v>181</v>
      </c>
      <c r="B11" s="14"/>
      <c r="C11" s="14" t="s">
        <v>37</v>
      </c>
      <c r="D11" s="14" t="s">
        <v>182</v>
      </c>
      <c r="E11" s="14"/>
      <c r="F11" s="30" t="s">
        <v>183</v>
      </c>
      <c r="G11" s="14">
        <v>82237939850</v>
      </c>
      <c r="H11" s="14"/>
      <c r="I11" s="14"/>
      <c r="J11" s="9" t="s">
        <v>109</v>
      </c>
      <c r="K11" s="10" t="s">
        <v>210</v>
      </c>
      <c r="L11" s="14"/>
    </row>
    <row r="12" spans="1:15" x14ac:dyDescent="0.2">
      <c r="A12" s="14" t="s">
        <v>184</v>
      </c>
      <c r="B12" s="14"/>
      <c r="C12" s="14" t="s">
        <v>31</v>
      </c>
      <c r="D12" s="14" t="s">
        <v>121</v>
      </c>
      <c r="E12" s="14"/>
      <c r="F12" s="14" t="s">
        <v>185</v>
      </c>
      <c r="G12" s="14">
        <v>85727242405</v>
      </c>
      <c r="H12" s="14"/>
      <c r="I12" s="14"/>
      <c r="J12" s="9" t="s">
        <v>109</v>
      </c>
      <c r="K12" s="10" t="s">
        <v>210</v>
      </c>
      <c r="L12" s="14"/>
    </row>
    <row r="13" spans="1:15" x14ac:dyDescent="0.2">
      <c r="A13" s="14" t="s">
        <v>192</v>
      </c>
      <c r="B13" s="14"/>
      <c r="C13" s="14" t="s">
        <v>49</v>
      </c>
      <c r="D13" s="14" t="s">
        <v>193</v>
      </c>
      <c r="E13" s="14"/>
      <c r="F13" s="14" t="s">
        <v>194</v>
      </c>
      <c r="G13" s="15" t="s">
        <v>201</v>
      </c>
      <c r="H13" s="14"/>
      <c r="I13" s="14"/>
      <c r="J13" s="9" t="s">
        <v>109</v>
      </c>
      <c r="K13" s="10" t="s">
        <v>210</v>
      </c>
      <c r="L13" s="14"/>
    </row>
    <row r="14" spans="1:15" x14ac:dyDescent="0.2">
      <c r="A14" s="14" t="s">
        <v>195</v>
      </c>
      <c r="B14" s="14"/>
      <c r="C14" s="14" t="s">
        <v>49</v>
      </c>
      <c r="D14" s="14" t="s">
        <v>15</v>
      </c>
      <c r="E14" s="14"/>
      <c r="F14" s="14" t="s">
        <v>185</v>
      </c>
      <c r="G14" s="14">
        <v>85869561748</v>
      </c>
      <c r="H14" s="14"/>
      <c r="I14" s="14"/>
      <c r="J14" s="9" t="s">
        <v>109</v>
      </c>
      <c r="K14" s="10" t="s">
        <v>210</v>
      </c>
      <c r="L14" s="14"/>
    </row>
    <row r="15" spans="1:15" x14ac:dyDescent="0.2">
      <c r="A15" s="14" t="s">
        <v>199</v>
      </c>
      <c r="B15" s="14"/>
      <c r="C15" s="14" t="s">
        <v>31</v>
      </c>
      <c r="D15" s="14" t="s">
        <v>200</v>
      </c>
      <c r="E15" s="14"/>
      <c r="F15" s="14" t="s">
        <v>185</v>
      </c>
      <c r="G15" s="14">
        <v>81228811211</v>
      </c>
      <c r="H15" s="14"/>
      <c r="I15" s="14"/>
      <c r="J15" s="9" t="s">
        <v>109</v>
      </c>
      <c r="K15" s="10" t="s">
        <v>210</v>
      </c>
      <c r="L15" s="14"/>
    </row>
    <row r="16" spans="1:15" x14ac:dyDescent="0.2">
      <c r="A16" s="14" t="s">
        <v>215</v>
      </c>
      <c r="B16" s="14"/>
      <c r="C16" s="14" t="s">
        <v>49</v>
      </c>
      <c r="D16" s="9" t="s">
        <v>216</v>
      </c>
      <c r="E16" s="14"/>
      <c r="F16" s="14" t="s">
        <v>217</v>
      </c>
      <c r="G16" s="14">
        <v>85891910696</v>
      </c>
      <c r="H16" s="14"/>
      <c r="I16" s="14"/>
      <c r="J16" s="9" t="s">
        <v>109</v>
      </c>
      <c r="K16" s="10" t="s">
        <v>260</v>
      </c>
      <c r="L16" s="14"/>
    </row>
    <row r="17" spans="1:14" x14ac:dyDescent="0.2">
      <c r="A17" s="14" t="s">
        <v>189</v>
      </c>
      <c r="B17" s="14"/>
      <c r="C17" s="14" t="s">
        <v>49</v>
      </c>
      <c r="D17" s="14" t="s">
        <v>190</v>
      </c>
      <c r="E17" s="14"/>
      <c r="F17" s="14" t="s">
        <v>191</v>
      </c>
      <c r="G17" s="14">
        <v>87700201110</v>
      </c>
      <c r="H17" s="14"/>
      <c r="I17" s="14"/>
      <c r="J17" s="9" t="s">
        <v>109</v>
      </c>
      <c r="K17" s="10" t="s">
        <v>260</v>
      </c>
      <c r="L17" s="14"/>
    </row>
    <row r="18" spans="1:14" x14ac:dyDescent="0.2">
      <c r="A18" s="14" t="s">
        <v>196</v>
      </c>
      <c r="B18" s="14"/>
      <c r="C18" s="14" t="s">
        <v>120</v>
      </c>
      <c r="D18" s="14" t="s">
        <v>197</v>
      </c>
      <c r="E18" s="14"/>
      <c r="F18" s="14" t="s">
        <v>198</v>
      </c>
      <c r="G18" s="37">
        <v>87789276997</v>
      </c>
      <c r="H18" s="14"/>
      <c r="I18" s="14"/>
      <c r="J18" s="9" t="s">
        <v>109</v>
      </c>
      <c r="K18" s="10" t="s">
        <v>260</v>
      </c>
      <c r="L18" s="14"/>
    </row>
    <row r="19" spans="1:14" x14ac:dyDescent="0.2">
      <c r="A19" s="14" t="s">
        <v>177</v>
      </c>
      <c r="B19" s="14"/>
      <c r="C19" s="14" t="s">
        <v>120</v>
      </c>
      <c r="D19" s="14" t="s">
        <v>178</v>
      </c>
      <c r="E19" s="14"/>
      <c r="F19" s="14" t="s">
        <v>179</v>
      </c>
      <c r="G19" s="14">
        <v>88217130334</v>
      </c>
      <c r="H19" s="14"/>
      <c r="I19" s="14"/>
      <c r="J19" s="9" t="s">
        <v>109</v>
      </c>
      <c r="K19" s="10" t="s">
        <v>257</v>
      </c>
      <c r="L19" s="14"/>
    </row>
    <row r="20" spans="1:14" x14ac:dyDescent="0.2">
      <c r="A20" s="14" t="s">
        <v>221</v>
      </c>
      <c r="B20" s="14"/>
      <c r="C20" s="14" t="s">
        <v>120</v>
      </c>
      <c r="D20" s="9" t="s">
        <v>222</v>
      </c>
      <c r="E20" s="14"/>
      <c r="F20" s="14" t="s">
        <v>180</v>
      </c>
      <c r="G20" s="14">
        <v>8819665727</v>
      </c>
      <c r="H20" s="14"/>
      <c r="I20" s="14"/>
      <c r="J20" s="9" t="s">
        <v>109</v>
      </c>
      <c r="K20" s="10" t="s">
        <v>260</v>
      </c>
      <c r="L20" s="14"/>
    </row>
    <row r="21" spans="1:14" x14ac:dyDescent="0.2">
      <c r="A21" s="14" t="s">
        <v>186</v>
      </c>
      <c r="B21" s="14"/>
      <c r="C21" s="14" t="s">
        <v>31</v>
      </c>
      <c r="D21" s="14" t="s">
        <v>187</v>
      </c>
      <c r="E21" s="14"/>
      <c r="F21" s="14" t="s">
        <v>188</v>
      </c>
      <c r="G21" s="14">
        <v>85857780001</v>
      </c>
      <c r="H21" s="14"/>
      <c r="I21" s="14"/>
      <c r="J21" s="9" t="s">
        <v>109</v>
      </c>
      <c r="K21" s="10" t="s">
        <v>258</v>
      </c>
      <c r="L21" s="14"/>
    </row>
    <row r="22" spans="1:14" x14ac:dyDescent="0.2">
      <c r="A22" s="14" t="s">
        <v>213</v>
      </c>
      <c r="B22" s="14"/>
      <c r="C22" s="14" t="s">
        <v>120</v>
      </c>
      <c r="D22" s="9" t="s">
        <v>214</v>
      </c>
      <c r="E22" s="14"/>
      <c r="F22" s="14" t="s">
        <v>179</v>
      </c>
      <c r="G22" s="14">
        <v>82231223711</v>
      </c>
      <c r="H22" s="14"/>
      <c r="I22" s="14"/>
      <c r="J22" s="9" t="s">
        <v>109</v>
      </c>
      <c r="K22" s="10" t="s">
        <v>260</v>
      </c>
      <c r="L22" s="14"/>
    </row>
    <row r="23" spans="1:14" x14ac:dyDescent="0.2">
      <c r="A23" s="14" t="s">
        <v>218</v>
      </c>
      <c r="B23" s="14"/>
      <c r="C23" s="14" t="s">
        <v>31</v>
      </c>
      <c r="D23" s="9" t="s">
        <v>219</v>
      </c>
      <c r="E23" s="14"/>
      <c r="F23" s="14" t="s">
        <v>220</v>
      </c>
      <c r="G23" s="14">
        <v>82231895100</v>
      </c>
      <c r="H23" s="14"/>
      <c r="I23" s="14"/>
      <c r="J23" s="9" t="s">
        <v>109</v>
      </c>
      <c r="K23" s="10" t="s">
        <v>260</v>
      </c>
      <c r="L23" s="14"/>
    </row>
    <row r="24" spans="1:14" x14ac:dyDescent="0.2">
      <c r="A24" s="14" t="s">
        <v>283</v>
      </c>
      <c r="B24" s="14"/>
      <c r="C24" s="14" t="s">
        <v>31</v>
      </c>
      <c r="D24" s="14" t="s">
        <v>284</v>
      </c>
      <c r="E24" s="14"/>
      <c r="F24" s="14" t="s">
        <v>285</v>
      </c>
      <c r="G24" s="14">
        <v>82243052878</v>
      </c>
      <c r="H24" s="14"/>
      <c r="I24" s="14"/>
      <c r="J24" s="9" t="s">
        <v>109</v>
      </c>
      <c r="K24" s="10" t="s">
        <v>260</v>
      </c>
      <c r="L24" s="14"/>
    </row>
    <row r="25" spans="1:14" x14ac:dyDescent="0.2">
      <c r="A25" s="14" t="s">
        <v>286</v>
      </c>
      <c r="B25" s="14"/>
      <c r="C25" s="14" t="s">
        <v>49</v>
      </c>
      <c r="D25" s="14" t="s">
        <v>287</v>
      </c>
      <c r="E25" s="14"/>
      <c r="F25" s="14" t="s">
        <v>185</v>
      </c>
      <c r="G25" s="14">
        <v>8995665815</v>
      </c>
      <c r="H25" s="14"/>
      <c r="I25" s="14"/>
      <c r="J25" s="9" t="s">
        <v>109</v>
      </c>
      <c r="K25" s="10" t="s">
        <v>260</v>
      </c>
      <c r="L25" s="14"/>
    </row>
    <row r="26" spans="1:14" x14ac:dyDescent="0.2">
      <c r="A26" s="14" t="s">
        <v>278</v>
      </c>
      <c r="B26" s="14"/>
      <c r="C26" s="14" t="s">
        <v>120</v>
      </c>
      <c r="D26" s="14" t="s">
        <v>279</v>
      </c>
      <c r="E26" s="14"/>
      <c r="F26" s="14" t="s">
        <v>280</v>
      </c>
      <c r="G26" s="14">
        <v>85931028563</v>
      </c>
      <c r="H26" s="14"/>
      <c r="I26" s="14"/>
      <c r="J26" s="9" t="s">
        <v>109</v>
      </c>
      <c r="K26" s="10" t="s">
        <v>260</v>
      </c>
      <c r="L26" s="14"/>
    </row>
    <row r="27" spans="1:14" x14ac:dyDescent="0.2">
      <c r="A27" s="14" t="s">
        <v>281</v>
      </c>
      <c r="B27" s="14"/>
      <c r="C27" s="14" t="s">
        <v>37</v>
      </c>
      <c r="D27" s="14" t="s">
        <v>282</v>
      </c>
      <c r="E27" s="14"/>
      <c r="F27" s="14" t="s">
        <v>185</v>
      </c>
      <c r="G27" s="14">
        <v>87824016503</v>
      </c>
      <c r="H27" s="14"/>
      <c r="I27" s="14"/>
      <c r="J27" s="9" t="s">
        <v>109</v>
      </c>
      <c r="K27" s="10" t="s">
        <v>260</v>
      </c>
      <c r="L27" s="14"/>
    </row>
    <row r="28" spans="1:14" x14ac:dyDescent="0.2">
      <c r="A28" s="8" t="s">
        <v>336</v>
      </c>
      <c r="B28" s="8"/>
      <c r="C28" s="8" t="s">
        <v>31</v>
      </c>
      <c r="D28" s="8" t="s">
        <v>337</v>
      </c>
      <c r="E28" s="8"/>
      <c r="F28" s="8" t="s">
        <v>338</v>
      </c>
      <c r="G28" s="8">
        <v>81358041703</v>
      </c>
      <c r="H28" s="8"/>
      <c r="I28" s="8"/>
      <c r="J28" s="8"/>
      <c r="K28" s="6" t="s">
        <v>363</v>
      </c>
      <c r="L28" s="8"/>
    </row>
    <row r="29" spans="1:14" x14ac:dyDescent="0.2">
      <c r="A29" s="8" t="s">
        <v>334</v>
      </c>
      <c r="B29" s="8"/>
      <c r="C29" s="8" t="s">
        <v>31</v>
      </c>
      <c r="D29" s="8" t="s">
        <v>335</v>
      </c>
      <c r="E29" s="8"/>
      <c r="F29" s="8" t="s">
        <v>191</v>
      </c>
      <c r="G29" s="8">
        <v>87756030035</v>
      </c>
      <c r="H29" s="8"/>
      <c r="I29" s="8"/>
      <c r="J29" s="8"/>
      <c r="K29" s="6" t="s">
        <v>368</v>
      </c>
      <c r="L29" s="8"/>
      <c r="N29" s="2" t="s">
        <v>375</v>
      </c>
    </row>
    <row r="30" spans="1:14" x14ac:dyDescent="0.2">
      <c r="A30" s="8" t="s">
        <v>339</v>
      </c>
      <c r="B30" s="8"/>
      <c r="C30" s="8" t="s">
        <v>37</v>
      </c>
      <c r="D30" s="8" t="s">
        <v>341</v>
      </c>
      <c r="E30" s="8"/>
      <c r="F30" s="8" t="s">
        <v>340</v>
      </c>
      <c r="G30" s="8">
        <v>85878783236</v>
      </c>
      <c r="H30" s="8"/>
      <c r="I30" s="8"/>
      <c r="J30" s="8"/>
      <c r="K30" s="6" t="s">
        <v>367</v>
      </c>
      <c r="L30" s="8"/>
    </row>
    <row r="31" spans="1:14" x14ac:dyDescent="0.2">
      <c r="A31" s="8" t="s">
        <v>358</v>
      </c>
      <c r="B31" s="8"/>
      <c r="C31" s="8" t="s">
        <v>49</v>
      </c>
      <c r="D31" s="8" t="s">
        <v>359</v>
      </c>
      <c r="E31" s="8"/>
      <c r="F31" s="8" t="s">
        <v>185</v>
      </c>
      <c r="G31" s="8">
        <v>85747905799</v>
      </c>
      <c r="H31" s="8"/>
      <c r="I31" s="8"/>
      <c r="J31" s="8"/>
      <c r="K31" s="6" t="s">
        <v>367</v>
      </c>
      <c r="L31" s="8"/>
    </row>
    <row r="32" spans="1:14" x14ac:dyDescent="0.2">
      <c r="A32" s="2" t="s">
        <v>402</v>
      </c>
      <c r="C32" s="2" t="s">
        <v>17</v>
      </c>
      <c r="D32" s="2" t="s">
        <v>216</v>
      </c>
      <c r="F32" s="2" t="s">
        <v>403</v>
      </c>
      <c r="G32" s="2">
        <v>89601356939</v>
      </c>
      <c r="J32" s="3" t="s">
        <v>109</v>
      </c>
      <c r="K32" s="1" t="s">
        <v>468</v>
      </c>
    </row>
    <row r="33" spans="1:11" x14ac:dyDescent="0.2">
      <c r="A33" s="2" t="s">
        <v>404</v>
      </c>
      <c r="C33" s="2" t="s">
        <v>405</v>
      </c>
      <c r="D33" s="2" t="s">
        <v>406</v>
      </c>
      <c r="F33" s="2" t="s">
        <v>180</v>
      </c>
      <c r="G33" s="2">
        <v>82333158666</v>
      </c>
      <c r="J33" s="3" t="s">
        <v>109</v>
      </c>
      <c r="K33" s="1" t="s">
        <v>147</v>
      </c>
    </row>
    <row r="34" spans="1:11" x14ac:dyDescent="0.2">
      <c r="A34" s="2" t="s">
        <v>407</v>
      </c>
      <c r="C34" s="2" t="s">
        <v>17</v>
      </c>
      <c r="D34" s="2" t="s">
        <v>408</v>
      </c>
      <c r="F34" s="2" t="s">
        <v>180</v>
      </c>
      <c r="G34" s="2">
        <v>85895948201</v>
      </c>
      <c r="J34" s="3" t="s">
        <v>109</v>
      </c>
      <c r="K34" s="1" t="s">
        <v>147</v>
      </c>
    </row>
    <row r="35" spans="1:11" x14ac:dyDescent="0.2">
      <c r="A35" s="2" t="s">
        <v>409</v>
      </c>
      <c r="C35" s="2" t="s">
        <v>17</v>
      </c>
      <c r="D35" s="2" t="s">
        <v>178</v>
      </c>
      <c r="F35" s="2" t="s">
        <v>180</v>
      </c>
      <c r="G35" s="2">
        <v>81261923410</v>
      </c>
      <c r="J35" s="3" t="s">
        <v>109</v>
      </c>
      <c r="K35" s="1" t="s">
        <v>469</v>
      </c>
    </row>
    <row r="36" spans="1:11" x14ac:dyDescent="0.2">
      <c r="A36" s="2" t="s">
        <v>410</v>
      </c>
      <c r="C36" s="2" t="s">
        <v>405</v>
      </c>
      <c r="D36" s="2" t="s">
        <v>411</v>
      </c>
      <c r="F36" s="2" t="s">
        <v>180</v>
      </c>
      <c r="G36" s="2">
        <v>82244448921</v>
      </c>
      <c r="J36" s="3" t="s">
        <v>109</v>
      </c>
      <c r="K36" s="1" t="s">
        <v>367</v>
      </c>
    </row>
    <row r="37" spans="1:11" x14ac:dyDescent="0.2">
      <c r="A37" s="2" t="s">
        <v>412</v>
      </c>
      <c r="C37" s="2" t="s">
        <v>17</v>
      </c>
      <c r="D37" s="2" t="s">
        <v>15</v>
      </c>
      <c r="F37" s="2" t="s">
        <v>413</v>
      </c>
      <c r="G37" s="105" t="s">
        <v>414</v>
      </c>
      <c r="J37" s="3" t="s">
        <v>109</v>
      </c>
      <c r="K37" s="1" t="s">
        <v>147</v>
      </c>
    </row>
    <row r="38" spans="1:11" x14ac:dyDescent="0.2">
      <c r="A38" s="21" t="s">
        <v>415</v>
      </c>
      <c r="C38" s="2" t="s">
        <v>17</v>
      </c>
      <c r="D38" s="2" t="s">
        <v>416</v>
      </c>
      <c r="F38" s="2" t="s">
        <v>413</v>
      </c>
      <c r="G38" s="2">
        <v>83899198548</v>
      </c>
      <c r="J38" s="3" t="s">
        <v>109</v>
      </c>
      <c r="K38" s="1" t="s">
        <v>147</v>
      </c>
    </row>
  </sheetData>
  <mergeCells count="11">
    <mergeCell ref="G3:G4"/>
    <mergeCell ref="H3:J3"/>
    <mergeCell ref="K3:K4"/>
    <mergeCell ref="L3:O3"/>
    <mergeCell ref="A1:O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0" zoomScale="90" zoomScaleNormal="90" workbookViewId="0">
      <selection activeCell="A7" sqref="A7"/>
    </sheetView>
  </sheetViews>
  <sheetFormatPr defaultRowHeight="15" x14ac:dyDescent="0.25"/>
  <cols>
    <col min="1" max="1" width="22" style="40" bestFit="1" customWidth="1"/>
    <col min="2" max="2" width="17.7109375" style="40" bestFit="1" customWidth="1"/>
    <col min="3" max="3" width="11.5703125" style="50" bestFit="1" customWidth="1"/>
    <col min="4" max="4" width="12.5703125" style="50" bestFit="1" customWidth="1"/>
    <col min="5" max="7" width="9.140625" style="50"/>
    <col min="8" max="8" width="10.42578125" style="50" bestFit="1" customWidth="1"/>
    <col min="9" max="10" width="9.140625" style="50"/>
    <col min="11" max="11" width="73.140625" style="40" customWidth="1"/>
    <col min="12" max="16384" width="9.140625" style="40"/>
  </cols>
  <sheetData>
    <row r="1" spans="1:11" x14ac:dyDescent="0.25">
      <c r="A1" s="70" t="s">
        <v>12</v>
      </c>
    </row>
    <row r="2" spans="1:11" x14ac:dyDescent="0.25">
      <c r="A2" s="272" t="s">
        <v>0</v>
      </c>
      <c r="B2" s="273" t="s">
        <v>262</v>
      </c>
      <c r="C2" s="274" t="s">
        <v>266</v>
      </c>
      <c r="D2" s="275" t="s">
        <v>269</v>
      </c>
      <c r="E2" s="275"/>
      <c r="F2" s="275" t="s">
        <v>270</v>
      </c>
      <c r="G2" s="275"/>
      <c r="H2" s="276" t="s">
        <v>271</v>
      </c>
      <c r="I2" s="276"/>
      <c r="J2" s="279" t="s">
        <v>364</v>
      </c>
      <c r="K2" s="277" t="s">
        <v>325</v>
      </c>
    </row>
    <row r="3" spans="1:11" x14ac:dyDescent="0.25">
      <c r="A3" s="272"/>
      <c r="B3" s="273"/>
      <c r="C3" s="274"/>
      <c r="D3" s="41" t="s">
        <v>267</v>
      </c>
      <c r="E3" s="41" t="s">
        <v>268</v>
      </c>
      <c r="F3" s="41" t="s">
        <v>267</v>
      </c>
      <c r="G3" s="41" t="s">
        <v>268</v>
      </c>
      <c r="H3" s="42" t="s">
        <v>273</v>
      </c>
      <c r="I3" s="42" t="s">
        <v>272</v>
      </c>
      <c r="J3" s="279"/>
      <c r="K3" s="277"/>
    </row>
    <row r="4" spans="1:11" x14ac:dyDescent="0.25">
      <c r="A4" s="43" t="s">
        <v>58</v>
      </c>
      <c r="B4" s="44" t="s">
        <v>263</v>
      </c>
      <c r="C4" s="45">
        <v>7</v>
      </c>
      <c r="D4" s="46">
        <f>519010+135745</f>
        <v>654755</v>
      </c>
      <c r="E4" s="46">
        <f>128276+82863</f>
        <v>211139</v>
      </c>
      <c r="F4" s="46">
        <v>7</v>
      </c>
      <c r="G4" s="46">
        <v>3</v>
      </c>
      <c r="H4" s="47">
        <f>D4+E4</f>
        <v>865894</v>
      </c>
      <c r="I4" s="47">
        <f>F4+G4</f>
        <v>10</v>
      </c>
      <c r="J4" s="47" t="s">
        <v>365</v>
      </c>
      <c r="K4" s="40" t="s">
        <v>371</v>
      </c>
    </row>
    <row r="5" spans="1:11" x14ac:dyDescent="0.25">
      <c r="A5" s="48" t="s">
        <v>202</v>
      </c>
      <c r="B5" s="48" t="s">
        <v>265</v>
      </c>
      <c r="C5" s="45">
        <v>7</v>
      </c>
      <c r="D5" s="46">
        <f>86360+670565</f>
        <v>756925</v>
      </c>
      <c r="E5" s="46">
        <f>92225+545214</f>
        <v>637439</v>
      </c>
      <c r="F5" s="46">
        <v>8</v>
      </c>
      <c r="G5" s="46">
        <v>5</v>
      </c>
      <c r="H5" s="47">
        <f>D5+E5</f>
        <v>1394364</v>
      </c>
      <c r="I5" s="47">
        <f>F5+G5</f>
        <v>13</v>
      </c>
      <c r="J5" s="47" t="s">
        <v>365</v>
      </c>
      <c r="K5" s="40" t="s">
        <v>370</v>
      </c>
    </row>
    <row r="6" spans="1:11" x14ac:dyDescent="0.25">
      <c r="A6" s="44" t="s">
        <v>232</v>
      </c>
      <c r="B6" s="49" t="s">
        <v>265</v>
      </c>
      <c r="C6" s="45">
        <v>7</v>
      </c>
      <c r="D6" s="46">
        <f>192950+192610+48960+49300+49300+101660</f>
        <v>634780</v>
      </c>
      <c r="E6" s="46">
        <f>112876+520626+90038</f>
        <v>723540</v>
      </c>
      <c r="F6" s="46">
        <f>2+3+4+4</f>
        <v>13</v>
      </c>
      <c r="G6" s="46">
        <f>2+5+1</f>
        <v>8</v>
      </c>
      <c r="H6" s="47">
        <f>D6+E6</f>
        <v>1358320</v>
      </c>
      <c r="I6" s="47">
        <f>F6+G6</f>
        <v>21</v>
      </c>
      <c r="J6" s="47" t="s">
        <v>365</v>
      </c>
      <c r="K6" s="40" t="s">
        <v>371</v>
      </c>
    </row>
    <row r="7" spans="1:11" x14ac:dyDescent="0.25">
      <c r="A7" s="43" t="s">
        <v>64</v>
      </c>
      <c r="B7" s="44" t="s">
        <v>264</v>
      </c>
      <c r="C7" s="45">
        <v>7</v>
      </c>
      <c r="D7" s="46">
        <f>177418+3000+389725</f>
        <v>570143</v>
      </c>
      <c r="E7" s="46">
        <f>234151+65800</f>
        <v>299951</v>
      </c>
      <c r="F7" s="46">
        <v>6</v>
      </c>
      <c r="G7" s="46">
        <v>5</v>
      </c>
      <c r="H7" s="51">
        <f>D7+E7</f>
        <v>870094</v>
      </c>
      <c r="I7" s="47">
        <f>F7+G7</f>
        <v>11</v>
      </c>
      <c r="J7" s="47" t="s">
        <v>365</v>
      </c>
      <c r="K7" s="40" t="s">
        <v>371</v>
      </c>
    </row>
    <row r="8" spans="1:11" x14ac:dyDescent="0.25">
      <c r="H8" s="58">
        <f>SUM(H4:H7)</f>
        <v>4488672</v>
      </c>
      <c r="I8" s="58">
        <f>SUM(I4:I7)</f>
        <v>55</v>
      </c>
      <c r="J8" s="58"/>
    </row>
    <row r="10" spans="1:11" x14ac:dyDescent="0.25">
      <c r="A10" s="70" t="s">
        <v>372</v>
      </c>
    </row>
    <row r="11" spans="1:11" x14ac:dyDescent="0.25">
      <c r="A11" s="272" t="s">
        <v>0</v>
      </c>
      <c r="B11" s="273" t="s">
        <v>262</v>
      </c>
      <c r="C11" s="274"/>
      <c r="D11" s="275" t="s">
        <v>269</v>
      </c>
      <c r="E11" s="275"/>
      <c r="F11" s="275" t="s">
        <v>270</v>
      </c>
      <c r="G11" s="275"/>
      <c r="H11" s="276" t="s">
        <v>271</v>
      </c>
      <c r="I11" s="276"/>
      <c r="J11" s="279" t="s">
        <v>364</v>
      </c>
      <c r="K11" s="277" t="s">
        <v>325</v>
      </c>
    </row>
    <row r="12" spans="1:11" x14ac:dyDescent="0.25">
      <c r="A12" s="272"/>
      <c r="B12" s="273"/>
      <c r="C12" s="274"/>
      <c r="D12" s="59" t="s">
        <v>267</v>
      </c>
      <c r="E12" s="59" t="s">
        <v>268</v>
      </c>
      <c r="F12" s="59" t="s">
        <v>267</v>
      </c>
      <c r="G12" s="59" t="s">
        <v>268</v>
      </c>
      <c r="H12" s="60" t="s">
        <v>273</v>
      </c>
      <c r="I12" s="60" t="s">
        <v>272</v>
      </c>
      <c r="J12" s="279"/>
      <c r="K12" s="277"/>
    </row>
    <row r="13" spans="1:11" x14ac:dyDescent="0.25">
      <c r="A13" s="48" t="s">
        <v>202</v>
      </c>
      <c r="B13" s="48" t="s">
        <v>265</v>
      </c>
      <c r="C13" s="45" t="s">
        <v>262</v>
      </c>
      <c r="D13" s="46">
        <f>110755+123590+115005</f>
        <v>349350</v>
      </c>
      <c r="E13" s="46">
        <f>56213+81463</f>
        <v>137676</v>
      </c>
      <c r="F13" s="46">
        <v>3</v>
      </c>
      <c r="G13" s="46">
        <v>2</v>
      </c>
      <c r="H13" s="47">
        <f>D13+E13</f>
        <v>487026</v>
      </c>
      <c r="I13" s="47">
        <f>F13+G13</f>
        <v>5</v>
      </c>
      <c r="J13" s="47" t="s">
        <v>365</v>
      </c>
    </row>
    <row r="14" spans="1:11" x14ac:dyDescent="0.25">
      <c r="A14" s="44" t="s">
        <v>232</v>
      </c>
      <c r="B14" s="49" t="s">
        <v>265</v>
      </c>
      <c r="C14" s="45" t="s">
        <v>262</v>
      </c>
      <c r="D14" s="46">
        <f>262990+398905</f>
        <v>661895</v>
      </c>
      <c r="E14" s="46">
        <f>220150</f>
        <v>220150</v>
      </c>
      <c r="F14" s="46">
        <f>3+3</f>
        <v>6</v>
      </c>
      <c r="G14" s="46">
        <f>2</f>
        <v>2</v>
      </c>
      <c r="H14" s="47">
        <f>D14+E14</f>
        <v>882045</v>
      </c>
      <c r="I14" s="47">
        <f>F14+G14</f>
        <v>8</v>
      </c>
      <c r="J14" s="47" t="s">
        <v>365</v>
      </c>
    </row>
    <row r="15" spans="1:11" x14ac:dyDescent="0.25">
      <c r="A15" s="44" t="s">
        <v>64</v>
      </c>
      <c r="B15" s="49" t="s">
        <v>264</v>
      </c>
      <c r="C15" s="72" t="s">
        <v>262</v>
      </c>
      <c r="D15" s="46"/>
      <c r="E15" s="46"/>
      <c r="F15" s="46"/>
      <c r="G15" s="46"/>
      <c r="H15" s="47"/>
      <c r="I15" s="47"/>
      <c r="J15" s="47"/>
    </row>
    <row r="16" spans="1:11" x14ac:dyDescent="0.25">
      <c r="A16" s="43" t="s">
        <v>58</v>
      </c>
      <c r="B16" s="49" t="s">
        <v>263</v>
      </c>
      <c r="C16" s="45" t="s">
        <v>262</v>
      </c>
      <c r="D16" s="46">
        <f>225080</f>
        <v>225080</v>
      </c>
      <c r="E16" s="46">
        <v>0</v>
      </c>
      <c r="F16" s="46">
        <f>2</f>
        <v>2</v>
      </c>
      <c r="G16" s="46">
        <v>0</v>
      </c>
      <c r="H16" s="47">
        <f>D16+E16</f>
        <v>225080</v>
      </c>
      <c r="I16" s="47">
        <f>F16+G16</f>
        <v>2</v>
      </c>
      <c r="J16" s="47" t="s">
        <v>365</v>
      </c>
    </row>
    <row r="17" spans="3:11" x14ac:dyDescent="0.25">
      <c r="H17" s="58">
        <f>SUM(H13:H16)</f>
        <v>1594151</v>
      </c>
      <c r="I17" s="58">
        <f>SUM(I13:I16)</f>
        <v>15</v>
      </c>
      <c r="J17" s="58"/>
    </row>
    <row r="18" spans="3:11" x14ac:dyDescent="0.25">
      <c r="H18" s="71"/>
      <c r="I18" s="71"/>
      <c r="J18" s="71"/>
    </row>
    <row r="20" spans="3:11" x14ac:dyDescent="0.25">
      <c r="K20" s="277" t="s">
        <v>325</v>
      </c>
    </row>
    <row r="21" spans="3:11" x14ac:dyDescent="0.25">
      <c r="K21" s="277"/>
    </row>
    <row r="24" spans="3:11" x14ac:dyDescent="0.25">
      <c r="H24" s="71"/>
      <c r="I24" s="71"/>
      <c r="J24" s="71"/>
    </row>
    <row r="25" spans="3:11" x14ac:dyDescent="0.25">
      <c r="C25" s="50">
        <f>H27+SAMaret!AH5+SAMaret!C11</f>
        <v>16799103</v>
      </c>
      <c r="H25" s="71"/>
      <c r="I25" s="71"/>
      <c r="J25" s="71"/>
    </row>
    <row r="26" spans="3:11" x14ac:dyDescent="0.25">
      <c r="H26" s="71"/>
      <c r="I26" s="71"/>
      <c r="J26" s="71"/>
    </row>
    <row r="27" spans="3:11" x14ac:dyDescent="0.25">
      <c r="F27" s="278" t="s">
        <v>373</v>
      </c>
      <c r="G27" s="278"/>
      <c r="H27" s="58">
        <f>H8+H17+reseller!F12</f>
        <v>9583245</v>
      </c>
      <c r="I27" s="58">
        <f>I8+I17+reseller!G12</f>
        <v>103</v>
      </c>
      <c r="J27" s="58"/>
    </row>
  </sheetData>
  <mergeCells count="18">
    <mergeCell ref="K20:K21"/>
    <mergeCell ref="F27:G27"/>
    <mergeCell ref="K2:K3"/>
    <mergeCell ref="J2:J3"/>
    <mergeCell ref="H11:I11"/>
    <mergeCell ref="J11:J12"/>
    <mergeCell ref="K11:K12"/>
    <mergeCell ref="D2:E2"/>
    <mergeCell ref="F2:G2"/>
    <mergeCell ref="H2:I2"/>
    <mergeCell ref="C2:C3"/>
    <mergeCell ref="D11:E11"/>
    <mergeCell ref="F11:G11"/>
    <mergeCell ref="A11:A12"/>
    <mergeCell ref="B11:B12"/>
    <mergeCell ref="C11:C12"/>
    <mergeCell ref="A2:A3"/>
    <mergeCell ref="B2:B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O16" sqref="O16"/>
    </sheetView>
  </sheetViews>
  <sheetFormatPr defaultRowHeight="15" x14ac:dyDescent="0.25"/>
  <cols>
    <col min="1" max="1" width="23.5703125" bestFit="1" customWidth="1"/>
    <col min="2" max="2" width="14.140625" bestFit="1" customWidth="1"/>
    <col min="4" max="5" width="11.7109375" bestFit="1" customWidth="1"/>
    <col min="6" max="6" width="11.7109375" style="205" customWidth="1"/>
  </cols>
  <sheetData>
    <row r="1" spans="1:8" x14ac:dyDescent="0.25">
      <c r="A1" s="70" t="s">
        <v>12</v>
      </c>
      <c r="B1" s="40"/>
      <c r="C1" s="50"/>
      <c r="D1" s="50"/>
      <c r="E1" s="50"/>
      <c r="F1" s="50"/>
      <c r="G1" s="50"/>
    </row>
    <row r="2" spans="1:8" x14ac:dyDescent="0.25">
      <c r="A2" s="272" t="s">
        <v>0</v>
      </c>
      <c r="B2" s="273" t="s">
        <v>262</v>
      </c>
      <c r="C2" s="274" t="s">
        <v>266</v>
      </c>
      <c r="D2" s="280" t="s">
        <v>269</v>
      </c>
      <c r="E2" s="280" t="s">
        <v>270</v>
      </c>
      <c r="F2" s="202" t="s">
        <v>475</v>
      </c>
      <c r="G2" s="279" t="s">
        <v>364</v>
      </c>
    </row>
    <row r="3" spans="1:8" x14ac:dyDescent="0.25">
      <c r="A3" s="272"/>
      <c r="B3" s="273"/>
      <c r="C3" s="274"/>
      <c r="D3" s="280"/>
      <c r="E3" s="280"/>
      <c r="F3" s="175"/>
      <c r="G3" s="279"/>
    </row>
    <row r="4" spans="1:8" x14ac:dyDescent="0.25">
      <c r="A4" s="259" t="s">
        <v>576</v>
      </c>
      <c r="B4" s="260" t="s">
        <v>123</v>
      </c>
      <c r="C4" s="262">
        <v>6</v>
      </c>
      <c r="D4" s="215">
        <f>474677+457558</f>
        <v>932235</v>
      </c>
      <c r="E4" s="136">
        <v>10</v>
      </c>
      <c r="F4" s="175" t="s">
        <v>578</v>
      </c>
      <c r="G4" s="257"/>
    </row>
    <row r="5" spans="1:8" x14ac:dyDescent="0.25">
      <c r="A5" s="253" t="s">
        <v>573</v>
      </c>
      <c r="B5" s="254" t="s">
        <v>123</v>
      </c>
      <c r="C5" s="262">
        <v>6</v>
      </c>
      <c r="D5" s="215">
        <f>197230+337273+275745</f>
        <v>810248</v>
      </c>
      <c r="E5" s="136">
        <v>10</v>
      </c>
      <c r="F5" s="175" t="s">
        <v>578</v>
      </c>
      <c r="G5" s="263"/>
    </row>
    <row r="6" spans="1:8" x14ac:dyDescent="0.25">
      <c r="A6" s="253" t="s">
        <v>574</v>
      </c>
      <c r="B6" s="254" t="s">
        <v>507</v>
      </c>
      <c r="C6" s="258">
        <v>10</v>
      </c>
      <c r="D6" s="215">
        <f>390332+754630</f>
        <v>1144962</v>
      </c>
      <c r="E6" s="136">
        <v>11</v>
      </c>
      <c r="F6" s="175" t="s">
        <v>578</v>
      </c>
      <c r="G6" s="252"/>
    </row>
    <row r="7" spans="1:8" x14ac:dyDescent="0.25">
      <c r="A7" s="40"/>
      <c r="B7" s="40"/>
      <c r="C7" s="50"/>
      <c r="D7" s="58">
        <f>SUM(D4:D6)</f>
        <v>2887445</v>
      </c>
      <c r="E7" s="58">
        <f>SUM(E4:E6)</f>
        <v>31</v>
      </c>
      <c r="F7" s="58"/>
      <c r="G7" s="71"/>
    </row>
    <row r="9" spans="1:8" x14ac:dyDescent="0.25">
      <c r="A9" s="152" t="s">
        <v>226</v>
      </c>
      <c r="B9" s="93" t="s">
        <v>265</v>
      </c>
      <c r="C9" s="94">
        <v>10</v>
      </c>
      <c r="D9" s="95">
        <f>481896+481588</f>
        <v>963484</v>
      </c>
      <c r="E9" s="95">
        <v>10</v>
      </c>
      <c r="F9" s="203" t="s">
        <v>392</v>
      </c>
      <c r="G9" s="96" t="s">
        <v>365</v>
      </c>
      <c r="H9" t="s">
        <v>472</v>
      </c>
    </row>
    <row r="10" spans="1:8" x14ac:dyDescent="0.25">
      <c r="A10" s="133" t="s">
        <v>488</v>
      </c>
      <c r="B10" s="134" t="s">
        <v>387</v>
      </c>
      <c r="C10" s="135">
        <v>9</v>
      </c>
      <c r="D10" s="161">
        <f>237915+1093695</f>
        <v>1331610</v>
      </c>
      <c r="E10" s="136">
        <v>10</v>
      </c>
      <c r="F10" s="175" t="s">
        <v>472</v>
      </c>
      <c r="G10" s="127"/>
    </row>
    <row r="11" spans="1:8" x14ac:dyDescent="0.25">
      <c r="A11" s="207" t="s">
        <v>533</v>
      </c>
      <c r="B11" s="208" t="s">
        <v>497</v>
      </c>
      <c r="C11" s="135">
        <v>8</v>
      </c>
      <c r="D11" s="212">
        <f>256972+108630+816170</f>
        <v>1181772</v>
      </c>
      <c r="E11" s="136">
        <v>10</v>
      </c>
      <c r="F11" s="175" t="s">
        <v>566</v>
      </c>
      <c r="G11" s="201"/>
    </row>
    <row r="12" spans="1:8" x14ac:dyDescent="0.25">
      <c r="A12" s="207" t="s">
        <v>536</v>
      </c>
      <c r="B12" s="208" t="s">
        <v>537</v>
      </c>
      <c r="C12" s="135">
        <v>7</v>
      </c>
      <c r="D12" s="233">
        <f>145010+62645+407383+618329</f>
        <v>1233367</v>
      </c>
      <c r="E12" s="136">
        <v>14</v>
      </c>
      <c r="F12" s="175" t="s">
        <v>566</v>
      </c>
      <c r="G12" s="201"/>
    </row>
    <row r="13" spans="1:8" x14ac:dyDescent="0.25">
      <c r="A13" s="189" t="s">
        <v>523</v>
      </c>
      <c r="B13" s="190" t="s">
        <v>72</v>
      </c>
      <c r="C13" s="191">
        <v>7</v>
      </c>
      <c r="D13" s="200">
        <f>287810+673090</f>
        <v>960900</v>
      </c>
      <c r="E13" s="136">
        <v>11</v>
      </c>
      <c r="F13" s="175" t="s">
        <v>566</v>
      </c>
      <c r="G13" s="184"/>
    </row>
    <row r="14" spans="1:8" x14ac:dyDescent="0.25">
      <c r="A14" s="207" t="s">
        <v>534</v>
      </c>
      <c r="B14" s="208" t="s">
        <v>535</v>
      </c>
      <c r="C14" s="135">
        <v>6</v>
      </c>
      <c r="D14" s="228">
        <v>1288502</v>
      </c>
      <c r="E14" s="136">
        <v>13</v>
      </c>
      <c r="F14" s="175" t="s">
        <v>566</v>
      </c>
      <c r="G14" s="201"/>
    </row>
    <row r="15" spans="1:8" x14ac:dyDescent="0.25">
      <c r="A15" s="172" t="s">
        <v>514</v>
      </c>
      <c r="B15" s="173" t="s">
        <v>65</v>
      </c>
      <c r="C15" s="135">
        <v>4</v>
      </c>
      <c r="D15" s="186">
        <v>1316285</v>
      </c>
      <c r="E15" s="136">
        <v>13</v>
      </c>
      <c r="F15" s="175" t="s">
        <v>472</v>
      </c>
      <c r="G15" s="167"/>
    </row>
    <row r="16" spans="1:8" x14ac:dyDescent="0.25">
      <c r="A16" s="168" t="s">
        <v>506</v>
      </c>
      <c r="B16" s="169" t="s">
        <v>507</v>
      </c>
      <c r="C16" s="135">
        <v>8</v>
      </c>
      <c r="D16" s="177">
        <f>120020+1294380</f>
        <v>1414400</v>
      </c>
      <c r="E16" s="136">
        <v>13</v>
      </c>
      <c r="F16" s="175" t="s">
        <v>472</v>
      </c>
      <c r="G16" s="165"/>
    </row>
    <row r="17" spans="1:8" x14ac:dyDescent="0.25">
      <c r="A17" s="150" t="s">
        <v>455</v>
      </c>
      <c r="B17" s="112" t="s">
        <v>476</v>
      </c>
      <c r="C17" s="113">
        <v>10</v>
      </c>
      <c r="D17" s="114">
        <f>392240+435218</f>
        <v>827458</v>
      </c>
      <c r="E17" s="114">
        <v>10</v>
      </c>
      <c r="F17" s="175" t="s">
        <v>472</v>
      </c>
      <c r="G17" s="115"/>
      <c r="H17" t="s">
        <v>498</v>
      </c>
    </row>
    <row r="18" spans="1:8" x14ac:dyDescent="0.25">
      <c r="A18" s="180" t="s">
        <v>520</v>
      </c>
      <c r="B18" s="181" t="s">
        <v>42</v>
      </c>
      <c r="C18" s="135">
        <v>9</v>
      </c>
      <c r="D18" s="186">
        <f>261545+119000+341467+97212+169065+135450</f>
        <v>1123739</v>
      </c>
      <c r="E18" s="136">
        <v>14</v>
      </c>
      <c r="F18" s="175" t="s">
        <v>472</v>
      </c>
      <c r="G18" s="176"/>
    </row>
    <row r="19" spans="1:8" x14ac:dyDescent="0.25">
      <c r="A19" s="185" t="s">
        <v>521</v>
      </c>
      <c r="B19" s="187" t="s">
        <v>509</v>
      </c>
      <c r="C19" s="135">
        <v>8</v>
      </c>
      <c r="D19" s="186">
        <v>1243910</v>
      </c>
      <c r="E19" s="136">
        <v>11</v>
      </c>
      <c r="F19" s="175" t="s">
        <v>472</v>
      </c>
      <c r="G19" s="182"/>
    </row>
    <row r="20" spans="1:8" x14ac:dyDescent="0.25">
      <c r="A20" s="243" t="s">
        <v>565</v>
      </c>
      <c r="B20" s="244" t="s">
        <v>123</v>
      </c>
      <c r="C20" s="135">
        <v>10</v>
      </c>
      <c r="D20" s="206">
        <f>616647+188124</f>
        <v>804771</v>
      </c>
      <c r="E20" s="136">
        <v>10</v>
      </c>
      <c r="F20" s="175" t="s">
        <v>472</v>
      </c>
      <c r="G20" s="242"/>
    </row>
    <row r="21" spans="1:8" x14ac:dyDescent="0.25">
      <c r="A21" s="133" t="s">
        <v>493</v>
      </c>
      <c r="B21" s="134" t="s">
        <v>274</v>
      </c>
      <c r="C21" s="135">
        <v>9</v>
      </c>
      <c r="D21" s="170">
        <v>629775</v>
      </c>
      <c r="E21" s="136">
        <v>10</v>
      </c>
      <c r="F21" s="175" t="s">
        <v>472</v>
      </c>
      <c r="G21" s="127"/>
    </row>
    <row r="22" spans="1:8" x14ac:dyDescent="0.25">
      <c r="A22" s="172" t="s">
        <v>494</v>
      </c>
      <c r="B22" s="173" t="s">
        <v>495</v>
      </c>
      <c r="C22" s="135">
        <v>10</v>
      </c>
      <c r="D22" s="171">
        <f>908539</f>
        <v>908539</v>
      </c>
      <c r="E22" s="136">
        <v>14</v>
      </c>
      <c r="F22" s="175" t="s">
        <v>472</v>
      </c>
      <c r="G22" s="167"/>
    </row>
    <row r="23" spans="1:8" x14ac:dyDescent="0.25">
      <c r="A23" s="153" t="s">
        <v>389</v>
      </c>
      <c r="B23" s="97" t="s">
        <v>388</v>
      </c>
      <c r="C23" s="98">
        <v>4</v>
      </c>
      <c r="D23" s="99">
        <f>581820+784385</f>
        <v>1366205</v>
      </c>
      <c r="E23" s="99">
        <v>10</v>
      </c>
      <c r="F23" s="99" t="s">
        <v>392</v>
      </c>
      <c r="G23" s="100" t="s">
        <v>365</v>
      </c>
      <c r="H23" t="s">
        <v>472</v>
      </c>
    </row>
    <row r="24" spans="1:8" x14ac:dyDescent="0.25">
      <c r="A24" s="93" t="s">
        <v>394</v>
      </c>
      <c r="B24" s="93" t="s">
        <v>395</v>
      </c>
      <c r="C24" s="94">
        <v>3</v>
      </c>
      <c r="D24" s="95">
        <f>118405+856278</f>
        <v>974683</v>
      </c>
      <c r="E24" s="95">
        <v>12</v>
      </c>
      <c r="F24" s="204" t="s">
        <v>479</v>
      </c>
      <c r="G24" s="96"/>
    </row>
    <row r="25" spans="1:8" x14ac:dyDescent="0.25">
      <c r="A25" s="151" t="s">
        <v>344</v>
      </c>
      <c r="B25" s="97" t="s">
        <v>387</v>
      </c>
      <c r="C25" s="98">
        <v>4</v>
      </c>
      <c r="D25" s="99">
        <v>1661532</v>
      </c>
      <c r="E25" s="99">
        <v>16</v>
      </c>
      <c r="F25" s="99" t="s">
        <v>392</v>
      </c>
      <c r="G25" s="100"/>
      <c r="H25" t="s">
        <v>472</v>
      </c>
    </row>
    <row r="26" spans="1:8" x14ac:dyDescent="0.25">
      <c r="D26" s="109">
        <f>SUM(D9:D25)</f>
        <v>19230932</v>
      </c>
      <c r="E26" s="108"/>
    </row>
    <row r="28" spans="1:8" x14ac:dyDescent="0.25">
      <c r="A28" s="151" t="s">
        <v>243</v>
      </c>
      <c r="B28" s="93" t="s">
        <v>274</v>
      </c>
      <c r="C28" s="98">
        <v>10</v>
      </c>
      <c r="D28" s="99">
        <v>0</v>
      </c>
      <c r="E28" s="99">
        <v>0</v>
      </c>
      <c r="F28" s="107" t="s">
        <v>471</v>
      </c>
      <c r="G28" s="100"/>
    </row>
    <row r="29" spans="1:8" x14ac:dyDescent="0.25">
      <c r="A29" s="185" t="s">
        <v>522</v>
      </c>
      <c r="B29" s="187" t="s">
        <v>42</v>
      </c>
      <c r="C29" s="135">
        <v>10</v>
      </c>
      <c r="D29" s="200"/>
      <c r="E29" s="136"/>
      <c r="F29" s="175" t="s">
        <v>471</v>
      </c>
      <c r="G29" s="182"/>
    </row>
    <row r="30" spans="1:8" x14ac:dyDescent="0.25">
      <c r="A30" s="180" t="s">
        <v>518</v>
      </c>
      <c r="B30" s="181" t="s">
        <v>519</v>
      </c>
      <c r="C30" s="135">
        <v>10</v>
      </c>
      <c r="D30" s="186"/>
      <c r="E30" s="136"/>
      <c r="F30" s="175" t="s">
        <v>471</v>
      </c>
      <c r="G30" s="176"/>
    </row>
    <row r="31" spans="1:8" x14ac:dyDescent="0.25">
      <c r="A31" s="198" t="s">
        <v>516</v>
      </c>
      <c r="B31" s="181" t="s">
        <v>517</v>
      </c>
      <c r="C31" s="135">
        <v>12</v>
      </c>
      <c r="D31" s="186">
        <f>292082+197657+293760+292082</f>
        <v>1075581</v>
      </c>
      <c r="E31" s="136">
        <v>10</v>
      </c>
      <c r="F31" s="175" t="s">
        <v>572</v>
      </c>
      <c r="G31" s="176"/>
    </row>
    <row r="32" spans="1:8" x14ac:dyDescent="0.25">
      <c r="A32" s="198" t="s">
        <v>530</v>
      </c>
      <c r="B32" s="199" t="s">
        <v>531</v>
      </c>
      <c r="C32" s="135">
        <v>16</v>
      </c>
      <c r="D32" s="215"/>
      <c r="E32" s="136"/>
      <c r="F32" s="175" t="s">
        <v>471</v>
      </c>
      <c r="G32" s="188"/>
    </row>
    <row r="33" spans="1:9" x14ac:dyDescent="0.25">
      <c r="A33" s="198" t="s">
        <v>529</v>
      </c>
      <c r="B33" s="199" t="s">
        <v>509</v>
      </c>
      <c r="C33" s="135">
        <v>18</v>
      </c>
      <c r="D33" s="206">
        <v>492963</v>
      </c>
      <c r="E33" s="229">
        <v>5</v>
      </c>
      <c r="F33" s="175" t="s">
        <v>524</v>
      </c>
      <c r="G33" s="188"/>
    </row>
    <row r="34" spans="1:9" x14ac:dyDescent="0.25">
      <c r="A34" s="207" t="s">
        <v>532</v>
      </c>
      <c r="B34" s="208" t="s">
        <v>497</v>
      </c>
      <c r="C34" s="135">
        <v>16</v>
      </c>
      <c r="D34" s="206"/>
      <c r="E34" s="136"/>
      <c r="F34" s="175" t="s">
        <v>524</v>
      </c>
      <c r="G34" s="201"/>
    </row>
    <row r="35" spans="1:9" x14ac:dyDescent="0.25">
      <c r="A35" s="168" t="s">
        <v>504</v>
      </c>
      <c r="B35" s="169" t="s">
        <v>505</v>
      </c>
      <c r="C35" s="135">
        <v>10</v>
      </c>
      <c r="D35" s="179"/>
      <c r="E35" s="136"/>
      <c r="F35" s="175" t="s">
        <v>524</v>
      </c>
      <c r="G35" s="165"/>
    </row>
    <row r="36" spans="1:9" x14ac:dyDescent="0.25">
      <c r="A36" s="157" t="s">
        <v>501</v>
      </c>
      <c r="B36" s="158" t="s">
        <v>502</v>
      </c>
      <c r="C36" s="135">
        <v>10</v>
      </c>
      <c r="D36" s="162"/>
      <c r="E36" s="136"/>
      <c r="F36" s="202" t="s">
        <v>524</v>
      </c>
      <c r="G36" s="148"/>
    </row>
    <row r="37" spans="1:9" x14ac:dyDescent="0.25">
      <c r="A37" s="150" t="s">
        <v>477</v>
      </c>
      <c r="B37" s="112" t="s">
        <v>478</v>
      </c>
      <c r="C37" s="113">
        <v>10</v>
      </c>
      <c r="D37" s="114"/>
      <c r="E37" s="114"/>
      <c r="F37" s="107" t="s">
        <v>471</v>
      </c>
      <c r="G37" s="115"/>
    </row>
    <row r="38" spans="1:9" x14ac:dyDescent="0.25">
      <c r="A38" s="168" t="s">
        <v>508</v>
      </c>
      <c r="B38" s="169" t="s">
        <v>509</v>
      </c>
      <c r="C38" s="135">
        <v>10</v>
      </c>
      <c r="D38" s="170">
        <v>317645</v>
      </c>
      <c r="E38" s="136">
        <v>3</v>
      </c>
      <c r="F38" s="175" t="s">
        <v>471</v>
      </c>
      <c r="G38" s="165"/>
      <c r="I38" s="174"/>
    </row>
    <row r="39" spans="1:9" x14ac:dyDescent="0.25">
      <c r="A39" s="157" t="s">
        <v>500</v>
      </c>
      <c r="B39" s="158" t="s">
        <v>490</v>
      </c>
      <c r="C39" s="135">
        <v>10</v>
      </c>
      <c r="D39" s="166"/>
      <c r="E39" s="136"/>
      <c r="F39" s="175" t="s">
        <v>524</v>
      </c>
      <c r="G39" s="148"/>
    </row>
    <row r="40" spans="1:9" x14ac:dyDescent="0.25">
      <c r="A40" s="172" t="s">
        <v>513</v>
      </c>
      <c r="B40" s="173" t="s">
        <v>65</v>
      </c>
      <c r="C40" s="135">
        <v>10</v>
      </c>
      <c r="D40" s="186"/>
      <c r="E40" s="136"/>
      <c r="F40" s="175" t="s">
        <v>471</v>
      </c>
      <c r="G40" s="167"/>
    </row>
    <row r="41" spans="1:9" x14ac:dyDescent="0.25">
      <c r="A41" s="180" t="s">
        <v>515</v>
      </c>
      <c r="B41" s="181" t="s">
        <v>42</v>
      </c>
      <c r="C41" s="135">
        <v>10</v>
      </c>
      <c r="D41" s="179"/>
      <c r="E41" s="136"/>
      <c r="F41" s="175" t="s">
        <v>471</v>
      </c>
      <c r="G41" s="176"/>
    </row>
    <row r="42" spans="1:9" x14ac:dyDescent="0.25">
      <c r="A42" s="152" t="s">
        <v>393</v>
      </c>
      <c r="B42" s="93" t="s">
        <v>42</v>
      </c>
      <c r="C42" s="94">
        <v>9</v>
      </c>
      <c r="D42" s="95">
        <v>245092</v>
      </c>
      <c r="E42" s="95">
        <v>2</v>
      </c>
      <c r="F42" s="107" t="s">
        <v>471</v>
      </c>
      <c r="G42" s="96"/>
    </row>
    <row r="43" spans="1:9" x14ac:dyDescent="0.25">
      <c r="A43" s="133" t="s">
        <v>489</v>
      </c>
      <c r="B43" s="134" t="s">
        <v>490</v>
      </c>
      <c r="C43" s="135">
        <v>10</v>
      </c>
      <c r="D43" s="161">
        <v>282900</v>
      </c>
      <c r="E43" s="136">
        <v>2</v>
      </c>
      <c r="F43" s="202" t="s">
        <v>471</v>
      </c>
      <c r="G43" s="127"/>
    </row>
    <row r="44" spans="1:9" x14ac:dyDescent="0.25">
      <c r="A44" s="133" t="s">
        <v>491</v>
      </c>
      <c r="B44" s="134" t="s">
        <v>492</v>
      </c>
      <c r="C44" s="135">
        <v>10</v>
      </c>
      <c r="D44" s="156">
        <v>98005</v>
      </c>
      <c r="E44" s="136">
        <v>1</v>
      </c>
      <c r="F44" s="202" t="s">
        <v>471</v>
      </c>
      <c r="G44" s="127"/>
    </row>
    <row r="45" spans="1:9" x14ac:dyDescent="0.25">
      <c r="A45" s="143" t="s">
        <v>496</v>
      </c>
      <c r="B45" s="144" t="s">
        <v>497</v>
      </c>
      <c r="C45" s="123">
        <v>10</v>
      </c>
      <c r="D45" s="160"/>
      <c r="E45" s="140"/>
      <c r="F45" s="202" t="s">
        <v>471</v>
      </c>
      <c r="G45" s="139"/>
    </row>
    <row r="46" spans="1:9" x14ac:dyDescent="0.25">
      <c r="A46" s="149" t="s">
        <v>481</v>
      </c>
      <c r="B46" s="124" t="s">
        <v>482</v>
      </c>
      <c r="C46" s="123">
        <v>7</v>
      </c>
      <c r="D46" s="120"/>
      <c r="E46" s="120"/>
      <c r="F46" s="107" t="s">
        <v>471</v>
      </c>
      <c r="G46" s="118"/>
    </row>
    <row r="47" spans="1:9" x14ac:dyDescent="0.25">
      <c r="A47" s="149" t="s">
        <v>483</v>
      </c>
      <c r="B47" s="124" t="s">
        <v>484</v>
      </c>
      <c r="C47" s="123">
        <v>8</v>
      </c>
      <c r="D47" s="120"/>
      <c r="E47" s="120"/>
      <c r="F47" s="107" t="s">
        <v>471</v>
      </c>
      <c r="G47" s="118"/>
    </row>
    <row r="48" spans="1:9" x14ac:dyDescent="0.25">
      <c r="A48" s="150" t="s">
        <v>473</v>
      </c>
      <c r="B48" s="112" t="s">
        <v>474</v>
      </c>
      <c r="C48" s="113">
        <v>10</v>
      </c>
      <c r="D48" s="114">
        <v>183658</v>
      </c>
      <c r="E48" s="114">
        <v>3</v>
      </c>
      <c r="F48" s="107" t="s">
        <v>471</v>
      </c>
      <c r="G48" s="115"/>
    </row>
    <row r="49" spans="1:7" x14ac:dyDescent="0.25">
      <c r="A49" s="150" t="s">
        <v>437</v>
      </c>
      <c r="B49" s="112" t="s">
        <v>274</v>
      </c>
      <c r="C49" s="113">
        <v>10</v>
      </c>
      <c r="D49" s="114">
        <v>0</v>
      </c>
      <c r="E49" s="114"/>
      <c r="F49" s="107" t="s">
        <v>471</v>
      </c>
      <c r="G49" s="115"/>
    </row>
    <row r="50" spans="1:7" x14ac:dyDescent="0.25">
      <c r="A50" s="150" t="s">
        <v>485</v>
      </c>
      <c r="B50" s="112" t="s">
        <v>264</v>
      </c>
      <c r="C50" s="113">
        <v>10</v>
      </c>
      <c r="D50" s="114">
        <v>0</v>
      </c>
      <c r="E50" s="114"/>
      <c r="F50" s="107" t="s">
        <v>471</v>
      </c>
      <c r="G50" s="115"/>
    </row>
    <row r="51" spans="1:7" x14ac:dyDescent="0.25">
      <c r="A51" s="151" t="s">
        <v>390</v>
      </c>
      <c r="B51" s="101" t="s">
        <v>388</v>
      </c>
      <c r="C51" s="98">
        <v>10</v>
      </c>
      <c r="D51" s="99">
        <f>256105</f>
        <v>256105</v>
      </c>
      <c r="E51" s="99">
        <v>2</v>
      </c>
      <c r="F51" s="107" t="s">
        <v>471</v>
      </c>
      <c r="G51" s="100"/>
    </row>
    <row r="52" spans="1:7" x14ac:dyDescent="0.25">
      <c r="D52" s="141">
        <f>SUM(D28:D51)</f>
        <v>2951949</v>
      </c>
      <c r="E52" s="142">
        <f>SUM(E28:E51)</f>
        <v>28</v>
      </c>
    </row>
    <row r="55" spans="1:7" x14ac:dyDescent="0.25">
      <c r="A55" s="272" t="s">
        <v>0</v>
      </c>
      <c r="B55" s="273" t="s">
        <v>262</v>
      </c>
      <c r="C55" s="274"/>
      <c r="D55" s="280" t="s">
        <v>269</v>
      </c>
      <c r="E55" s="280" t="s">
        <v>270</v>
      </c>
      <c r="F55" s="202" t="s">
        <v>372</v>
      </c>
      <c r="G55" s="279"/>
    </row>
    <row r="56" spans="1:7" x14ac:dyDescent="0.25">
      <c r="A56" s="272"/>
      <c r="B56" s="273"/>
      <c r="C56" s="274"/>
      <c r="D56" s="280"/>
      <c r="E56" s="280"/>
      <c r="F56" s="175"/>
      <c r="G56" s="279"/>
    </row>
    <row r="57" spans="1:7" x14ac:dyDescent="0.25">
      <c r="A57" s="40"/>
      <c r="B57" s="40"/>
      <c r="C57" s="50"/>
      <c r="D57" s="58" t="e">
        <f>SUM(#REF!)</f>
        <v>#REF!</v>
      </c>
      <c r="E57" s="58" t="e">
        <f>SUM(#REF!)</f>
        <v>#REF!</v>
      </c>
      <c r="F57" s="58"/>
      <c r="G57" s="71"/>
    </row>
  </sheetData>
  <mergeCells count="12">
    <mergeCell ref="G2:G3"/>
    <mergeCell ref="A2:A3"/>
    <mergeCell ref="B2:B3"/>
    <mergeCell ref="C2:C3"/>
    <mergeCell ref="D2:D3"/>
    <mergeCell ref="E2:E3"/>
    <mergeCell ref="G55:G56"/>
    <mergeCell ref="A55:A56"/>
    <mergeCell ref="B55:B56"/>
    <mergeCell ref="C55:C56"/>
    <mergeCell ref="D55:D56"/>
    <mergeCell ref="E55:E5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60" zoomScaleNormal="60" workbookViewId="0">
      <pane xSplit="1" topLeftCell="P1" activePane="topRight" state="frozen"/>
      <selection pane="topRight" activeCell="A2" sqref="A2"/>
    </sheetView>
  </sheetViews>
  <sheetFormatPr defaultRowHeight="15" x14ac:dyDescent="0.25"/>
  <cols>
    <col min="1" max="1" width="22" style="40" bestFit="1" customWidth="1"/>
    <col min="2" max="2" width="9.42578125" style="50" customWidth="1"/>
    <col min="3" max="3" width="11.7109375" style="50" bestFit="1" customWidth="1"/>
    <col min="4" max="33" width="11.7109375" style="50" customWidth="1"/>
    <col min="34" max="34" width="12.7109375" style="40" bestFit="1" customWidth="1"/>
    <col min="35" max="35" width="21.28515625" style="40" bestFit="1" customWidth="1"/>
    <col min="36" max="36" width="19.5703125" style="40" customWidth="1"/>
    <col min="37" max="38" width="9.140625" style="40"/>
    <col min="39" max="39" width="9.85546875" style="40" bestFit="1" customWidth="1"/>
    <col min="40" max="16384" width="9.140625" style="40"/>
  </cols>
  <sheetData>
    <row r="1" spans="1:35" x14ac:dyDescent="0.25">
      <c r="B1" s="281" t="s">
        <v>380</v>
      </c>
      <c r="C1" s="81" t="s">
        <v>379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282" t="s">
        <v>385</v>
      </c>
    </row>
    <row r="2" spans="1:35" x14ac:dyDescent="0.25">
      <c r="B2" s="281"/>
      <c r="C2" s="50">
        <v>1</v>
      </c>
      <c r="D2" s="50">
        <v>2</v>
      </c>
      <c r="E2" s="50">
        <v>3</v>
      </c>
      <c r="F2" s="50">
        <v>4</v>
      </c>
      <c r="G2" s="50">
        <v>5</v>
      </c>
      <c r="H2" s="50">
        <v>6</v>
      </c>
      <c r="I2" s="50">
        <v>7</v>
      </c>
      <c r="J2" s="50">
        <v>8</v>
      </c>
      <c r="K2" s="50">
        <v>9</v>
      </c>
      <c r="L2" s="50">
        <v>10</v>
      </c>
      <c r="M2" s="50">
        <v>11</v>
      </c>
      <c r="N2" s="50">
        <v>12</v>
      </c>
      <c r="O2" s="50">
        <v>13</v>
      </c>
      <c r="P2" s="50">
        <v>14</v>
      </c>
      <c r="Q2" s="50">
        <v>15</v>
      </c>
      <c r="R2" s="50">
        <v>16</v>
      </c>
      <c r="S2" s="50">
        <v>17</v>
      </c>
      <c r="T2" s="50">
        <v>18</v>
      </c>
      <c r="U2" s="50">
        <v>19</v>
      </c>
      <c r="V2" s="50">
        <v>20</v>
      </c>
      <c r="W2" s="50">
        <v>21</v>
      </c>
      <c r="X2" s="50">
        <v>22</v>
      </c>
      <c r="Y2" s="50">
        <v>23</v>
      </c>
      <c r="Z2" s="50">
        <v>24</v>
      </c>
      <c r="AA2" s="50">
        <v>25</v>
      </c>
      <c r="AB2" s="50">
        <v>26</v>
      </c>
      <c r="AC2" s="50">
        <v>27</v>
      </c>
      <c r="AD2" s="50">
        <v>28</v>
      </c>
      <c r="AE2" s="50">
        <v>29</v>
      </c>
      <c r="AF2" s="50">
        <v>30</v>
      </c>
      <c r="AG2" s="50">
        <v>31</v>
      </c>
      <c r="AH2" s="282"/>
    </row>
    <row r="3" spans="1:35" x14ac:dyDescent="0.25">
      <c r="A3" s="73" t="s">
        <v>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3"/>
    </row>
    <row r="4" spans="1:35" x14ac:dyDescent="0.25">
      <c r="A4" s="73" t="s">
        <v>381</v>
      </c>
      <c r="B4" s="74"/>
      <c r="C4" s="74">
        <f>13+1</f>
        <v>14</v>
      </c>
      <c r="D4" s="74"/>
      <c r="E4" s="74"/>
      <c r="F4" s="74">
        <v>1</v>
      </c>
      <c r="G4" s="74"/>
      <c r="H4" s="74"/>
      <c r="I4" s="74"/>
      <c r="J4" s="74"/>
      <c r="K4" s="74">
        <v>5</v>
      </c>
      <c r="L4" s="74"/>
      <c r="M4" s="74"/>
      <c r="N4" s="74"/>
      <c r="O4" s="74"/>
      <c r="P4" s="74"/>
      <c r="Q4" s="74"/>
      <c r="R4" s="74"/>
      <c r="S4" s="74"/>
      <c r="T4" s="74"/>
      <c r="U4" s="74">
        <v>1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3">
        <f>SUM(B4:AB4)</f>
        <v>21</v>
      </c>
    </row>
    <row r="5" spans="1:35" x14ac:dyDescent="0.25">
      <c r="A5" s="73" t="s">
        <v>382</v>
      </c>
      <c r="B5" s="74"/>
      <c r="C5" s="75">
        <f>1529090+158638</f>
        <v>1687728</v>
      </c>
      <c r="D5" s="75"/>
      <c r="E5" s="75"/>
      <c r="F5" s="75">
        <v>112880</v>
      </c>
      <c r="G5" s="75"/>
      <c r="H5" s="75"/>
      <c r="I5" s="75"/>
      <c r="J5" s="75"/>
      <c r="K5" s="75">
        <v>596615</v>
      </c>
      <c r="L5" s="75"/>
      <c r="M5" s="75"/>
      <c r="N5" s="75"/>
      <c r="O5" s="75"/>
      <c r="P5" s="75"/>
      <c r="Q5" s="75"/>
      <c r="R5" s="75"/>
      <c r="S5" s="75"/>
      <c r="T5" s="75"/>
      <c r="U5" s="75">
        <v>124338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3">
        <f>SUM(B5:AB5)</f>
        <v>2521561</v>
      </c>
      <c r="AI5" s="137"/>
    </row>
    <row r="6" spans="1:35" x14ac:dyDescent="0.25">
      <c r="A6" s="73" t="s">
        <v>378</v>
      </c>
      <c r="B6" s="74"/>
      <c r="C6" s="75">
        <f>153000+8500</f>
        <v>161500</v>
      </c>
      <c r="D6" s="75"/>
      <c r="E6" s="75"/>
      <c r="F6" s="75">
        <v>17000</v>
      </c>
      <c r="G6" s="75"/>
      <c r="H6" s="75"/>
      <c r="I6" s="75"/>
      <c r="J6" s="75"/>
      <c r="K6" s="75">
        <v>51000</v>
      </c>
      <c r="L6" s="75"/>
      <c r="M6" s="75"/>
      <c r="N6" s="75"/>
      <c r="O6" s="75"/>
      <c r="P6" s="75"/>
      <c r="Q6" s="75"/>
      <c r="R6" s="75"/>
      <c r="S6" s="75"/>
      <c r="T6" s="75"/>
      <c r="U6" s="75">
        <v>17000</v>
      </c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3">
        <f>SUM(B6:AB6)</f>
        <v>246500</v>
      </c>
    </row>
    <row r="7" spans="1:35" x14ac:dyDescent="0.25">
      <c r="A7" s="73" t="s">
        <v>383</v>
      </c>
      <c r="B7" s="74"/>
      <c r="C7" s="74" t="s">
        <v>365</v>
      </c>
      <c r="D7" s="74"/>
      <c r="E7" s="74"/>
      <c r="F7" s="74" t="s">
        <v>365</v>
      </c>
      <c r="G7" s="74"/>
      <c r="H7" s="74"/>
      <c r="I7" s="74"/>
      <c r="J7" s="74"/>
      <c r="K7" s="74" t="s">
        <v>365</v>
      </c>
      <c r="L7" s="74"/>
      <c r="M7" s="74"/>
      <c r="N7" s="74"/>
      <c r="O7" s="74"/>
      <c r="P7" s="74"/>
      <c r="Q7" s="74"/>
      <c r="R7" s="74"/>
      <c r="S7" s="74"/>
      <c r="T7" s="74"/>
      <c r="U7" s="74" t="s">
        <v>365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3"/>
    </row>
    <row r="8" spans="1:35" ht="5.0999999999999996" customHeight="1" x14ac:dyDescent="0.25"/>
    <row r="9" spans="1:35" x14ac:dyDescent="0.25">
      <c r="A9" s="79" t="s">
        <v>232</v>
      </c>
      <c r="B9" s="72"/>
      <c r="C9" s="72"/>
      <c r="D9" s="82"/>
      <c r="E9" s="82"/>
      <c r="F9" s="82"/>
      <c r="G9" s="82"/>
      <c r="H9" s="83"/>
      <c r="I9" s="86"/>
      <c r="J9" s="87"/>
      <c r="K9" s="88"/>
      <c r="L9" s="106"/>
      <c r="M9" s="106"/>
      <c r="N9" s="106"/>
      <c r="O9" s="110"/>
      <c r="P9" s="111"/>
      <c r="Q9" s="116"/>
      <c r="R9" s="117"/>
      <c r="S9" s="117"/>
      <c r="T9" s="117"/>
      <c r="U9" s="119"/>
      <c r="V9" s="125"/>
      <c r="W9" s="125"/>
      <c r="X9" s="126"/>
      <c r="Y9" s="126"/>
      <c r="Z9" s="126"/>
      <c r="AA9" s="126"/>
      <c r="AB9" s="126"/>
      <c r="AC9" s="129"/>
      <c r="AD9" s="130"/>
      <c r="AE9" s="138"/>
      <c r="AF9" s="145"/>
      <c r="AG9" s="145"/>
      <c r="AH9" s="79"/>
    </row>
    <row r="10" spans="1:35" x14ac:dyDescent="0.25">
      <c r="A10" s="79" t="s">
        <v>381</v>
      </c>
      <c r="B10" s="72">
        <f>'ojt Feb'!I14</f>
        <v>8</v>
      </c>
      <c r="C10" s="72">
        <f>91</f>
        <v>91</v>
      </c>
      <c r="D10" s="82"/>
      <c r="E10" s="82"/>
      <c r="F10" s="82"/>
      <c r="G10" s="82">
        <v>4</v>
      </c>
      <c r="H10" s="83"/>
      <c r="I10" s="86">
        <v>15</v>
      </c>
      <c r="J10" s="87"/>
      <c r="K10" s="88"/>
      <c r="L10" s="106"/>
      <c r="M10" s="106"/>
      <c r="N10" s="106">
        <v>11</v>
      </c>
      <c r="O10" s="110"/>
      <c r="P10" s="111"/>
      <c r="Q10" s="116"/>
      <c r="R10" s="117"/>
      <c r="S10" s="117"/>
      <c r="T10" s="117"/>
      <c r="U10" s="119">
        <v>15</v>
      </c>
      <c r="V10" s="125"/>
      <c r="W10" s="125"/>
      <c r="X10" s="126"/>
      <c r="Y10" s="126"/>
      <c r="Z10" s="126"/>
      <c r="AA10" s="126"/>
      <c r="AB10" s="126"/>
      <c r="AC10" s="129"/>
      <c r="AD10" s="130"/>
      <c r="AE10" s="138">
        <v>16</v>
      </c>
      <c r="AF10" s="145"/>
      <c r="AG10" s="145"/>
      <c r="AH10" s="79">
        <f>SUM(B10:AE10)</f>
        <v>160</v>
      </c>
    </row>
    <row r="11" spans="1:35" x14ac:dyDescent="0.25">
      <c r="A11" s="79" t="s">
        <v>382</v>
      </c>
      <c r="B11" s="80">
        <f>'ojt Feb'!H14</f>
        <v>882045</v>
      </c>
      <c r="C11" s="80">
        <f>4694297</f>
        <v>4694297</v>
      </c>
      <c r="D11" s="80"/>
      <c r="E11" s="80"/>
      <c r="F11" s="80"/>
      <c r="G11" s="80">
        <v>324870</v>
      </c>
      <c r="H11" s="80"/>
      <c r="I11" s="80">
        <v>809322</v>
      </c>
      <c r="J11" s="80"/>
      <c r="K11" s="80"/>
      <c r="L11" s="80"/>
      <c r="M11" s="80"/>
      <c r="N11" s="80">
        <v>875587</v>
      </c>
      <c r="O11" s="80"/>
      <c r="P11" s="80"/>
      <c r="Q11" s="80"/>
      <c r="R11" s="80"/>
      <c r="S11" s="80"/>
      <c r="T11" s="80"/>
      <c r="U11" s="80">
        <f>3008606-858575</f>
        <v>2150031</v>
      </c>
      <c r="V11" s="80"/>
      <c r="W11" s="80"/>
      <c r="X11" s="80"/>
      <c r="Y11" s="80"/>
      <c r="Z11" s="80"/>
      <c r="AA11" s="80"/>
      <c r="AB11" s="80"/>
      <c r="AC11" s="80"/>
      <c r="AD11" s="80"/>
      <c r="AE11" s="80">
        <v>738575</v>
      </c>
      <c r="AF11" s="80"/>
      <c r="AG11" s="80"/>
      <c r="AH11" s="79">
        <f>SUM(B11:AE11)</f>
        <v>10474727</v>
      </c>
    </row>
    <row r="12" spans="1:35" x14ac:dyDescent="0.25">
      <c r="A12" s="79" t="s">
        <v>378</v>
      </c>
      <c r="B12" s="72"/>
      <c r="C12" s="80">
        <f>280000</f>
        <v>280000</v>
      </c>
      <c r="D12" s="80"/>
      <c r="E12" s="80"/>
      <c r="F12" s="80"/>
      <c r="G12" s="80">
        <v>44200</v>
      </c>
      <c r="H12" s="80"/>
      <c r="I12" s="80">
        <v>44200</v>
      </c>
      <c r="J12" s="80"/>
      <c r="K12" s="80"/>
      <c r="L12" s="80"/>
      <c r="M12" s="80"/>
      <c r="N12" s="80">
        <v>132600</v>
      </c>
      <c r="O12" s="80"/>
      <c r="P12" s="80"/>
      <c r="Q12" s="80"/>
      <c r="R12" s="80"/>
      <c r="S12" s="80"/>
      <c r="T12" s="80"/>
      <c r="U12" s="80">
        <v>353600</v>
      </c>
      <c r="V12" s="80"/>
      <c r="W12" s="80"/>
      <c r="X12" s="80"/>
      <c r="Y12" s="80"/>
      <c r="Z12" s="80"/>
      <c r="AA12" s="80"/>
      <c r="AB12" s="80"/>
      <c r="AC12" s="80"/>
      <c r="AD12" s="80"/>
      <c r="AE12" s="80">
        <v>120000</v>
      </c>
      <c r="AF12" s="80"/>
      <c r="AG12" s="80"/>
      <c r="AH12" s="79">
        <f>SUM(B12:AE12)</f>
        <v>974600</v>
      </c>
    </row>
    <row r="13" spans="1:35" x14ac:dyDescent="0.25">
      <c r="A13" s="79" t="s">
        <v>383</v>
      </c>
      <c r="B13" s="72"/>
      <c r="C13" s="72" t="s">
        <v>384</v>
      </c>
      <c r="D13" s="82"/>
      <c r="E13" s="82"/>
      <c r="F13" s="82"/>
      <c r="G13" s="82" t="s">
        <v>365</v>
      </c>
      <c r="H13" s="83"/>
      <c r="I13" s="86"/>
      <c r="J13" s="87"/>
      <c r="K13" s="88"/>
      <c r="L13" s="106"/>
      <c r="M13" s="106"/>
      <c r="N13" s="106" t="s">
        <v>365</v>
      </c>
      <c r="O13" s="110"/>
      <c r="P13" s="111"/>
      <c r="Q13" s="116"/>
      <c r="R13" s="117"/>
      <c r="S13" s="117"/>
      <c r="T13" s="117"/>
      <c r="U13" s="119" t="s">
        <v>365</v>
      </c>
      <c r="V13" s="125"/>
      <c r="W13" s="125"/>
      <c r="X13" s="126"/>
      <c r="Y13" s="126"/>
      <c r="Z13" s="126"/>
      <c r="AA13" s="126"/>
      <c r="AB13" s="126"/>
      <c r="AC13" s="129"/>
      <c r="AD13" s="130"/>
      <c r="AE13" s="138"/>
      <c r="AF13" s="145"/>
      <c r="AG13" s="145"/>
      <c r="AH13" s="79"/>
    </row>
    <row r="14" spans="1:35" ht="5.0999999999999996" customHeight="1" x14ac:dyDescent="0.25"/>
    <row r="15" spans="1:35" x14ac:dyDescent="0.25">
      <c r="A15" s="76" t="s">
        <v>58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6"/>
    </row>
    <row r="16" spans="1:35" x14ac:dyDescent="0.25">
      <c r="A16" s="76" t="s">
        <v>381</v>
      </c>
      <c r="B16" s="77">
        <f>'ojt Feb'!I16</f>
        <v>2</v>
      </c>
      <c r="C16" s="77"/>
      <c r="D16" s="77"/>
      <c r="E16" s="77"/>
      <c r="F16" s="77"/>
      <c r="G16" s="77">
        <f>6+6</f>
        <v>12</v>
      </c>
      <c r="H16" s="77">
        <v>2</v>
      </c>
      <c r="I16" s="77"/>
      <c r="J16" s="77"/>
      <c r="K16" s="77"/>
      <c r="L16" s="77"/>
      <c r="M16" s="77">
        <v>8</v>
      </c>
      <c r="N16" s="77"/>
      <c r="O16" s="77"/>
      <c r="P16" s="77"/>
      <c r="Q16" s="77">
        <v>8</v>
      </c>
      <c r="R16" s="77"/>
      <c r="S16" s="77"/>
      <c r="T16" s="77">
        <f>43-16+15</f>
        <v>42</v>
      </c>
      <c r="U16" s="77"/>
      <c r="V16" s="77"/>
      <c r="W16" s="77">
        <v>1</v>
      </c>
      <c r="X16" s="77"/>
      <c r="Y16" s="77"/>
      <c r="Z16" s="77"/>
      <c r="AA16" s="77"/>
      <c r="AB16" s="77"/>
      <c r="AC16" s="77"/>
      <c r="AD16" s="77">
        <v>24</v>
      </c>
      <c r="AE16" s="77">
        <v>3</v>
      </c>
      <c r="AF16" s="77"/>
      <c r="AG16" s="77"/>
      <c r="AH16" s="76">
        <f>SUM(B16:AE16)</f>
        <v>102</v>
      </c>
    </row>
    <row r="17" spans="1:34" x14ac:dyDescent="0.25">
      <c r="A17" s="76" t="s">
        <v>382</v>
      </c>
      <c r="B17" s="78">
        <f>'ojt Feb'!H16</f>
        <v>225080</v>
      </c>
      <c r="C17" s="77"/>
      <c r="D17" s="77"/>
      <c r="E17" s="77"/>
      <c r="F17" s="77"/>
      <c r="G17" s="77">
        <f>589745+495864</f>
        <v>1085609</v>
      </c>
      <c r="H17" s="77">
        <f>194367</f>
        <v>194367</v>
      </c>
      <c r="I17" s="77"/>
      <c r="J17" s="77"/>
      <c r="K17" s="77"/>
      <c r="L17" s="77"/>
      <c r="M17" s="77">
        <v>934440</v>
      </c>
      <c r="N17" s="77">
        <v>682610</v>
      </c>
      <c r="O17" s="77"/>
      <c r="P17" s="77"/>
      <c r="Q17" s="77">
        <f>281945+582027</f>
        <v>863972</v>
      </c>
      <c r="R17" s="77"/>
      <c r="S17" s="77"/>
      <c r="T17" s="77">
        <f>3828477-1155053+1054986</f>
        <v>3728410</v>
      </c>
      <c r="U17" s="77"/>
      <c r="V17" s="77"/>
      <c r="W17" s="77">
        <v>117215</v>
      </c>
      <c r="X17" s="77"/>
      <c r="Y17" s="77"/>
      <c r="Z17" s="77"/>
      <c r="AA17" s="77"/>
      <c r="AB17" s="77"/>
      <c r="AC17" s="77"/>
      <c r="AD17" s="77">
        <v>2319804</v>
      </c>
      <c r="AE17" s="77">
        <v>285091</v>
      </c>
      <c r="AF17" s="77"/>
      <c r="AG17" s="77"/>
      <c r="AH17" s="76">
        <f>SUM(B17:AE17)</f>
        <v>10436598</v>
      </c>
    </row>
    <row r="18" spans="1:34" x14ac:dyDescent="0.25">
      <c r="A18" s="76" t="s">
        <v>378</v>
      </c>
      <c r="B18" s="77"/>
      <c r="C18" s="77"/>
      <c r="D18" s="77"/>
      <c r="E18" s="77"/>
      <c r="F18" s="77"/>
      <c r="G18" s="77">
        <f>48450+48450</f>
        <v>96900</v>
      </c>
      <c r="H18" s="77">
        <v>16150</v>
      </c>
      <c r="I18" s="77"/>
      <c r="J18" s="77"/>
      <c r="K18" s="77"/>
      <c r="L18" s="77"/>
      <c r="M18" s="77">
        <v>96900</v>
      </c>
      <c r="N18" s="77">
        <v>64600</v>
      </c>
      <c r="O18" s="77"/>
      <c r="P18" s="77"/>
      <c r="Q18" s="77">
        <f>32300+64600</f>
        <v>96900</v>
      </c>
      <c r="R18" s="77"/>
      <c r="S18" s="77"/>
      <c r="T18" s="77">
        <v>63000</v>
      </c>
      <c r="U18" s="77"/>
      <c r="V18" s="77"/>
      <c r="W18" s="77">
        <v>16150</v>
      </c>
      <c r="X18" s="77"/>
      <c r="Y18" s="77"/>
      <c r="Z18" s="77"/>
      <c r="AA18" s="77"/>
      <c r="AB18" s="77"/>
      <c r="AC18" s="77"/>
      <c r="AD18" s="77">
        <v>63000</v>
      </c>
      <c r="AE18" s="77">
        <v>32300</v>
      </c>
      <c r="AF18" s="77"/>
      <c r="AG18" s="77"/>
      <c r="AH18" s="76">
        <f>SUM(B18:AE18)</f>
        <v>545900</v>
      </c>
    </row>
    <row r="19" spans="1:34" x14ac:dyDescent="0.25">
      <c r="A19" s="76" t="s">
        <v>383</v>
      </c>
      <c r="B19" s="77"/>
      <c r="C19" s="77"/>
      <c r="D19" s="77"/>
      <c r="E19" s="77"/>
      <c r="F19" s="77"/>
      <c r="G19" s="77" t="s">
        <v>365</v>
      </c>
      <c r="H19" s="77" t="s">
        <v>365</v>
      </c>
      <c r="I19" s="77"/>
      <c r="J19" s="77"/>
      <c r="K19" s="77"/>
      <c r="L19" s="77"/>
      <c r="M19" s="77"/>
      <c r="N19" s="77" t="s">
        <v>365</v>
      </c>
      <c r="O19" s="77"/>
      <c r="P19" s="77"/>
      <c r="Q19" s="77"/>
      <c r="R19" s="77"/>
      <c r="S19" s="77"/>
      <c r="T19" s="77" t="s">
        <v>480</v>
      </c>
      <c r="U19" s="77"/>
      <c r="V19" s="77"/>
      <c r="W19" s="77" t="s">
        <v>365</v>
      </c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6"/>
    </row>
    <row r="20" spans="1:34" ht="5.0999999999999996" customHeight="1" x14ac:dyDescent="0.25"/>
    <row r="21" spans="1:34" x14ac:dyDescent="0.25">
      <c r="A21" s="90" t="s">
        <v>389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0"/>
    </row>
    <row r="22" spans="1:34" x14ac:dyDescent="0.25">
      <c r="A22" s="90" t="s">
        <v>381</v>
      </c>
      <c r="B22" s="91"/>
      <c r="C22" s="91"/>
      <c r="D22" s="91"/>
      <c r="E22" s="91"/>
      <c r="F22" s="91"/>
      <c r="G22" s="91"/>
      <c r="H22" s="91"/>
      <c r="I22" s="91"/>
      <c r="J22" s="91">
        <v>4</v>
      </c>
      <c r="K22" s="91"/>
      <c r="L22" s="91"/>
      <c r="M22" s="91"/>
      <c r="N22" s="91"/>
      <c r="O22" s="91">
        <v>1</v>
      </c>
      <c r="P22" s="91">
        <v>3</v>
      </c>
      <c r="Q22" s="91"/>
      <c r="R22" s="91"/>
      <c r="S22" s="91"/>
      <c r="T22" s="91"/>
      <c r="U22" s="91">
        <v>2</v>
      </c>
      <c r="V22" s="91"/>
      <c r="W22" s="91"/>
      <c r="X22" s="91"/>
      <c r="Y22" s="91">
        <v>5</v>
      </c>
      <c r="Z22" s="91"/>
      <c r="AA22" s="91">
        <v>1</v>
      </c>
      <c r="AB22" s="91">
        <v>9</v>
      </c>
      <c r="AC22" s="91"/>
      <c r="AD22" s="91"/>
      <c r="AE22" s="91">
        <v>3</v>
      </c>
      <c r="AF22" s="91"/>
      <c r="AG22" s="91"/>
      <c r="AH22" s="90">
        <f>SUM(J22:AB22)</f>
        <v>25</v>
      </c>
    </row>
    <row r="23" spans="1:34" x14ac:dyDescent="0.25">
      <c r="A23" s="90" t="s">
        <v>382</v>
      </c>
      <c r="B23" s="92"/>
      <c r="C23" s="91"/>
      <c r="D23" s="91"/>
      <c r="E23" s="91"/>
      <c r="F23" s="91"/>
      <c r="G23" s="91"/>
      <c r="H23" s="91"/>
      <c r="I23" s="91"/>
      <c r="J23" s="91">
        <v>381606</v>
      </c>
      <c r="K23" s="91"/>
      <c r="L23" s="91"/>
      <c r="M23" s="91"/>
      <c r="N23" s="91"/>
      <c r="O23" s="91">
        <v>95988</v>
      </c>
      <c r="P23" s="91">
        <v>249428</v>
      </c>
      <c r="Q23" s="91"/>
      <c r="R23" s="91"/>
      <c r="S23" s="91"/>
      <c r="T23" s="91"/>
      <c r="U23" s="91">
        <v>191653</v>
      </c>
      <c r="V23" s="91"/>
      <c r="W23" s="91"/>
      <c r="X23" s="91"/>
      <c r="Y23" s="91">
        <v>613367</v>
      </c>
      <c r="Z23" s="91"/>
      <c r="AA23" s="91">
        <v>130050</v>
      </c>
      <c r="AB23" s="91">
        <f>772484+149685</f>
        <v>922169</v>
      </c>
      <c r="AC23" s="91"/>
      <c r="AD23" s="91"/>
      <c r="AE23" s="91">
        <v>331910</v>
      </c>
      <c r="AF23" s="91"/>
      <c r="AG23" s="91"/>
      <c r="AH23" s="90">
        <f>SUM(J23:AB23)</f>
        <v>2584261</v>
      </c>
    </row>
    <row r="24" spans="1:34" x14ac:dyDescent="0.25">
      <c r="A24" s="90" t="s">
        <v>378</v>
      </c>
      <c r="B24" s="91"/>
      <c r="C24" s="91"/>
      <c r="D24" s="91"/>
      <c r="E24" s="91"/>
      <c r="F24" s="91"/>
      <c r="G24" s="91"/>
      <c r="H24" s="91"/>
      <c r="I24" s="91"/>
      <c r="J24" s="91">
        <v>23800</v>
      </c>
      <c r="K24" s="91"/>
      <c r="L24" s="91"/>
      <c r="M24" s="91"/>
      <c r="N24" s="91"/>
      <c r="O24" s="91">
        <v>12000</v>
      </c>
      <c r="P24" s="91">
        <v>23800</v>
      </c>
      <c r="Q24" s="91"/>
      <c r="R24" s="91"/>
      <c r="S24" s="91"/>
      <c r="T24" s="91"/>
      <c r="U24" s="91">
        <v>23800</v>
      </c>
      <c r="V24" s="91"/>
      <c r="W24" s="91"/>
      <c r="X24" s="91"/>
      <c r="Y24" s="91">
        <v>35700</v>
      </c>
      <c r="Z24" s="91"/>
      <c r="AA24" s="91">
        <v>14450</v>
      </c>
      <c r="AB24" s="91">
        <f>23000+23800</f>
        <v>46800</v>
      </c>
      <c r="AC24" s="91"/>
      <c r="AD24" s="91"/>
      <c r="AE24" s="91">
        <v>23800</v>
      </c>
      <c r="AF24" s="91"/>
      <c r="AG24" s="91"/>
      <c r="AH24" s="90">
        <f>SUM(J24:AB24)</f>
        <v>180350</v>
      </c>
    </row>
    <row r="25" spans="1:34" x14ac:dyDescent="0.25">
      <c r="A25" s="90" t="s">
        <v>383</v>
      </c>
      <c r="B25" s="91"/>
      <c r="C25" s="91"/>
      <c r="D25" s="91"/>
      <c r="E25" s="91"/>
      <c r="F25" s="91"/>
      <c r="G25" s="91"/>
      <c r="H25" s="91"/>
      <c r="I25" s="91"/>
      <c r="J25" s="91" t="s">
        <v>365</v>
      </c>
      <c r="K25" s="91"/>
      <c r="L25" s="91"/>
      <c r="M25" s="91"/>
      <c r="N25" s="91"/>
      <c r="O25" s="91" t="s">
        <v>365</v>
      </c>
      <c r="P25" s="91" t="s">
        <v>365</v>
      </c>
      <c r="Q25" s="91"/>
      <c r="R25" s="91"/>
      <c r="S25" s="91"/>
      <c r="T25" s="91"/>
      <c r="U25" s="91" t="s">
        <v>365</v>
      </c>
      <c r="V25" s="91"/>
      <c r="W25" s="91"/>
      <c r="X25" s="91"/>
      <c r="Y25" s="91" t="s">
        <v>365</v>
      </c>
      <c r="Z25" s="91"/>
      <c r="AA25" s="91" t="s">
        <v>365</v>
      </c>
      <c r="AB25" s="91" t="s">
        <v>365</v>
      </c>
      <c r="AC25" s="91"/>
      <c r="AD25" s="91"/>
      <c r="AE25" s="91"/>
      <c r="AF25" s="91"/>
      <c r="AG25" s="91"/>
      <c r="AH25" s="90"/>
    </row>
    <row r="26" spans="1:34" s="89" customFormat="1" ht="5.0999999999999996" customHeight="1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</row>
    <row r="27" spans="1:34" x14ac:dyDescent="0.25">
      <c r="A27" s="154" t="s">
        <v>226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2"/>
    </row>
    <row r="28" spans="1:34" x14ac:dyDescent="0.25">
      <c r="A28" s="102" t="s">
        <v>381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>
        <v>5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>
        <v>4</v>
      </c>
      <c r="AB28" s="103"/>
      <c r="AC28" s="103"/>
      <c r="AD28" s="103">
        <v>1</v>
      </c>
      <c r="AE28" s="103"/>
      <c r="AF28" s="103"/>
      <c r="AG28" s="103"/>
      <c r="AH28" s="102">
        <f>SUM(B28:AD28)</f>
        <v>10</v>
      </c>
    </row>
    <row r="29" spans="1:34" x14ac:dyDescent="0.25">
      <c r="A29" s="102" t="s">
        <v>382</v>
      </c>
      <c r="B29" s="104"/>
      <c r="C29" s="103"/>
      <c r="D29" s="103"/>
      <c r="E29" s="103"/>
      <c r="F29" s="103"/>
      <c r="G29" s="103"/>
      <c r="H29" s="103"/>
      <c r="I29" s="103"/>
      <c r="J29" s="103"/>
      <c r="K29" s="103">
        <v>481588</v>
      </c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>
        <v>388763</v>
      </c>
      <c r="AB29" s="103"/>
      <c r="AC29" s="103"/>
      <c r="AD29" s="103">
        <v>189295</v>
      </c>
      <c r="AE29" s="103"/>
      <c r="AF29" s="103"/>
      <c r="AG29" s="103"/>
      <c r="AH29" s="102">
        <f>SUM(B29:AD29)</f>
        <v>1059646</v>
      </c>
    </row>
    <row r="30" spans="1:34" x14ac:dyDescent="0.25">
      <c r="A30" s="102" t="s">
        <v>378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>
        <v>88400</v>
      </c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>
        <v>66300</v>
      </c>
      <c r="AB30" s="103"/>
      <c r="AC30" s="103"/>
      <c r="AD30" s="103">
        <v>22100</v>
      </c>
      <c r="AE30" s="103"/>
      <c r="AF30" s="103"/>
      <c r="AG30" s="103"/>
      <c r="AH30" s="102">
        <f>SUM(B30:AD30)</f>
        <v>176800</v>
      </c>
    </row>
    <row r="31" spans="1:34" x14ac:dyDescent="0.25">
      <c r="A31" s="102" t="s">
        <v>383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 t="s">
        <v>365</v>
      </c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 t="s">
        <v>365</v>
      </c>
      <c r="AB31" s="103"/>
      <c r="AC31" s="103"/>
      <c r="AD31" s="103" t="s">
        <v>365</v>
      </c>
      <c r="AE31" s="103"/>
      <c r="AF31" s="103"/>
      <c r="AG31" s="103"/>
      <c r="AH31" s="102"/>
    </row>
    <row r="32" spans="1:34" ht="5.0999999999999996" customHeight="1" x14ac:dyDescent="0.25">
      <c r="A32" s="89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89"/>
    </row>
    <row r="33" spans="1:36" x14ac:dyDescent="0.25">
      <c r="A33" s="121" t="s">
        <v>344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121"/>
    </row>
    <row r="34" spans="1:36" x14ac:dyDescent="0.25">
      <c r="A34" s="121" t="s">
        <v>381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>
        <v>8</v>
      </c>
      <c r="V34" s="46"/>
      <c r="W34" s="46"/>
      <c r="X34" s="46"/>
      <c r="Y34" s="46"/>
      <c r="Z34" s="46"/>
      <c r="AA34" s="46"/>
      <c r="AB34" s="46"/>
      <c r="AC34" s="46">
        <v>16</v>
      </c>
      <c r="AD34" s="46"/>
      <c r="AE34" s="46"/>
      <c r="AF34" s="46"/>
      <c r="AG34" s="46"/>
      <c r="AH34" s="121">
        <f>SUM(U34:AC34)</f>
        <v>24</v>
      </c>
    </row>
    <row r="35" spans="1:36" x14ac:dyDescent="0.25">
      <c r="A35" s="121" t="s">
        <v>382</v>
      </c>
      <c r="B35" s="122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>
        <v>751937</v>
      </c>
      <c r="V35" s="46"/>
      <c r="W35" s="46"/>
      <c r="X35" s="46"/>
      <c r="Y35" s="46"/>
      <c r="Z35" s="46"/>
      <c r="AA35" s="46"/>
      <c r="AB35" s="46"/>
      <c r="AC35" s="46">
        <v>2004742</v>
      </c>
      <c r="AD35" s="46"/>
      <c r="AE35" s="46"/>
      <c r="AF35" s="46"/>
      <c r="AG35" s="46"/>
      <c r="AH35" s="121">
        <f>SUM(U35:AC35)</f>
        <v>2756679</v>
      </c>
    </row>
    <row r="36" spans="1:36" x14ac:dyDescent="0.25">
      <c r="A36" s="121" t="s">
        <v>378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>
        <v>127500</v>
      </c>
      <c r="V36" s="46"/>
      <c r="W36" s="46"/>
      <c r="X36" s="46"/>
      <c r="Y36" s="46"/>
      <c r="Z36" s="46"/>
      <c r="AA36" s="46"/>
      <c r="AB36" s="46"/>
      <c r="AC36" s="46">
        <v>84000</v>
      </c>
      <c r="AD36" s="46"/>
      <c r="AE36" s="46"/>
      <c r="AF36" s="46"/>
      <c r="AG36" s="46"/>
      <c r="AH36" s="121">
        <f>SUM(U36:AC36)</f>
        <v>211500</v>
      </c>
    </row>
    <row r="37" spans="1:36" x14ac:dyDescent="0.25">
      <c r="A37" s="121" t="s">
        <v>383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 t="s">
        <v>365</v>
      </c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121"/>
    </row>
    <row r="38" spans="1:36" x14ac:dyDescent="0.25">
      <c r="A38" s="89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89"/>
    </row>
    <row r="39" spans="1:36" x14ac:dyDescent="0.25">
      <c r="A39" s="70" t="s">
        <v>386</v>
      </c>
    </row>
    <row r="40" spans="1:36" x14ac:dyDescent="0.25">
      <c r="A40" s="70">
        <f>AH5+AH11+AH17+AH23+AH29+AH35</f>
        <v>29833472</v>
      </c>
    </row>
    <row r="41" spans="1:36" ht="5.0999999999999996" customHeight="1" x14ac:dyDescent="0.25"/>
    <row r="42" spans="1:36" x14ac:dyDescent="0.25">
      <c r="A42" s="70" t="s">
        <v>396</v>
      </c>
      <c r="AH42" s="283" t="s">
        <v>391</v>
      </c>
      <c r="AI42" s="283"/>
      <c r="AJ42" s="283"/>
    </row>
    <row r="43" spans="1:36" x14ac:dyDescent="0.25">
      <c r="A43" s="70">
        <f>AH4+AH10+AH16+AH22+AH28+AH34</f>
        <v>342</v>
      </c>
      <c r="AH43" s="284">
        <f>A40+'Ojt Maret-April'!D26+'Ojt Maret-April'!D52+'ojt Feb'!H8+'ojt Feb'!H13+reseller!F12+'Ojt Maret-April'!D7</f>
        <v>63379918</v>
      </c>
      <c r="AI43" s="284"/>
      <c r="AJ43" s="284"/>
    </row>
    <row r="45" spans="1:36" x14ac:dyDescent="0.25"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6" x14ac:dyDescent="0.25"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</row>
  </sheetData>
  <mergeCells count="4">
    <mergeCell ref="B1:B2"/>
    <mergeCell ref="AH1:AH2"/>
    <mergeCell ref="AH42:AJ42"/>
    <mergeCell ref="AH43:AJ43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9"/>
  <sheetViews>
    <sheetView zoomScale="60" zoomScaleNormal="60" workbookViewId="0">
      <pane xSplit="1" topLeftCell="O1" activePane="topRight" state="frozen"/>
      <selection activeCell="A2" sqref="A2"/>
      <selection pane="topRight" activeCell="O77" sqref="O77"/>
    </sheetView>
  </sheetViews>
  <sheetFormatPr defaultRowHeight="15" x14ac:dyDescent="0.25"/>
  <cols>
    <col min="1" max="1" width="22" style="40" bestFit="1" customWidth="1"/>
    <col min="2" max="2" width="11.7109375" style="50" bestFit="1" customWidth="1"/>
    <col min="3" max="32" width="11.7109375" style="50" customWidth="1"/>
    <col min="33" max="33" width="12.7109375" style="40" bestFit="1" customWidth="1"/>
    <col min="34" max="34" width="21.28515625" style="40" bestFit="1" customWidth="1"/>
    <col min="35" max="35" width="19.5703125" style="40" customWidth="1"/>
    <col min="36" max="37" width="9.140625" style="40"/>
    <col min="38" max="38" width="9.85546875" style="40" bestFit="1" customWidth="1"/>
    <col min="39" max="16384" width="9.140625" style="40"/>
  </cols>
  <sheetData>
    <row r="1" spans="1:37" ht="15" customHeight="1" x14ac:dyDescent="0.25">
      <c r="B1" s="285" t="s">
        <v>379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2" t="s">
        <v>385</v>
      </c>
    </row>
    <row r="2" spans="1:37" x14ac:dyDescent="0.25">
      <c r="B2" s="50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27</v>
      </c>
      <c r="AC2" s="50">
        <v>28</v>
      </c>
      <c r="AD2" s="50">
        <v>29</v>
      </c>
      <c r="AE2" s="50">
        <v>30</v>
      </c>
      <c r="AF2" s="50">
        <v>31</v>
      </c>
      <c r="AG2" s="282"/>
    </row>
    <row r="3" spans="1:37" x14ac:dyDescent="0.25">
      <c r="A3" s="73" t="s">
        <v>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3"/>
      <c r="AI3" s="283" t="s">
        <v>391</v>
      </c>
      <c r="AJ3" s="283"/>
      <c r="AK3" s="283"/>
    </row>
    <row r="4" spans="1:37" x14ac:dyDescent="0.25">
      <c r="A4" s="73" t="s">
        <v>381</v>
      </c>
      <c r="B4" s="74">
        <v>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>
        <v>1</v>
      </c>
      <c r="W4" s="74"/>
      <c r="X4" s="74"/>
      <c r="Y4" s="74"/>
      <c r="Z4" s="74"/>
      <c r="AA4" s="74"/>
      <c r="AB4" s="74"/>
      <c r="AC4" s="74"/>
      <c r="AD4" s="74">
        <v>1</v>
      </c>
      <c r="AE4" s="74"/>
      <c r="AF4" s="74"/>
      <c r="AG4" s="73">
        <f>SUM(B4:AF4)</f>
        <v>6</v>
      </c>
      <c r="AI4" s="234">
        <f>AI10+SAMaret!AH43+'ojt Feb'!H17</f>
        <v>82145547</v>
      </c>
      <c r="AJ4" s="234"/>
      <c r="AK4" s="234"/>
    </row>
    <row r="5" spans="1:37" x14ac:dyDescent="0.25">
      <c r="A5" s="73" t="s">
        <v>382</v>
      </c>
      <c r="B5" s="75">
        <v>437155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>
        <v>115762</v>
      </c>
      <c r="W5" s="75"/>
      <c r="X5" s="75"/>
      <c r="Y5" s="75"/>
      <c r="Z5" s="75"/>
      <c r="AA5" s="75"/>
      <c r="AB5" s="75"/>
      <c r="AC5" s="75"/>
      <c r="AD5" s="74">
        <v>124338</v>
      </c>
      <c r="AE5" s="75"/>
      <c r="AF5" s="75"/>
      <c r="AG5" s="73">
        <f>SUM(B5:AF5)</f>
        <v>677255</v>
      </c>
      <c r="AH5" s="137"/>
    </row>
    <row r="6" spans="1:37" x14ac:dyDescent="0.25">
      <c r="A6" s="73" t="s">
        <v>378</v>
      </c>
      <c r="B6" s="75">
        <v>51000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>
        <v>19550</v>
      </c>
      <c r="W6" s="75"/>
      <c r="X6" s="75"/>
      <c r="Y6" s="75"/>
      <c r="Z6" s="75"/>
      <c r="AA6" s="75"/>
      <c r="AB6" s="75"/>
      <c r="AC6" s="75"/>
      <c r="AD6" s="74">
        <v>19550</v>
      </c>
      <c r="AE6" s="75"/>
      <c r="AF6" s="75"/>
      <c r="AG6" s="73">
        <f>SUM(B6:AF6)</f>
        <v>90100</v>
      </c>
    </row>
    <row r="7" spans="1:37" x14ac:dyDescent="0.25">
      <c r="A7" s="73" t="s">
        <v>383</v>
      </c>
      <c r="B7" s="74" t="s">
        <v>365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 t="s">
        <v>365</v>
      </c>
      <c r="W7" s="74"/>
      <c r="X7" s="74"/>
      <c r="Y7" s="74"/>
      <c r="Z7" s="74"/>
      <c r="AA7" s="74"/>
      <c r="AB7" s="74"/>
      <c r="AC7" s="74"/>
      <c r="AD7" s="74" t="s">
        <v>365</v>
      </c>
      <c r="AE7" s="74"/>
      <c r="AF7" s="74"/>
      <c r="AG7" s="73"/>
    </row>
    <row r="8" spans="1:37" ht="3" customHeight="1" x14ac:dyDescent="0.25"/>
    <row r="9" spans="1:37" x14ac:dyDescent="0.25">
      <c r="A9" s="79" t="s">
        <v>232</v>
      </c>
      <c r="B9" s="147"/>
      <c r="C9" s="147"/>
      <c r="D9" s="147"/>
      <c r="E9" s="147"/>
      <c r="F9" s="147"/>
      <c r="G9" s="147"/>
      <c r="H9" s="147"/>
      <c r="I9" s="164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79"/>
      <c r="AI9" s="159" t="s">
        <v>386</v>
      </c>
    </row>
    <row r="10" spans="1:37" x14ac:dyDescent="0.25">
      <c r="A10" s="79" t="s">
        <v>381</v>
      </c>
      <c r="B10" s="147"/>
      <c r="C10" s="147"/>
      <c r="D10" s="147"/>
      <c r="E10" s="147"/>
      <c r="F10" s="147"/>
      <c r="G10" s="147"/>
      <c r="H10" s="147"/>
      <c r="I10" s="164">
        <v>1</v>
      </c>
      <c r="J10" s="147"/>
      <c r="K10" s="147"/>
      <c r="L10" s="147">
        <v>4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>
        <v>3</v>
      </c>
      <c r="AA10" s="147"/>
      <c r="AB10" s="147"/>
      <c r="AC10" s="147"/>
      <c r="AD10" s="147"/>
      <c r="AE10" s="147"/>
      <c r="AF10" s="147"/>
      <c r="AG10" s="79">
        <f>SUM(B10:AF10)</f>
        <v>8</v>
      </c>
      <c r="AI10" s="159">
        <f>AG5+AG11+AG17+AG23+AG29+AG35+AG41+AG47+AG53+AG59+AG65+AG71+AG77</f>
        <v>17171478</v>
      </c>
    </row>
    <row r="11" spans="1:37" x14ac:dyDescent="0.25">
      <c r="A11" s="79" t="s">
        <v>382</v>
      </c>
      <c r="B11" s="80"/>
      <c r="C11" s="80"/>
      <c r="D11" s="80"/>
      <c r="E11" s="80"/>
      <c r="F11" s="80"/>
      <c r="G11" s="80"/>
      <c r="H11" s="80"/>
      <c r="I11" s="164">
        <v>150762</v>
      </c>
      <c r="J11" s="80"/>
      <c r="K11" s="80"/>
      <c r="L11" s="80">
        <v>397557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>
        <v>270899</v>
      </c>
      <c r="AA11" s="80"/>
      <c r="AB11" s="80"/>
      <c r="AC11" s="80"/>
      <c r="AD11" s="80"/>
      <c r="AE11" s="80"/>
      <c r="AF11" s="80"/>
      <c r="AG11" s="79">
        <f>SUM(B11:AF11)</f>
        <v>819218</v>
      </c>
    </row>
    <row r="12" spans="1:37" x14ac:dyDescent="0.25">
      <c r="A12" s="79" t="s">
        <v>378</v>
      </c>
      <c r="B12" s="80"/>
      <c r="C12" s="80"/>
      <c r="D12" s="80"/>
      <c r="E12" s="80"/>
      <c r="F12" s="80"/>
      <c r="G12" s="80"/>
      <c r="H12" s="80"/>
      <c r="I12" s="164" t="s">
        <v>511</v>
      </c>
      <c r="J12" s="80"/>
      <c r="K12" s="80"/>
      <c r="L12" s="178">
        <v>73100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>
        <v>73100</v>
      </c>
      <c r="AA12" s="80"/>
      <c r="AB12" s="80"/>
      <c r="AC12" s="80"/>
      <c r="AD12" s="80"/>
      <c r="AE12" s="80"/>
      <c r="AF12" s="80"/>
      <c r="AG12" s="79">
        <f>SUM(B12:AF12)</f>
        <v>146200</v>
      </c>
      <c r="AI12" s="159" t="s">
        <v>396</v>
      </c>
    </row>
    <row r="13" spans="1:37" x14ac:dyDescent="0.25">
      <c r="A13" s="79" t="s">
        <v>383</v>
      </c>
      <c r="B13" s="147"/>
      <c r="C13" s="147"/>
      <c r="D13" s="147"/>
      <c r="E13" s="147"/>
      <c r="F13" s="147"/>
      <c r="G13" s="147"/>
      <c r="H13" s="147"/>
      <c r="I13" s="147" t="s">
        <v>510</v>
      </c>
      <c r="J13" s="147"/>
      <c r="K13" s="147"/>
      <c r="L13" s="147" t="s">
        <v>365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 t="s">
        <v>365</v>
      </c>
      <c r="AA13" s="147"/>
      <c r="AB13" s="147"/>
      <c r="AC13" s="147"/>
      <c r="AD13" s="147"/>
      <c r="AE13" s="147"/>
      <c r="AF13" s="147"/>
      <c r="AG13" s="79"/>
      <c r="AI13" s="159">
        <f>AG4+AG10+AG16+AG22+AG28+AG34+AG40+AG46+AG52+AG58+AG64+AG70+AG76</f>
        <v>158</v>
      </c>
    </row>
    <row r="14" spans="1:37" ht="3" customHeight="1" x14ac:dyDescent="0.25"/>
    <row r="15" spans="1:37" x14ac:dyDescent="0.25">
      <c r="A15" s="76" t="s">
        <v>58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6"/>
    </row>
    <row r="16" spans="1:37" x14ac:dyDescent="0.25">
      <c r="A16" s="76" t="s">
        <v>381</v>
      </c>
      <c r="B16" s="77"/>
      <c r="C16" s="77">
        <v>3</v>
      </c>
      <c r="D16" s="77"/>
      <c r="E16" s="77"/>
      <c r="F16" s="77"/>
      <c r="G16" s="77"/>
      <c r="H16" s="77"/>
      <c r="I16" s="77"/>
      <c r="J16" s="77"/>
      <c r="K16" s="77">
        <v>5</v>
      </c>
      <c r="L16" s="77"/>
      <c r="M16" s="77"/>
      <c r="N16" s="77"/>
      <c r="O16" s="77"/>
      <c r="P16" s="77">
        <v>1</v>
      </c>
      <c r="Q16" s="77"/>
      <c r="R16" s="77"/>
      <c r="S16" s="77"/>
      <c r="T16" s="77"/>
      <c r="U16" s="77"/>
      <c r="V16" s="77"/>
      <c r="W16" s="77"/>
      <c r="X16" s="77">
        <v>5</v>
      </c>
      <c r="Y16" s="77"/>
      <c r="Z16" s="77"/>
      <c r="AA16" s="77"/>
      <c r="AB16" s="77"/>
      <c r="AC16" s="77"/>
      <c r="AD16" s="77"/>
      <c r="AE16" s="77"/>
      <c r="AF16" s="77"/>
      <c r="AG16" s="76">
        <f>SUM(B16:AF16)</f>
        <v>14</v>
      </c>
    </row>
    <row r="17" spans="1:33" x14ac:dyDescent="0.25">
      <c r="A17" s="76" t="s">
        <v>382</v>
      </c>
      <c r="B17" s="77"/>
      <c r="C17" s="77">
        <v>365127</v>
      </c>
      <c r="D17" s="77"/>
      <c r="E17" s="77">
        <v>472105</v>
      </c>
      <c r="F17" s="77"/>
      <c r="G17" s="77"/>
      <c r="H17" s="77"/>
      <c r="I17" s="77"/>
      <c r="J17" s="77"/>
      <c r="K17" s="77">
        <v>446037</v>
      </c>
      <c r="L17" s="77"/>
      <c r="M17" s="77"/>
      <c r="N17" s="77"/>
      <c r="O17" s="77"/>
      <c r="P17" s="77">
        <v>95540</v>
      </c>
      <c r="Q17" s="77"/>
      <c r="R17" s="77"/>
      <c r="S17" s="77"/>
      <c r="T17" s="77"/>
      <c r="U17" s="77"/>
      <c r="V17" s="77"/>
      <c r="W17" s="77"/>
      <c r="X17" s="77">
        <f>148576+446005</f>
        <v>594581</v>
      </c>
      <c r="Y17" s="77"/>
      <c r="Z17" s="77"/>
      <c r="AA17" s="77"/>
      <c r="AB17" s="77"/>
      <c r="AC17" s="77"/>
      <c r="AD17" s="77"/>
      <c r="AE17" s="77"/>
      <c r="AF17" s="77"/>
      <c r="AG17" s="76">
        <f>SUM(B17:AF17)</f>
        <v>1973390</v>
      </c>
    </row>
    <row r="18" spans="1:33" x14ac:dyDescent="0.25">
      <c r="A18" s="76" t="s">
        <v>378</v>
      </c>
      <c r="B18" s="77"/>
      <c r="C18" s="77">
        <v>34000</v>
      </c>
      <c r="D18" s="77"/>
      <c r="E18" s="77">
        <v>51</v>
      </c>
      <c r="F18" s="77"/>
      <c r="G18" s="77"/>
      <c r="H18" s="77"/>
      <c r="I18" s="77"/>
      <c r="J18" s="77"/>
      <c r="K18" s="77">
        <v>34000</v>
      </c>
      <c r="L18" s="77"/>
      <c r="M18" s="77"/>
      <c r="N18" s="77"/>
      <c r="O18" s="77"/>
      <c r="P18" s="77">
        <v>17000</v>
      </c>
      <c r="Q18" s="77"/>
      <c r="R18" s="77"/>
      <c r="S18" s="77"/>
      <c r="T18" s="77"/>
      <c r="U18" s="77"/>
      <c r="V18" s="77"/>
      <c r="W18" s="77"/>
      <c r="X18" s="77">
        <v>34000</v>
      </c>
      <c r="Y18" s="77"/>
      <c r="Z18" s="77"/>
      <c r="AA18" s="77"/>
      <c r="AB18" s="77"/>
      <c r="AC18" s="77"/>
      <c r="AD18" s="77"/>
      <c r="AE18" s="77"/>
      <c r="AF18" s="77"/>
      <c r="AG18" s="76">
        <f>SUM(B18:AF18)</f>
        <v>119051</v>
      </c>
    </row>
    <row r="19" spans="1:33" x14ac:dyDescent="0.25">
      <c r="A19" s="76" t="s">
        <v>383</v>
      </c>
      <c r="B19" s="77"/>
      <c r="C19" s="77" t="s">
        <v>365</v>
      </c>
      <c r="D19" s="77"/>
      <c r="E19" s="77" t="s">
        <v>365</v>
      </c>
      <c r="F19" s="77"/>
      <c r="G19" s="77"/>
      <c r="H19" s="77"/>
      <c r="I19" s="77"/>
      <c r="J19" s="77"/>
      <c r="K19" s="77" t="s">
        <v>365</v>
      </c>
      <c r="L19" s="77"/>
      <c r="M19" s="77"/>
      <c r="N19" s="77"/>
      <c r="O19" s="77"/>
      <c r="P19" s="77" t="s">
        <v>365</v>
      </c>
      <c r="Q19" s="77"/>
      <c r="R19" s="77"/>
      <c r="S19" s="77"/>
      <c r="T19" s="77"/>
      <c r="U19" s="77"/>
      <c r="V19" s="77"/>
      <c r="W19" s="77"/>
      <c r="X19" s="77" t="s">
        <v>365</v>
      </c>
      <c r="Y19" s="77"/>
      <c r="Z19" s="77"/>
      <c r="AA19" s="77"/>
      <c r="AB19" s="77"/>
      <c r="AC19" s="77"/>
      <c r="AD19" s="77"/>
      <c r="AE19" s="77"/>
      <c r="AF19" s="77"/>
      <c r="AG19" s="76"/>
    </row>
    <row r="20" spans="1:33" ht="3" customHeight="1" x14ac:dyDescent="0.25"/>
    <row r="21" spans="1:33" x14ac:dyDescent="0.25">
      <c r="A21" s="90" t="s">
        <v>389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0"/>
    </row>
    <row r="22" spans="1:33" x14ac:dyDescent="0.25">
      <c r="A22" s="90" t="s">
        <v>381</v>
      </c>
      <c r="B22" s="91">
        <v>7</v>
      </c>
      <c r="C22" s="91"/>
      <c r="D22" s="91">
        <v>4</v>
      </c>
      <c r="E22" s="91"/>
      <c r="F22" s="91"/>
      <c r="G22" s="91">
        <v>6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>
        <v>4</v>
      </c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0">
        <f>SUM(B22:AF22)</f>
        <v>21</v>
      </c>
    </row>
    <row r="23" spans="1:33" x14ac:dyDescent="0.25">
      <c r="A23" s="90" t="s">
        <v>382</v>
      </c>
      <c r="B23" s="91">
        <f>169745+507280</f>
        <v>677025</v>
      </c>
      <c r="C23" s="91"/>
      <c r="D23" s="91">
        <v>494916</v>
      </c>
      <c r="E23" s="91"/>
      <c r="F23" s="91"/>
      <c r="G23" s="91">
        <v>617631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>
        <v>595125</v>
      </c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0">
        <f>SUM(B23:AF23)</f>
        <v>2384697</v>
      </c>
    </row>
    <row r="24" spans="1:33" x14ac:dyDescent="0.25">
      <c r="A24" s="90" t="s">
        <v>378</v>
      </c>
      <c r="B24" s="91">
        <f>51000+43350</f>
        <v>94350</v>
      </c>
      <c r="C24" s="91"/>
      <c r="D24" s="91">
        <v>27200</v>
      </c>
      <c r="E24" s="91"/>
      <c r="F24" s="91"/>
      <c r="G24" s="91">
        <v>51000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>
        <v>51000</v>
      </c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0">
        <f>SUM(B24:AF24)</f>
        <v>223550</v>
      </c>
    </row>
    <row r="25" spans="1:33" x14ac:dyDescent="0.25">
      <c r="A25" s="90" t="s">
        <v>383</v>
      </c>
      <c r="B25" s="91" t="s">
        <v>365</v>
      </c>
      <c r="C25" s="91"/>
      <c r="D25" s="91" t="s">
        <v>365</v>
      </c>
      <c r="E25" s="91"/>
      <c r="F25" s="91"/>
      <c r="G25" s="91" t="s">
        <v>365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 t="s">
        <v>365</v>
      </c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0"/>
    </row>
    <row r="26" spans="1:33" s="89" customFormat="1" ht="3" customHeight="1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</row>
    <row r="27" spans="1:33" x14ac:dyDescent="0.25">
      <c r="A27" s="154" t="s">
        <v>226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2"/>
    </row>
    <row r="28" spans="1:33" x14ac:dyDescent="0.25">
      <c r="A28" s="102" t="s">
        <v>381</v>
      </c>
      <c r="B28" s="103"/>
      <c r="C28" s="103"/>
      <c r="D28" s="103"/>
      <c r="E28" s="103"/>
      <c r="F28" s="103"/>
      <c r="G28" s="103"/>
      <c r="H28" s="103"/>
      <c r="I28" s="103"/>
      <c r="J28" s="103">
        <v>2</v>
      </c>
      <c r="K28" s="103"/>
      <c r="L28" s="103"/>
      <c r="M28" s="103"/>
      <c r="N28" s="103"/>
      <c r="O28" s="103"/>
      <c r="P28" s="103"/>
      <c r="Q28" s="103"/>
      <c r="R28" s="103"/>
      <c r="S28" s="103">
        <v>1</v>
      </c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2">
        <f>SUM(B28:AA28)</f>
        <v>3</v>
      </c>
    </row>
    <row r="29" spans="1:33" x14ac:dyDescent="0.25">
      <c r="A29" s="102" t="s">
        <v>382</v>
      </c>
      <c r="B29" s="103"/>
      <c r="C29" s="103"/>
      <c r="D29" s="103"/>
      <c r="E29" s="103"/>
      <c r="F29" s="103"/>
      <c r="G29" s="103"/>
      <c r="H29" s="103"/>
      <c r="I29" s="103"/>
      <c r="J29" s="103">
        <v>191018</v>
      </c>
      <c r="K29" s="103"/>
      <c r="L29" s="103"/>
      <c r="M29" s="103"/>
      <c r="N29" s="103"/>
      <c r="O29" s="103"/>
      <c r="P29" s="103"/>
      <c r="Q29" s="103"/>
      <c r="R29" s="103"/>
      <c r="S29" s="103">
        <v>94325</v>
      </c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2">
        <f>SUM(B29:AA29)</f>
        <v>285343</v>
      </c>
    </row>
    <row r="30" spans="1:33" x14ac:dyDescent="0.25">
      <c r="A30" s="102" t="s">
        <v>378</v>
      </c>
      <c r="B30" s="103"/>
      <c r="C30" s="103"/>
      <c r="D30" s="103"/>
      <c r="E30" s="103"/>
      <c r="F30" s="103"/>
      <c r="G30" s="103"/>
      <c r="H30" s="103"/>
      <c r="I30" s="103"/>
      <c r="J30" s="103" t="s">
        <v>511</v>
      </c>
      <c r="K30" s="103"/>
      <c r="L30" s="103"/>
      <c r="M30" s="103"/>
      <c r="N30" s="103"/>
      <c r="O30" s="103"/>
      <c r="P30" s="103"/>
      <c r="Q30" s="103"/>
      <c r="R30" s="103"/>
      <c r="S30" s="103">
        <v>94350</v>
      </c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2">
        <f>SUM(B30:AA30)</f>
        <v>94350</v>
      </c>
    </row>
    <row r="31" spans="1:33" x14ac:dyDescent="0.25">
      <c r="A31" s="102" t="s">
        <v>383</v>
      </c>
      <c r="B31" s="103"/>
      <c r="C31" s="103"/>
      <c r="D31" s="103"/>
      <c r="E31" s="103"/>
      <c r="F31" s="103"/>
      <c r="G31" s="103"/>
      <c r="H31" s="103"/>
      <c r="I31" s="103"/>
      <c r="J31" s="103" t="s">
        <v>512</v>
      </c>
      <c r="K31" s="103"/>
      <c r="L31" s="103"/>
      <c r="M31" s="103"/>
      <c r="N31" s="103"/>
      <c r="O31" s="103"/>
      <c r="P31" s="103"/>
      <c r="Q31" s="103"/>
      <c r="R31" s="103"/>
      <c r="S31" s="103" t="s">
        <v>365</v>
      </c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2"/>
    </row>
    <row r="32" spans="1:33" ht="3" customHeight="1" x14ac:dyDescent="0.25">
      <c r="A32" s="89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89"/>
    </row>
    <row r="33" spans="1:33" x14ac:dyDescent="0.25">
      <c r="A33" s="121" t="s">
        <v>344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121"/>
    </row>
    <row r="34" spans="1:33" x14ac:dyDescent="0.25">
      <c r="A34" s="121" t="s">
        <v>381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>
        <v>5</v>
      </c>
      <c r="N34" s="46"/>
      <c r="O34" s="46"/>
      <c r="P34" s="46"/>
      <c r="Q34" s="46"/>
      <c r="R34" s="46"/>
      <c r="S34" s="46"/>
      <c r="T34" s="46">
        <v>3</v>
      </c>
      <c r="U34" s="46"/>
      <c r="V34" s="46"/>
      <c r="W34" s="46"/>
      <c r="X34" s="46"/>
      <c r="Y34" s="46"/>
      <c r="Z34" s="46"/>
      <c r="AA34" s="46">
        <v>17</v>
      </c>
      <c r="AB34" s="46"/>
      <c r="AC34" s="46"/>
      <c r="AD34" s="46"/>
      <c r="AE34" s="46"/>
      <c r="AF34" s="46"/>
      <c r="AG34" s="121">
        <f>SUM(B34:AF34)</f>
        <v>25</v>
      </c>
    </row>
    <row r="35" spans="1:33" x14ac:dyDescent="0.25">
      <c r="A35" s="121" t="s">
        <v>382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>
        <v>621668</v>
      </c>
      <c r="N35" s="46"/>
      <c r="O35" s="46"/>
      <c r="P35" s="46"/>
      <c r="Q35" s="46"/>
      <c r="R35" s="46"/>
      <c r="S35" s="46"/>
      <c r="T35" s="46">
        <v>402260</v>
      </c>
      <c r="U35" s="46"/>
      <c r="V35" s="46"/>
      <c r="W35" s="46"/>
      <c r="X35" s="46"/>
      <c r="Y35" s="46"/>
      <c r="Z35" s="46"/>
      <c r="AA35" s="46">
        <v>2022307</v>
      </c>
      <c r="AB35" s="46"/>
      <c r="AC35" s="46"/>
      <c r="AD35" s="46"/>
      <c r="AE35" s="46"/>
      <c r="AF35" s="46"/>
      <c r="AG35" s="121">
        <f>SUM(B35:AF35)</f>
        <v>3046235</v>
      </c>
    </row>
    <row r="36" spans="1:33" x14ac:dyDescent="0.25">
      <c r="A36" s="121" t="s">
        <v>378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>
        <v>40000</v>
      </c>
      <c r="N36" s="46"/>
      <c r="O36" s="46"/>
      <c r="P36" s="46"/>
      <c r="Q36" s="46"/>
      <c r="R36" s="46"/>
      <c r="S36" s="46"/>
      <c r="T36" s="46">
        <v>61200</v>
      </c>
      <c r="U36" s="46"/>
      <c r="V36" s="46"/>
      <c r="W36" s="46"/>
      <c r="X36" s="46"/>
      <c r="Y36" s="46"/>
      <c r="Z36" s="46"/>
      <c r="AA36" s="46" t="s">
        <v>511</v>
      </c>
      <c r="AB36" s="46"/>
      <c r="AC36" s="46"/>
      <c r="AD36" s="46"/>
      <c r="AE36" s="46"/>
      <c r="AF36" s="46"/>
      <c r="AG36" s="121">
        <f>SUM(B36:AF36)</f>
        <v>101200</v>
      </c>
    </row>
    <row r="37" spans="1:33" x14ac:dyDescent="0.25">
      <c r="A37" s="121" t="s">
        <v>383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 t="s">
        <v>525</v>
      </c>
      <c r="N37" s="46"/>
      <c r="O37" s="46"/>
      <c r="P37" s="46"/>
      <c r="Q37" s="46"/>
      <c r="R37" s="46"/>
      <c r="S37" s="46"/>
      <c r="T37" s="46" t="s">
        <v>365</v>
      </c>
      <c r="U37" s="46"/>
      <c r="V37" s="46"/>
      <c r="W37" s="46"/>
      <c r="X37" s="46"/>
      <c r="Y37" s="46"/>
      <c r="Z37" s="46"/>
      <c r="AA37" s="46" t="s">
        <v>558</v>
      </c>
      <c r="AB37" s="46"/>
      <c r="AC37" s="46"/>
      <c r="AD37" s="46"/>
      <c r="AE37" s="46"/>
      <c r="AF37" s="46"/>
      <c r="AG37" s="121"/>
    </row>
    <row r="38" spans="1:33" ht="3" customHeight="1" x14ac:dyDescent="0.25">
      <c r="A38" s="89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89"/>
    </row>
    <row r="39" spans="1:33" x14ac:dyDescent="0.25">
      <c r="A39" s="155" t="s">
        <v>499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155"/>
    </row>
    <row r="40" spans="1:33" x14ac:dyDescent="0.25">
      <c r="A40" s="155" t="s">
        <v>381</v>
      </c>
      <c r="B40" s="58">
        <v>1</v>
      </c>
      <c r="C40" s="58"/>
      <c r="D40" s="58"/>
      <c r="E40" s="58"/>
      <c r="F40" s="58"/>
      <c r="G40" s="58"/>
      <c r="H40" s="58"/>
      <c r="I40" s="58">
        <v>4</v>
      </c>
      <c r="J40" s="58"/>
      <c r="K40" s="58"/>
      <c r="L40" s="58">
        <v>1</v>
      </c>
      <c r="M40" s="58">
        <v>1</v>
      </c>
      <c r="N40" s="58">
        <v>2</v>
      </c>
      <c r="O40" s="58"/>
      <c r="P40" s="58">
        <v>1</v>
      </c>
      <c r="Q40" s="58"/>
      <c r="R40" s="58"/>
      <c r="S40" s="58">
        <v>2</v>
      </c>
      <c r="T40" s="58"/>
      <c r="U40" s="58"/>
      <c r="V40" s="58"/>
      <c r="W40" s="58"/>
      <c r="X40" s="58">
        <v>1</v>
      </c>
      <c r="Y40" s="58"/>
      <c r="Z40" s="58"/>
      <c r="AA40" s="58"/>
      <c r="AB40" s="58"/>
      <c r="AC40" s="58"/>
      <c r="AD40" s="58">
        <v>1</v>
      </c>
      <c r="AE40" s="58"/>
      <c r="AF40" s="58"/>
      <c r="AG40" s="155">
        <f>SUM(B40:AF40)</f>
        <v>14</v>
      </c>
    </row>
    <row r="41" spans="1:33" x14ac:dyDescent="0.25">
      <c r="A41" s="155" t="s">
        <v>382</v>
      </c>
      <c r="B41" s="58">
        <v>124338</v>
      </c>
      <c r="C41" s="58"/>
      <c r="D41" s="58"/>
      <c r="E41" s="58"/>
      <c r="F41" s="58"/>
      <c r="G41" s="58"/>
      <c r="H41" s="58"/>
      <c r="I41" s="58">
        <f>97580+124338+124338</f>
        <v>346256</v>
      </c>
      <c r="J41" s="58"/>
      <c r="K41" s="58"/>
      <c r="L41" s="58">
        <v>124338</v>
      </c>
      <c r="M41" s="58">
        <v>95540</v>
      </c>
      <c r="N41" s="58">
        <f>124338+95285</f>
        <v>219623</v>
      </c>
      <c r="O41" s="58"/>
      <c r="P41" s="58">
        <v>124338</v>
      </c>
      <c r="Q41" s="58"/>
      <c r="R41" s="58"/>
      <c r="S41" s="58">
        <f>124338+97580</f>
        <v>221918</v>
      </c>
      <c r="T41" s="58"/>
      <c r="U41" s="58"/>
      <c r="V41" s="58"/>
      <c r="W41" s="58"/>
      <c r="X41" s="58">
        <v>124338</v>
      </c>
      <c r="Y41" s="58"/>
      <c r="Z41" s="58"/>
      <c r="AA41" s="58"/>
      <c r="AB41" s="58"/>
      <c r="AC41" s="58"/>
      <c r="AD41" s="58">
        <v>124338</v>
      </c>
      <c r="AE41" s="58"/>
      <c r="AF41" s="58"/>
      <c r="AG41" s="155">
        <f>SUM(B41:AF41)</f>
        <v>1505027</v>
      </c>
    </row>
    <row r="42" spans="1:33" x14ac:dyDescent="0.25">
      <c r="A42" s="155" t="s">
        <v>378</v>
      </c>
      <c r="B42" s="58">
        <v>10200</v>
      </c>
      <c r="C42" s="58"/>
      <c r="D42" s="58"/>
      <c r="E42" s="58"/>
      <c r="F42" s="58"/>
      <c r="G42" s="58"/>
      <c r="H42" s="58"/>
      <c r="I42" s="58" t="s">
        <v>511</v>
      </c>
      <c r="J42" s="58"/>
      <c r="K42" s="58"/>
      <c r="L42" s="58">
        <v>18700</v>
      </c>
      <c r="M42" s="58" t="s">
        <v>511</v>
      </c>
      <c r="N42" s="58">
        <v>18000</v>
      </c>
      <c r="O42" s="58"/>
      <c r="P42" s="58">
        <v>8500</v>
      </c>
      <c r="Q42" s="58"/>
      <c r="R42" s="58"/>
      <c r="S42" s="58" t="s">
        <v>511</v>
      </c>
      <c r="T42" s="58"/>
      <c r="U42" s="58"/>
      <c r="V42" s="58"/>
      <c r="W42" s="58"/>
      <c r="X42" s="58">
        <v>0</v>
      </c>
      <c r="Y42" s="58"/>
      <c r="Z42" s="58"/>
      <c r="AA42" s="58"/>
      <c r="AB42" s="58"/>
      <c r="AC42" s="58"/>
      <c r="AD42" s="58">
        <v>0</v>
      </c>
      <c r="AE42" s="58"/>
      <c r="AF42" s="58"/>
      <c r="AG42" s="155">
        <f>SUM(B42:AF42)</f>
        <v>55400</v>
      </c>
    </row>
    <row r="43" spans="1:33" x14ac:dyDescent="0.25">
      <c r="A43" s="155" t="s">
        <v>383</v>
      </c>
      <c r="B43" s="58" t="s">
        <v>365</v>
      </c>
      <c r="C43" s="58"/>
      <c r="D43" s="58"/>
      <c r="E43" s="58"/>
      <c r="F43" s="58"/>
      <c r="G43" s="58"/>
      <c r="H43" s="58"/>
      <c r="I43" s="58" t="s">
        <v>510</v>
      </c>
      <c r="J43" s="58"/>
      <c r="K43" s="58"/>
      <c r="L43" s="58" t="s">
        <v>365</v>
      </c>
      <c r="M43" s="58" t="s">
        <v>510</v>
      </c>
      <c r="N43" s="58" t="s">
        <v>365</v>
      </c>
      <c r="O43" s="58"/>
      <c r="P43" s="58" t="s">
        <v>365</v>
      </c>
      <c r="Q43" s="58"/>
      <c r="R43" s="58"/>
      <c r="S43" s="58" t="s">
        <v>510</v>
      </c>
      <c r="T43" s="58"/>
      <c r="U43" s="58"/>
      <c r="V43" s="58"/>
      <c r="W43" s="58"/>
      <c r="X43" s="58" t="s">
        <v>510</v>
      </c>
      <c r="Y43" s="58"/>
      <c r="Z43" s="58"/>
      <c r="AA43" s="58"/>
      <c r="AB43" s="58"/>
      <c r="AC43" s="58"/>
      <c r="AD43" s="58" t="s">
        <v>510</v>
      </c>
      <c r="AE43" s="58"/>
      <c r="AF43" s="58"/>
      <c r="AG43" s="155"/>
    </row>
    <row r="44" spans="1:33" s="89" customFormat="1" ht="3" customHeight="1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1:33" x14ac:dyDescent="0.25">
      <c r="A45" s="159" t="s">
        <v>455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59"/>
    </row>
    <row r="46" spans="1:33" x14ac:dyDescent="0.25">
      <c r="A46" s="159" t="s">
        <v>381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>
        <v>9</v>
      </c>
      <c r="Q46" s="192"/>
      <c r="R46" s="192"/>
      <c r="S46" s="192"/>
      <c r="T46" s="192"/>
      <c r="U46" s="192"/>
      <c r="V46" s="192"/>
      <c r="W46" s="192"/>
      <c r="X46" s="192"/>
      <c r="Y46" s="192"/>
      <c r="Z46" s="192">
        <v>20</v>
      </c>
      <c r="AA46" s="192"/>
      <c r="AB46" s="192"/>
      <c r="AC46" s="192"/>
      <c r="AD46" s="192"/>
      <c r="AE46" s="192"/>
      <c r="AF46" s="192"/>
      <c r="AG46" s="159">
        <f>SUM(B46:AF46)</f>
        <v>29</v>
      </c>
    </row>
    <row r="47" spans="1:33" x14ac:dyDescent="0.25">
      <c r="A47" s="159" t="s">
        <v>382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>
        <v>889185</v>
      </c>
      <c r="Q47" s="192"/>
      <c r="R47" s="192"/>
      <c r="S47" s="192"/>
      <c r="T47" s="192"/>
      <c r="U47" s="192"/>
      <c r="V47" s="192"/>
      <c r="W47" s="192"/>
      <c r="X47" s="192"/>
      <c r="Y47" s="192"/>
      <c r="Z47" s="192">
        <v>1585281</v>
      </c>
      <c r="AA47" s="192"/>
      <c r="AB47" s="192"/>
      <c r="AC47" s="192"/>
      <c r="AD47" s="192"/>
      <c r="AE47" s="192"/>
      <c r="AF47" s="192"/>
      <c r="AG47" s="159">
        <f>SUM(B47:AF47)</f>
        <v>2474466</v>
      </c>
    </row>
    <row r="48" spans="1:33" x14ac:dyDescent="0.25">
      <c r="A48" s="159" t="s">
        <v>378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>
        <v>40000</v>
      </c>
      <c r="Q48" s="192"/>
      <c r="R48" s="192"/>
      <c r="S48" s="192"/>
      <c r="T48" s="192"/>
      <c r="U48" s="192"/>
      <c r="V48" s="192"/>
      <c r="W48" s="192"/>
      <c r="X48" s="192"/>
      <c r="Y48" s="192"/>
      <c r="Z48" s="192" t="s">
        <v>511</v>
      </c>
      <c r="AA48" s="192"/>
      <c r="AB48" s="192"/>
      <c r="AC48" s="192"/>
      <c r="AD48" s="192"/>
      <c r="AE48" s="192"/>
      <c r="AF48" s="192"/>
      <c r="AG48" s="159">
        <f>SUM(B48:AF48)</f>
        <v>40000</v>
      </c>
    </row>
    <row r="49" spans="1:33" x14ac:dyDescent="0.25">
      <c r="A49" s="159" t="s">
        <v>383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 t="s">
        <v>525</v>
      </c>
      <c r="Q49" s="192"/>
      <c r="R49" s="192"/>
      <c r="S49" s="192"/>
      <c r="T49" s="192"/>
      <c r="U49" s="192"/>
      <c r="V49" s="192"/>
      <c r="W49" s="192"/>
      <c r="X49" s="192"/>
      <c r="Y49" s="192"/>
      <c r="Z49" s="192" t="s">
        <v>540</v>
      </c>
      <c r="AA49" s="192"/>
      <c r="AB49" s="192"/>
      <c r="AC49" s="192"/>
      <c r="AD49" s="192"/>
      <c r="AE49" s="192"/>
      <c r="AF49" s="192"/>
      <c r="AG49" s="159"/>
    </row>
    <row r="50" spans="1:33" ht="3" customHeight="1" x14ac:dyDescent="0.25"/>
    <row r="51" spans="1:33" x14ac:dyDescent="0.25">
      <c r="A51" s="193" t="s">
        <v>488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3"/>
    </row>
    <row r="52" spans="1:33" x14ac:dyDescent="0.25">
      <c r="A52" s="193" t="s">
        <v>381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>
        <v>1</v>
      </c>
      <c r="Q52" s="194"/>
      <c r="R52" s="194"/>
      <c r="S52" s="194"/>
      <c r="T52" s="194"/>
      <c r="U52" s="194"/>
      <c r="V52" s="194"/>
      <c r="W52" s="194"/>
      <c r="X52" s="194"/>
      <c r="Y52" s="194">
        <v>7</v>
      </c>
      <c r="Z52" s="194"/>
      <c r="AA52" s="194"/>
      <c r="AB52" s="194"/>
      <c r="AC52" s="194"/>
      <c r="AD52" s="194"/>
      <c r="AE52" s="194"/>
      <c r="AF52" s="194"/>
      <c r="AG52" s="193">
        <f>SUM(B52:AF52)</f>
        <v>8</v>
      </c>
    </row>
    <row r="53" spans="1:33" x14ac:dyDescent="0.25">
      <c r="A53" s="193" t="s">
        <v>382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>
        <v>122230</v>
      </c>
      <c r="Q53" s="194"/>
      <c r="R53" s="194"/>
      <c r="S53" s="194"/>
      <c r="T53" s="194"/>
      <c r="U53" s="194"/>
      <c r="V53" s="194"/>
      <c r="W53" s="194"/>
      <c r="X53" s="194"/>
      <c r="Y53" s="194">
        <v>870945</v>
      </c>
      <c r="Z53" s="194"/>
      <c r="AA53" s="194"/>
      <c r="AB53" s="194"/>
      <c r="AC53" s="194"/>
      <c r="AD53" s="194"/>
      <c r="AE53" s="194"/>
      <c r="AF53" s="194"/>
      <c r="AG53" s="193">
        <f>SUM(B53:AF53)</f>
        <v>993175</v>
      </c>
    </row>
    <row r="54" spans="1:33" x14ac:dyDescent="0.25">
      <c r="A54" s="193" t="s">
        <v>378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>
        <v>10200</v>
      </c>
      <c r="Q54" s="194"/>
      <c r="R54" s="194"/>
      <c r="S54" s="194"/>
      <c r="T54" s="194"/>
      <c r="U54" s="194"/>
      <c r="V54" s="194"/>
      <c r="W54" s="194"/>
      <c r="X54" s="194"/>
      <c r="Y54" s="194">
        <v>40000</v>
      </c>
      <c r="Z54" s="194"/>
      <c r="AA54" s="194"/>
      <c r="AB54" s="194"/>
      <c r="AC54" s="194"/>
      <c r="AD54" s="194"/>
      <c r="AE54" s="194"/>
      <c r="AF54" s="194"/>
      <c r="AG54" s="193">
        <f>SUM(B54:AF54)</f>
        <v>50200</v>
      </c>
    </row>
    <row r="55" spans="1:33" x14ac:dyDescent="0.25">
      <c r="A55" s="193" t="s">
        <v>383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 t="s">
        <v>365</v>
      </c>
      <c r="Q55" s="194"/>
      <c r="R55" s="194"/>
      <c r="S55" s="194"/>
      <c r="T55" s="194"/>
      <c r="U55" s="194"/>
      <c r="V55" s="194"/>
      <c r="W55" s="194"/>
      <c r="X55" s="194"/>
      <c r="Y55" s="194" t="s">
        <v>525</v>
      </c>
      <c r="Z55" s="194"/>
      <c r="AA55" s="194"/>
      <c r="AB55" s="194"/>
      <c r="AC55" s="194"/>
      <c r="AD55" s="194"/>
      <c r="AE55" s="194"/>
      <c r="AF55" s="194"/>
      <c r="AG55" s="193"/>
    </row>
    <row r="56" spans="1:33" ht="3" customHeight="1" x14ac:dyDescent="0.25"/>
    <row r="57" spans="1:33" x14ac:dyDescent="0.25">
      <c r="A57" s="195" t="s">
        <v>526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5"/>
    </row>
    <row r="58" spans="1:33" x14ac:dyDescent="0.25">
      <c r="A58" s="195" t="s">
        <v>381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>
        <v>4</v>
      </c>
      <c r="Q58" s="196"/>
      <c r="R58" s="196"/>
      <c r="S58" s="196"/>
      <c r="T58" s="196"/>
      <c r="U58" s="196"/>
      <c r="V58" s="196"/>
      <c r="W58" s="196"/>
      <c r="X58" s="196"/>
      <c r="Y58" s="196"/>
      <c r="Z58" s="196">
        <v>7</v>
      </c>
      <c r="AA58" s="196"/>
      <c r="AB58" s="196"/>
      <c r="AC58" s="196"/>
      <c r="AD58" s="196"/>
      <c r="AE58" s="196"/>
      <c r="AF58" s="196"/>
      <c r="AG58" s="195">
        <f>SUM(B58:AF58)</f>
        <v>11</v>
      </c>
    </row>
    <row r="59" spans="1:33" x14ac:dyDescent="0.25">
      <c r="A59" s="195" t="s">
        <v>382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>
        <v>390065</v>
      </c>
      <c r="Q59" s="196"/>
      <c r="R59" s="196"/>
      <c r="S59" s="196"/>
      <c r="T59" s="196"/>
      <c r="U59" s="196"/>
      <c r="V59" s="196"/>
      <c r="W59" s="196"/>
      <c r="X59" s="196"/>
      <c r="Y59" s="196"/>
      <c r="Z59" s="196">
        <f>633273+74288</f>
        <v>707561</v>
      </c>
      <c r="AA59" s="196"/>
      <c r="AB59" s="196"/>
      <c r="AC59" s="196"/>
      <c r="AD59" s="196"/>
      <c r="AE59" s="196"/>
      <c r="AF59" s="196"/>
      <c r="AG59" s="195">
        <f>SUM(B59:AF59)</f>
        <v>1097626</v>
      </c>
    </row>
    <row r="60" spans="1:33" x14ac:dyDescent="0.25">
      <c r="A60" s="195" t="s">
        <v>378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>
        <v>51000</v>
      </c>
      <c r="Q60" s="196"/>
      <c r="R60" s="196"/>
      <c r="S60" s="196"/>
      <c r="T60" s="196"/>
      <c r="U60" s="196"/>
      <c r="V60" s="196"/>
      <c r="W60" s="196"/>
      <c r="X60" s="196"/>
      <c r="Y60" s="196"/>
      <c r="Z60" s="196">
        <v>85000</v>
      </c>
      <c r="AA60" s="196"/>
      <c r="AB60" s="196"/>
      <c r="AC60" s="196"/>
      <c r="AD60" s="196"/>
      <c r="AE60" s="196"/>
      <c r="AF60" s="196"/>
      <c r="AG60" s="195">
        <f>SUM(B60:AF60)</f>
        <v>136000</v>
      </c>
    </row>
    <row r="61" spans="1:33" x14ac:dyDescent="0.25">
      <c r="A61" s="195" t="s">
        <v>383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 t="s">
        <v>480</v>
      </c>
      <c r="Q61" s="196"/>
      <c r="R61" s="196"/>
      <c r="S61" s="196"/>
      <c r="T61" s="196"/>
      <c r="U61" s="196"/>
      <c r="V61" s="196"/>
      <c r="W61" s="196"/>
      <c r="X61" s="196"/>
      <c r="Y61" s="196"/>
      <c r="Z61" s="196" t="s">
        <v>365</v>
      </c>
      <c r="AA61" s="196"/>
      <c r="AB61" s="196"/>
      <c r="AC61" s="196"/>
      <c r="AD61" s="196"/>
      <c r="AE61" s="196"/>
      <c r="AF61" s="196"/>
      <c r="AG61" s="195"/>
    </row>
    <row r="62" spans="1:33" ht="3" customHeight="1" x14ac:dyDescent="0.25"/>
    <row r="63" spans="1:33" x14ac:dyDescent="0.25">
      <c r="A63" s="213" t="s">
        <v>539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3"/>
    </row>
    <row r="64" spans="1:33" x14ac:dyDescent="0.25">
      <c r="A64" s="213" t="s">
        <v>381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>
        <v>7</v>
      </c>
      <c r="Z64" s="214"/>
      <c r="AA64" s="214">
        <v>4</v>
      </c>
      <c r="AB64" s="214"/>
      <c r="AC64" s="214"/>
      <c r="AD64" s="214"/>
      <c r="AE64" s="214"/>
      <c r="AF64" s="214"/>
      <c r="AG64" s="213">
        <f>SUM(B64:AF64)</f>
        <v>11</v>
      </c>
    </row>
    <row r="65" spans="1:33" x14ac:dyDescent="0.25">
      <c r="A65" s="213" t="s">
        <v>382</v>
      </c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>
        <v>639619</v>
      </c>
      <c r="Z65" s="214"/>
      <c r="AA65" s="214">
        <v>406130</v>
      </c>
      <c r="AB65" s="214"/>
      <c r="AC65" s="214"/>
      <c r="AD65" s="214"/>
      <c r="AE65" s="214"/>
      <c r="AF65" s="214"/>
      <c r="AG65" s="213">
        <f>SUM(B65:AF65)</f>
        <v>1045749</v>
      </c>
    </row>
    <row r="66" spans="1:33" x14ac:dyDescent="0.25">
      <c r="A66" s="213" t="s">
        <v>378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>
        <v>50000</v>
      </c>
      <c r="Z66" s="214"/>
      <c r="AA66" s="214">
        <v>62900</v>
      </c>
      <c r="AB66" s="214"/>
      <c r="AC66" s="214"/>
      <c r="AD66" s="214"/>
      <c r="AE66" s="214"/>
      <c r="AF66" s="214"/>
      <c r="AG66" s="213">
        <f>SUM(B66:AF66)</f>
        <v>112900</v>
      </c>
    </row>
    <row r="67" spans="1:33" x14ac:dyDescent="0.25">
      <c r="A67" s="213" t="s">
        <v>383</v>
      </c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 t="s">
        <v>525</v>
      </c>
      <c r="Z67" s="214"/>
      <c r="AA67" s="214" t="s">
        <v>365</v>
      </c>
      <c r="AB67" s="214"/>
      <c r="AC67" s="214"/>
      <c r="AD67" s="214"/>
      <c r="AE67" s="214"/>
      <c r="AF67" s="214"/>
      <c r="AG67" s="213"/>
    </row>
    <row r="68" spans="1:33" ht="3" customHeight="1" x14ac:dyDescent="0.25"/>
    <row r="69" spans="1:33" x14ac:dyDescent="0.25">
      <c r="A69" s="231" t="s">
        <v>561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1"/>
    </row>
    <row r="70" spans="1:33" x14ac:dyDescent="0.25">
      <c r="A70" s="231" t="s">
        <v>381</v>
      </c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>
        <v>1</v>
      </c>
      <c r="AE70" s="232"/>
      <c r="AF70" s="232"/>
      <c r="AG70" s="231">
        <f>SUM(B70:AF70)</f>
        <v>1</v>
      </c>
    </row>
    <row r="71" spans="1:33" x14ac:dyDescent="0.25">
      <c r="A71" s="231" t="s">
        <v>382</v>
      </c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>
        <v>107270</v>
      </c>
      <c r="AE71" s="232"/>
      <c r="AF71" s="232"/>
      <c r="AG71" s="231">
        <f>SUM(B71:AF71)</f>
        <v>107270</v>
      </c>
    </row>
    <row r="72" spans="1:33" x14ac:dyDescent="0.25">
      <c r="A72" s="231" t="s">
        <v>378</v>
      </c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>
        <v>34850</v>
      </c>
      <c r="AE72" s="232"/>
      <c r="AF72" s="232"/>
      <c r="AG72" s="231">
        <f>SUM(B72:AF72)</f>
        <v>34850</v>
      </c>
    </row>
    <row r="73" spans="1:33" x14ac:dyDescent="0.25">
      <c r="A73" s="231" t="s">
        <v>383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 t="s">
        <v>365</v>
      </c>
      <c r="AE73" s="232"/>
      <c r="AF73" s="232"/>
      <c r="AG73" s="231"/>
    </row>
    <row r="74" spans="1:33" ht="3" customHeight="1" x14ac:dyDescent="0.25"/>
    <row r="75" spans="1:33" x14ac:dyDescent="0.25">
      <c r="A75" s="155" t="s">
        <v>520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155"/>
    </row>
    <row r="76" spans="1:33" x14ac:dyDescent="0.25">
      <c r="A76" s="155" t="s">
        <v>381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>
        <v>3</v>
      </c>
      <c r="AE76" s="58">
        <v>4</v>
      </c>
      <c r="AF76" s="58"/>
      <c r="AG76" s="155">
        <f>SUM(B76:AF76)</f>
        <v>7</v>
      </c>
    </row>
    <row r="77" spans="1:33" x14ac:dyDescent="0.25">
      <c r="A77" s="155" t="s">
        <v>382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>
        <v>301262</v>
      </c>
      <c r="AE77" s="58">
        <v>460765</v>
      </c>
      <c r="AF77" s="58"/>
      <c r="AG77" s="155">
        <f>SUM(B77:AF77)</f>
        <v>762027</v>
      </c>
    </row>
    <row r="78" spans="1:33" x14ac:dyDescent="0.25">
      <c r="A78" s="155" t="s">
        <v>378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>
        <v>68000</v>
      </c>
      <c r="AE78" s="58">
        <v>102000</v>
      </c>
      <c r="AF78" s="58"/>
      <c r="AG78" s="155">
        <f>SUM(B78:AF78)</f>
        <v>170000</v>
      </c>
    </row>
    <row r="79" spans="1:33" x14ac:dyDescent="0.25">
      <c r="A79" s="155" t="s">
        <v>383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 t="s">
        <v>365</v>
      </c>
      <c r="AE79" s="58" t="s">
        <v>365</v>
      </c>
      <c r="AF79" s="58"/>
      <c r="AG79" s="155"/>
    </row>
  </sheetData>
  <mergeCells count="3">
    <mergeCell ref="AG1:AG2"/>
    <mergeCell ref="AI3:AK3"/>
    <mergeCell ref="B1:AF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="60" zoomScaleNormal="60" workbookViewId="0">
      <pane xSplit="1" topLeftCell="R1" activePane="topRight" state="frozen"/>
      <selection pane="topRight" activeCell="AI67" sqref="AI67"/>
    </sheetView>
  </sheetViews>
  <sheetFormatPr defaultRowHeight="15" x14ac:dyDescent="0.25"/>
  <cols>
    <col min="1" max="1" width="22" style="40" bestFit="1" customWidth="1"/>
    <col min="2" max="2" width="11.7109375" style="50" bestFit="1" customWidth="1"/>
    <col min="3" max="32" width="11.7109375" style="50" customWidth="1"/>
    <col min="33" max="33" width="12.7109375" style="40" bestFit="1" customWidth="1"/>
    <col min="34" max="34" width="21.28515625" style="40" bestFit="1" customWidth="1"/>
    <col min="35" max="35" width="19.5703125" style="40" customWidth="1"/>
    <col min="36" max="36" width="9.140625" style="40"/>
    <col min="37" max="37" width="11.5703125" style="40" bestFit="1" customWidth="1"/>
    <col min="38" max="38" width="9.85546875" style="40" bestFit="1" customWidth="1"/>
    <col min="39" max="16384" width="9.140625" style="40"/>
  </cols>
  <sheetData>
    <row r="1" spans="1:37" x14ac:dyDescent="0.25">
      <c r="B1" s="285" t="s">
        <v>379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2" t="s">
        <v>385</v>
      </c>
    </row>
    <row r="2" spans="1:37" x14ac:dyDescent="0.25">
      <c r="B2" s="50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26</v>
      </c>
      <c r="AC2" s="50">
        <v>28</v>
      </c>
      <c r="AD2" s="50">
        <v>29</v>
      </c>
      <c r="AE2" s="50">
        <v>30</v>
      </c>
      <c r="AF2" s="50">
        <v>31</v>
      </c>
      <c r="AG2" s="282"/>
    </row>
    <row r="3" spans="1:37" x14ac:dyDescent="0.25">
      <c r="A3" s="73" t="s">
        <v>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3"/>
      <c r="AI3" s="286" t="s">
        <v>577</v>
      </c>
      <c r="AJ3" s="286"/>
      <c r="AK3" s="286"/>
    </row>
    <row r="4" spans="1:37" x14ac:dyDescent="0.25">
      <c r="A4" s="73" t="s">
        <v>381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>
        <v>2</v>
      </c>
      <c r="Z4" s="74"/>
      <c r="AA4" s="74"/>
      <c r="AB4" s="74"/>
      <c r="AC4" s="74"/>
      <c r="AD4" s="74"/>
      <c r="AE4" s="74">
        <v>6</v>
      </c>
      <c r="AF4" s="74"/>
      <c r="AG4" s="73">
        <f>SUM(B4:AF4)</f>
        <v>8</v>
      </c>
      <c r="AI4" s="265">
        <f>AG9+AG5+AG13+AG17+AG21+AG25+AG29+AG33+AG37+AG41+AG45+AG49+AG53+AG57+AG61+AG65+AG69+AG73</f>
        <v>53236563</v>
      </c>
      <c r="AJ4" s="265"/>
      <c r="AK4" s="265"/>
    </row>
    <row r="5" spans="1:37" x14ac:dyDescent="0.25">
      <c r="A5" s="73" t="s">
        <v>382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>
        <v>208687</v>
      </c>
      <c r="Z5" s="75"/>
      <c r="AA5" s="75"/>
      <c r="AB5" s="75"/>
      <c r="AC5" s="75"/>
      <c r="AD5" s="74"/>
      <c r="AE5" s="74">
        <v>520625</v>
      </c>
      <c r="AF5" s="75"/>
      <c r="AG5" s="73">
        <f>SUM(B5:AF5)</f>
        <v>729312</v>
      </c>
      <c r="AH5" s="137"/>
    </row>
    <row r="6" spans="1:37" ht="3" customHeight="1" x14ac:dyDescent="0.25"/>
    <row r="7" spans="1:37" x14ac:dyDescent="0.25">
      <c r="A7" s="79" t="s">
        <v>232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66"/>
      <c r="AC7" s="237"/>
      <c r="AD7" s="237"/>
      <c r="AE7" s="237"/>
      <c r="AF7" s="237"/>
      <c r="AG7" s="79"/>
      <c r="AI7" s="159" t="s">
        <v>386</v>
      </c>
    </row>
    <row r="8" spans="1:37" x14ac:dyDescent="0.25">
      <c r="A8" s="79" t="s">
        <v>381</v>
      </c>
      <c r="B8" s="237"/>
      <c r="C8" s="238">
        <v>0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61">
        <v>3</v>
      </c>
      <c r="V8" s="237">
        <v>4</v>
      </c>
      <c r="W8" s="237"/>
      <c r="X8" s="237"/>
      <c r="Y8" s="237"/>
      <c r="Z8" s="237"/>
      <c r="AA8" s="237"/>
      <c r="AB8" s="266"/>
      <c r="AC8" s="237"/>
      <c r="AD8" s="237"/>
      <c r="AE8" s="237"/>
      <c r="AF8" s="237"/>
      <c r="AG8" s="79">
        <f>SUM(B8:AF8)</f>
        <v>7</v>
      </c>
      <c r="AI8" s="159" t="b">
        <f>AG61+AG65+AG69=AG5+AG9+AG13+AG17+AG21+AG25+AG29+AG33+AG37+AG41+AG45+AG49+AG53+AG57+AG73</f>
        <v>0</v>
      </c>
    </row>
    <row r="9" spans="1:37" x14ac:dyDescent="0.25">
      <c r="A9" s="79" t="s">
        <v>382</v>
      </c>
      <c r="B9" s="237"/>
      <c r="C9" s="238">
        <v>189437</v>
      </c>
      <c r="D9" s="80"/>
      <c r="E9" s="80"/>
      <c r="F9" s="80"/>
      <c r="G9" s="80"/>
      <c r="H9" s="80"/>
      <c r="I9" s="237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>
        <v>262568</v>
      </c>
      <c r="V9" s="80">
        <v>463825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79">
        <f>SUM(B9:AF9)</f>
        <v>915830</v>
      </c>
    </row>
    <row r="10" spans="1:37" ht="3" customHeight="1" x14ac:dyDescent="0.25"/>
    <row r="11" spans="1:37" x14ac:dyDescent="0.25">
      <c r="A11" s="76" t="s">
        <v>58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6"/>
    </row>
    <row r="12" spans="1:37" x14ac:dyDescent="0.25">
      <c r="A12" s="76" t="s">
        <v>381</v>
      </c>
      <c r="B12" s="77"/>
      <c r="C12" s="77">
        <v>1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>
        <v>3</v>
      </c>
      <c r="Q12" s="77"/>
      <c r="R12" s="77"/>
      <c r="S12" s="77"/>
      <c r="T12" s="77"/>
      <c r="U12" s="77"/>
      <c r="V12" s="77">
        <f>14</f>
        <v>14</v>
      </c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6">
        <f>SUM(B12:AF12)</f>
        <v>18</v>
      </c>
    </row>
    <row r="13" spans="1:37" x14ac:dyDescent="0.25">
      <c r="A13" s="76" t="s">
        <v>382</v>
      </c>
      <c r="B13" s="77"/>
      <c r="C13" s="77">
        <v>99365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>
        <v>264410</v>
      </c>
      <c r="Q13" s="77"/>
      <c r="R13" s="77"/>
      <c r="S13" s="77"/>
      <c r="T13" s="77"/>
      <c r="U13" s="77"/>
      <c r="V13" s="77">
        <v>956712</v>
      </c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6">
        <f>SUM(B13:AF13)</f>
        <v>1320487</v>
      </c>
    </row>
    <row r="14" spans="1:37" ht="3" customHeight="1" x14ac:dyDescent="0.25"/>
    <row r="15" spans="1:37" x14ac:dyDescent="0.25">
      <c r="A15" s="90" t="s">
        <v>389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0"/>
    </row>
    <row r="16" spans="1:37" x14ac:dyDescent="0.25">
      <c r="A16" s="90" t="s">
        <v>381</v>
      </c>
      <c r="B16" s="91"/>
      <c r="C16" s="91"/>
      <c r="D16" s="91"/>
      <c r="E16" s="91"/>
      <c r="F16" s="91"/>
      <c r="G16" s="91"/>
      <c r="H16" s="91">
        <v>2</v>
      </c>
      <c r="I16" s="91"/>
      <c r="J16" s="91"/>
      <c r="K16" s="91"/>
      <c r="L16" s="91"/>
      <c r="M16" s="91"/>
      <c r="N16" s="91"/>
      <c r="O16" s="91"/>
      <c r="P16" s="91"/>
      <c r="Q16" s="91">
        <v>2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0">
        <f>SUM(B16:AF16)</f>
        <v>4</v>
      </c>
    </row>
    <row r="17" spans="1:37" x14ac:dyDescent="0.25">
      <c r="A17" s="90" t="s">
        <v>382</v>
      </c>
      <c r="B17" s="91"/>
      <c r="C17" s="91"/>
      <c r="D17" s="91"/>
      <c r="E17" s="91"/>
      <c r="F17" s="91"/>
      <c r="G17" s="91"/>
      <c r="H17" s="91">
        <v>292230</v>
      </c>
      <c r="I17" s="91"/>
      <c r="J17" s="91"/>
      <c r="K17" s="91"/>
      <c r="L17" s="91"/>
      <c r="M17" s="91"/>
      <c r="N17" s="91"/>
      <c r="O17" s="91"/>
      <c r="P17" s="91"/>
      <c r="Q17" s="91">
        <v>134773</v>
      </c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0">
        <f>SUM(B17:AF17)</f>
        <v>427003</v>
      </c>
    </row>
    <row r="18" spans="1:37" s="89" customFormat="1" ht="3" customHeight="1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</row>
    <row r="19" spans="1:37" x14ac:dyDescent="0.25">
      <c r="A19" s="154" t="s">
        <v>226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2"/>
    </row>
    <row r="20" spans="1:37" x14ac:dyDescent="0.25">
      <c r="A20" s="102" t="s">
        <v>381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>
        <v>5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>
        <v>7</v>
      </c>
      <c r="AC20" s="103"/>
      <c r="AD20" s="103"/>
      <c r="AE20" s="103"/>
      <c r="AF20" s="103"/>
      <c r="AG20" s="102">
        <f>SUM(B20:AF20)</f>
        <v>12</v>
      </c>
    </row>
    <row r="21" spans="1:37" x14ac:dyDescent="0.25">
      <c r="A21" s="102" t="s">
        <v>382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>
        <v>501145</v>
      </c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>
        <v>781618</v>
      </c>
      <c r="AC21" s="103"/>
      <c r="AD21" s="103"/>
      <c r="AE21" s="103"/>
      <c r="AF21" s="103"/>
      <c r="AG21" s="102">
        <f>SUM(B21:AF21)</f>
        <v>1282763</v>
      </c>
    </row>
    <row r="22" spans="1:37" ht="3" customHeight="1" x14ac:dyDescent="0.25">
      <c r="A22" s="89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89"/>
    </row>
    <row r="23" spans="1:37" x14ac:dyDescent="0.25">
      <c r="A23" s="121" t="s">
        <v>344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121"/>
    </row>
    <row r="24" spans="1:37" x14ac:dyDescent="0.25">
      <c r="A24" s="121" t="s">
        <v>381</v>
      </c>
      <c r="B24" s="46"/>
      <c r="C24" s="46"/>
      <c r="D24" s="46"/>
      <c r="E24" s="46"/>
      <c r="F24" s="46"/>
      <c r="G24" s="46">
        <v>3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>
        <v>59</v>
      </c>
      <c r="AC24" s="46"/>
      <c r="AD24" s="46"/>
      <c r="AE24" s="46">
        <v>12</v>
      </c>
      <c r="AF24" s="46"/>
      <c r="AG24" s="121">
        <f>SUM(B24:AF24)</f>
        <v>74</v>
      </c>
    </row>
    <row r="25" spans="1:37" x14ac:dyDescent="0.25">
      <c r="A25" s="121" t="s">
        <v>382</v>
      </c>
      <c r="B25" s="46"/>
      <c r="C25" s="46"/>
      <c r="D25" s="46"/>
      <c r="E25" s="46"/>
      <c r="F25" s="46"/>
      <c r="G25" s="46">
        <v>373014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>
        <v>6376710</v>
      </c>
      <c r="AC25" s="46"/>
      <c r="AD25" s="46"/>
      <c r="AE25" s="46">
        <v>1070814</v>
      </c>
      <c r="AF25" s="46"/>
      <c r="AG25" s="121">
        <f>SUM(B25:AF25)</f>
        <v>7820538</v>
      </c>
    </row>
    <row r="26" spans="1:37" ht="3" customHeight="1" x14ac:dyDescent="0.25">
      <c r="A26" s="89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89"/>
    </row>
    <row r="27" spans="1:37" x14ac:dyDescent="0.25">
      <c r="A27" s="155" t="s">
        <v>499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155"/>
    </row>
    <row r="28" spans="1:37" x14ac:dyDescent="0.25">
      <c r="A28" s="155" t="s">
        <v>381</v>
      </c>
      <c r="B28" s="58"/>
      <c r="C28" s="58">
        <v>2</v>
      </c>
      <c r="D28" s="58">
        <v>1</v>
      </c>
      <c r="E28" s="58">
        <v>1</v>
      </c>
      <c r="F28" s="58"/>
      <c r="G28" s="58"/>
      <c r="H28" s="58"/>
      <c r="I28" s="58"/>
      <c r="J28" s="58"/>
      <c r="K28" s="58"/>
      <c r="L28" s="58">
        <v>5</v>
      </c>
      <c r="M28" s="58"/>
      <c r="N28" s="58">
        <v>3</v>
      </c>
      <c r="O28" s="58"/>
      <c r="P28" s="58">
        <v>1</v>
      </c>
      <c r="Q28" s="58">
        <v>2</v>
      </c>
      <c r="R28" s="58">
        <v>2</v>
      </c>
      <c r="S28" s="58">
        <v>9</v>
      </c>
      <c r="T28" s="58"/>
      <c r="U28" s="58">
        <v>6</v>
      </c>
      <c r="V28" s="58"/>
      <c r="W28" s="58">
        <v>9</v>
      </c>
      <c r="X28" s="58">
        <v>1</v>
      </c>
      <c r="Y28" s="58">
        <v>5</v>
      </c>
      <c r="Z28" s="58">
        <v>8</v>
      </c>
      <c r="AA28" s="58"/>
      <c r="AB28" s="58">
        <v>8</v>
      </c>
      <c r="AC28" s="58">
        <v>7</v>
      </c>
      <c r="AD28" s="58">
        <v>14</v>
      </c>
      <c r="AE28" s="58">
        <v>1</v>
      </c>
      <c r="AF28" s="58"/>
      <c r="AG28" s="155">
        <f>SUM(B28:AF28)</f>
        <v>85</v>
      </c>
    </row>
    <row r="29" spans="1:37" x14ac:dyDescent="0.25">
      <c r="A29" s="155" t="s">
        <v>382</v>
      </c>
      <c r="B29" s="58"/>
      <c r="C29" s="58">
        <f>97580+124338</f>
        <v>221918</v>
      </c>
      <c r="D29" s="58">
        <v>124338</v>
      </c>
      <c r="E29" s="58">
        <v>97580</v>
      </c>
      <c r="F29" s="58"/>
      <c r="G29" s="58"/>
      <c r="H29" s="58"/>
      <c r="I29" s="58"/>
      <c r="J29" s="58"/>
      <c r="K29" s="58"/>
      <c r="L29" s="58">
        <f>97580+124338+124388+97580+124338</f>
        <v>568224</v>
      </c>
      <c r="M29" s="58"/>
      <c r="N29" s="58">
        <f>97580+97070+124338</f>
        <v>318988</v>
      </c>
      <c r="O29" s="58"/>
      <c r="P29" s="58">
        <v>97580</v>
      </c>
      <c r="Q29" s="58">
        <f>124338+97580</f>
        <v>221918</v>
      </c>
      <c r="R29" s="58">
        <f>124338*2</f>
        <v>248676</v>
      </c>
      <c r="S29" s="58">
        <v>930362</v>
      </c>
      <c r="T29" s="58"/>
      <c r="U29" s="58">
        <f>124338+124338+292740+97580</f>
        <v>638996</v>
      </c>
      <c r="V29" s="58"/>
      <c r="W29" s="58">
        <v>1009970</v>
      </c>
      <c r="X29" s="58">
        <v>97580</v>
      </c>
      <c r="Y29" s="58">
        <v>594932</v>
      </c>
      <c r="Z29" s="58">
        <v>862733</v>
      </c>
      <c r="AA29" s="58"/>
      <c r="AB29" s="58">
        <v>832116</v>
      </c>
      <c r="AC29" s="58">
        <v>709818</v>
      </c>
      <c r="AD29" s="58">
        <v>1551386</v>
      </c>
      <c r="AE29" s="58">
        <v>124338</v>
      </c>
      <c r="AF29" s="58"/>
      <c r="AG29" s="155">
        <f>SUM(B29:AF29)</f>
        <v>9251453</v>
      </c>
      <c r="AH29" s="40">
        <f>124338+97580+97580</f>
        <v>319498</v>
      </c>
      <c r="AI29" s="40">
        <f>AG29+AH29</f>
        <v>9570951</v>
      </c>
      <c r="AJ29" s="264">
        <f>AI29/20000000*100%</f>
        <v>0.47854754999999999</v>
      </c>
      <c r="AK29" s="40">
        <f>AJ29*2000000</f>
        <v>957095.1</v>
      </c>
    </row>
    <row r="30" spans="1:37" s="89" customFormat="1" ht="3" customHeight="1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1:37" x14ac:dyDescent="0.25">
      <c r="A31" s="159" t="s">
        <v>455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59"/>
      <c r="AJ31" s="264">
        <v>0.03</v>
      </c>
      <c r="AK31" s="40">
        <f>AJ31*AI29</f>
        <v>287128.52999999997</v>
      </c>
    </row>
    <row r="32" spans="1:37" x14ac:dyDescent="0.25">
      <c r="A32" s="159" t="s">
        <v>381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>
        <v>21</v>
      </c>
      <c r="P32" s="192"/>
      <c r="Q32" s="192"/>
      <c r="R32" s="192"/>
      <c r="S32" s="192"/>
      <c r="T32" s="192"/>
      <c r="U32" s="192">
        <v>12</v>
      </c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59">
        <f>SUM(B32:AF32)</f>
        <v>33</v>
      </c>
      <c r="AK32" s="40">
        <f>AK29+AK31</f>
        <v>1244223.6299999999</v>
      </c>
    </row>
    <row r="33" spans="1:33" x14ac:dyDescent="0.25">
      <c r="A33" s="159" t="s">
        <v>382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>
        <v>1706693</v>
      </c>
      <c r="P33" s="192"/>
      <c r="Q33" s="192"/>
      <c r="R33" s="192"/>
      <c r="S33" s="192"/>
      <c r="T33" s="192"/>
      <c r="U33" s="192">
        <v>1140380</v>
      </c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59">
        <f>SUM(B33:AF33)</f>
        <v>2847073</v>
      </c>
    </row>
    <row r="34" spans="1:33" ht="3" customHeight="1" x14ac:dyDescent="0.25"/>
    <row r="35" spans="1:33" x14ac:dyDescent="0.25">
      <c r="A35" s="193" t="s">
        <v>488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3"/>
    </row>
    <row r="36" spans="1:33" x14ac:dyDescent="0.25">
      <c r="A36" s="193" t="s">
        <v>381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>
        <v>2</v>
      </c>
      <c r="V36" s="194"/>
      <c r="W36" s="194"/>
      <c r="X36" s="194"/>
      <c r="Y36" s="194"/>
      <c r="Z36" s="194">
        <v>1</v>
      </c>
      <c r="AA36" s="194"/>
      <c r="AB36" s="194"/>
      <c r="AC36" s="194"/>
      <c r="AD36" s="194"/>
      <c r="AE36" s="194"/>
      <c r="AF36" s="194"/>
      <c r="AG36" s="193">
        <f>SUM(B36:AF36)</f>
        <v>3</v>
      </c>
    </row>
    <row r="37" spans="1:33" x14ac:dyDescent="0.25">
      <c r="A37" s="193" t="s">
        <v>382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>
        <v>227205</v>
      </c>
      <c r="V37" s="194"/>
      <c r="W37" s="194"/>
      <c r="X37" s="194"/>
      <c r="Y37" s="194"/>
      <c r="Z37" s="194">
        <v>121465</v>
      </c>
      <c r="AA37" s="194"/>
      <c r="AB37" s="194"/>
      <c r="AC37" s="194"/>
      <c r="AD37" s="194"/>
      <c r="AE37" s="194"/>
      <c r="AF37" s="194"/>
      <c r="AG37" s="193">
        <f>SUM(B37:AF37)</f>
        <v>348670</v>
      </c>
    </row>
    <row r="38" spans="1:33" ht="3" customHeight="1" x14ac:dyDescent="0.25"/>
    <row r="39" spans="1:33" x14ac:dyDescent="0.25">
      <c r="A39" s="195" t="s">
        <v>526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5"/>
    </row>
    <row r="40" spans="1:33" x14ac:dyDescent="0.25">
      <c r="A40" s="195" t="s">
        <v>381</v>
      </c>
      <c r="B40" s="196"/>
      <c r="C40" s="196"/>
      <c r="D40" s="196"/>
      <c r="E40" s="196"/>
      <c r="F40" s="196"/>
      <c r="G40" s="196"/>
      <c r="H40" s="196"/>
      <c r="I40" s="196"/>
      <c r="J40" s="196">
        <v>2</v>
      </c>
      <c r="K40" s="196"/>
      <c r="L40" s="196"/>
      <c r="M40" s="196"/>
      <c r="N40" s="196">
        <v>10</v>
      </c>
      <c r="O40" s="196"/>
      <c r="P40" s="196"/>
      <c r="Q40" s="196"/>
      <c r="R40" s="196">
        <v>3</v>
      </c>
      <c r="S40" s="196"/>
      <c r="T40" s="196"/>
      <c r="U40" s="196"/>
      <c r="V40" s="196"/>
      <c r="W40" s="196">
        <v>1</v>
      </c>
      <c r="X40" s="196"/>
      <c r="Y40" s="196"/>
      <c r="Z40" s="196"/>
      <c r="AA40" s="196"/>
      <c r="AB40" s="196"/>
      <c r="AC40" s="196"/>
      <c r="AD40" s="196"/>
      <c r="AE40" s="196"/>
      <c r="AF40" s="196"/>
      <c r="AG40" s="195">
        <f>SUM(B40:AF40)</f>
        <v>16</v>
      </c>
    </row>
    <row r="41" spans="1:33" x14ac:dyDescent="0.25">
      <c r="A41" s="195" t="s">
        <v>382</v>
      </c>
      <c r="B41" s="196"/>
      <c r="C41" s="196"/>
      <c r="D41" s="196"/>
      <c r="E41" s="196"/>
      <c r="F41" s="196"/>
      <c r="G41" s="196"/>
      <c r="H41" s="196"/>
      <c r="I41" s="196"/>
      <c r="J41" s="196">
        <v>167912</v>
      </c>
      <c r="K41" s="196"/>
      <c r="L41" s="196"/>
      <c r="M41" s="196"/>
      <c r="N41" s="196">
        <v>1011556</v>
      </c>
      <c r="O41" s="196"/>
      <c r="P41" s="196"/>
      <c r="Q41" s="196"/>
      <c r="R41" s="196">
        <f>157500</f>
        <v>157500</v>
      </c>
      <c r="S41" s="196"/>
      <c r="T41" s="196"/>
      <c r="U41" s="196"/>
      <c r="V41" s="196"/>
      <c r="W41" s="196">
        <v>52190</v>
      </c>
      <c r="X41" s="196"/>
      <c r="Y41" s="196"/>
      <c r="Z41" s="196"/>
      <c r="AA41" s="196"/>
      <c r="AB41" s="196"/>
      <c r="AC41" s="196"/>
      <c r="AD41" s="196"/>
      <c r="AE41" s="196"/>
      <c r="AF41" s="196"/>
      <c r="AG41" s="195">
        <f>SUM(B41:AF41)</f>
        <v>1389158</v>
      </c>
    </row>
    <row r="42" spans="1:33" ht="3" customHeight="1" x14ac:dyDescent="0.25"/>
    <row r="43" spans="1:33" x14ac:dyDescent="0.25">
      <c r="A43" s="213" t="s">
        <v>539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3"/>
    </row>
    <row r="44" spans="1:33" x14ac:dyDescent="0.25">
      <c r="A44" s="213" t="s">
        <v>381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>
        <v>6</v>
      </c>
      <c r="R44" s="214"/>
      <c r="S44" s="214"/>
      <c r="T44" s="214"/>
      <c r="U44" s="214"/>
      <c r="V44" s="214"/>
      <c r="W44" s="214"/>
      <c r="X44" s="214">
        <v>5</v>
      </c>
      <c r="Y44" s="214">
        <v>2</v>
      </c>
      <c r="Z44" s="214"/>
      <c r="AA44" s="214"/>
      <c r="AB44" s="214"/>
      <c r="AC44" s="214">
        <v>2</v>
      </c>
      <c r="AD44" s="214"/>
      <c r="AE44" s="214"/>
      <c r="AF44" s="214"/>
      <c r="AG44" s="213">
        <f>SUM(B44:AF44)</f>
        <v>15</v>
      </c>
    </row>
    <row r="45" spans="1:33" x14ac:dyDescent="0.25">
      <c r="A45" s="213" t="s">
        <v>382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>
        <v>589715</v>
      </c>
      <c r="R45" s="214"/>
      <c r="S45" s="214"/>
      <c r="T45" s="214"/>
      <c r="U45" s="214"/>
      <c r="V45" s="214"/>
      <c r="W45" s="214"/>
      <c r="X45" s="214">
        <f>279263+139945</f>
        <v>419208</v>
      </c>
      <c r="Y45" s="214">
        <v>243867</v>
      </c>
      <c r="Z45" s="214"/>
      <c r="AA45" s="214"/>
      <c r="AB45" s="214"/>
      <c r="AC45" s="214">
        <v>204415</v>
      </c>
      <c r="AD45" s="214"/>
      <c r="AE45" s="214"/>
      <c r="AF45" s="214"/>
      <c r="AG45" s="213">
        <f>SUM(B45:AF45)</f>
        <v>1457205</v>
      </c>
    </row>
    <row r="46" spans="1:33" ht="3" customHeight="1" x14ac:dyDescent="0.25"/>
    <row r="47" spans="1:33" x14ac:dyDescent="0.25">
      <c r="A47" s="231" t="s">
        <v>561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1"/>
    </row>
    <row r="48" spans="1:33" x14ac:dyDescent="0.25">
      <c r="A48" s="231" t="s">
        <v>381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1">
        <f>SUM(B48:AF48)</f>
        <v>0</v>
      </c>
    </row>
    <row r="49" spans="1:33" x14ac:dyDescent="0.25">
      <c r="A49" s="231" t="s">
        <v>382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1">
        <f>SUM(B49:AF49)</f>
        <v>0</v>
      </c>
    </row>
    <row r="50" spans="1:33" ht="3" customHeight="1" x14ac:dyDescent="0.25"/>
    <row r="51" spans="1:33" x14ac:dyDescent="0.25">
      <c r="A51" s="155" t="s">
        <v>520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155"/>
    </row>
    <row r="52" spans="1:33" x14ac:dyDescent="0.25">
      <c r="A52" s="155" t="s">
        <v>381</v>
      </c>
      <c r="B52" s="58"/>
      <c r="C52" s="58"/>
      <c r="D52" s="58"/>
      <c r="E52" s="58"/>
      <c r="F52" s="58"/>
      <c r="G52" s="58">
        <v>6</v>
      </c>
      <c r="H52" s="58"/>
      <c r="I52" s="58"/>
      <c r="J52" s="58">
        <v>4</v>
      </c>
      <c r="K52" s="58"/>
      <c r="L52" s="58"/>
      <c r="M52" s="58"/>
      <c r="N52" s="58">
        <v>8</v>
      </c>
      <c r="O52" s="58"/>
      <c r="P52" s="58"/>
      <c r="Q52" s="58">
        <v>20</v>
      </c>
      <c r="R52" s="58"/>
      <c r="S52" s="58"/>
      <c r="T52" s="58"/>
      <c r="U52" s="58">
        <v>4</v>
      </c>
      <c r="V52" s="58"/>
      <c r="W52" s="58"/>
      <c r="X52" s="58"/>
      <c r="Y52" s="58"/>
      <c r="Z52" s="58"/>
      <c r="AA52" s="58"/>
      <c r="AB52" s="58"/>
      <c r="AC52" s="58"/>
      <c r="AD52" s="58">
        <v>28</v>
      </c>
      <c r="AE52" s="58"/>
      <c r="AF52" s="58"/>
      <c r="AG52" s="155">
        <f>SUM(B52:AF52)</f>
        <v>70</v>
      </c>
    </row>
    <row r="53" spans="1:33" x14ac:dyDescent="0.25">
      <c r="A53" s="155" t="s">
        <v>382</v>
      </c>
      <c r="B53" s="58"/>
      <c r="C53" s="58"/>
      <c r="D53" s="58"/>
      <c r="E53" s="58"/>
      <c r="F53" s="58"/>
      <c r="G53" s="58">
        <v>527739</v>
      </c>
      <c r="H53" s="58"/>
      <c r="I53" s="58"/>
      <c r="J53" s="58">
        <v>390737</v>
      </c>
      <c r="K53" s="58"/>
      <c r="L53" s="58"/>
      <c r="M53" s="58"/>
      <c r="N53" s="58">
        <v>869453</v>
      </c>
      <c r="O53" s="58"/>
      <c r="P53" s="58"/>
      <c r="Q53" s="58">
        <v>2488282</v>
      </c>
      <c r="R53" s="58"/>
      <c r="S53" s="58"/>
      <c r="T53" s="58"/>
      <c r="U53" s="58">
        <v>333455</v>
      </c>
      <c r="V53" s="58"/>
      <c r="W53" s="58"/>
      <c r="X53" s="58"/>
      <c r="Y53" s="58"/>
      <c r="Z53" s="58"/>
      <c r="AA53" s="58"/>
      <c r="AB53" s="58"/>
      <c r="AC53" s="58"/>
      <c r="AD53" s="58">
        <v>2968866</v>
      </c>
      <c r="AE53" s="58"/>
      <c r="AF53" s="58"/>
      <c r="AG53" s="155">
        <f>SUM(B53:AF53)</f>
        <v>7578532</v>
      </c>
    </row>
    <row r="54" spans="1:33" ht="3" customHeight="1" x14ac:dyDescent="0.25"/>
    <row r="55" spans="1:33" x14ac:dyDescent="0.25">
      <c r="A55" s="241" t="s">
        <v>563</v>
      </c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67"/>
      <c r="AC55" s="240"/>
      <c r="AD55" s="240"/>
      <c r="AE55" s="240"/>
      <c r="AF55" s="240"/>
      <c r="AG55" s="241"/>
    </row>
    <row r="56" spans="1:33" x14ac:dyDescent="0.25">
      <c r="A56" s="241" t="s">
        <v>381</v>
      </c>
      <c r="B56" s="240"/>
      <c r="C56" s="240"/>
      <c r="D56" s="240"/>
      <c r="E56" s="240"/>
      <c r="F56" s="240"/>
      <c r="G56" s="240">
        <v>2</v>
      </c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>
        <v>19</v>
      </c>
      <c r="X56" s="240"/>
      <c r="Y56" s="240"/>
      <c r="Z56" s="240"/>
      <c r="AA56" s="240"/>
      <c r="AB56" s="267"/>
      <c r="AC56" s="240"/>
      <c r="AD56" s="240">
        <v>33</v>
      </c>
      <c r="AE56" s="240"/>
      <c r="AF56" s="240"/>
      <c r="AG56" s="241">
        <f>SUM(B56:AF56)</f>
        <v>54</v>
      </c>
    </row>
    <row r="57" spans="1:33" x14ac:dyDescent="0.25">
      <c r="A57" s="241" t="s">
        <v>382</v>
      </c>
      <c r="B57" s="240"/>
      <c r="C57" s="240"/>
      <c r="D57" s="240"/>
      <c r="E57" s="240"/>
      <c r="F57" s="240"/>
      <c r="G57" s="240">
        <v>368135</v>
      </c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>
        <v>2421020</v>
      </c>
      <c r="X57" s="240"/>
      <c r="Y57" s="240"/>
      <c r="Z57" s="240"/>
      <c r="AA57" s="240"/>
      <c r="AB57" s="267"/>
      <c r="AC57" s="240"/>
      <c r="AD57" s="240">
        <v>3324170</v>
      </c>
      <c r="AE57" s="240"/>
      <c r="AF57" s="240"/>
      <c r="AG57" s="241">
        <f>SUM(B57:AF57)</f>
        <v>6113325</v>
      </c>
    </row>
    <row r="58" spans="1:33" ht="3" customHeight="1" x14ac:dyDescent="0.25"/>
    <row r="59" spans="1:33" x14ac:dyDescent="0.25">
      <c r="A59" s="245" t="s">
        <v>567</v>
      </c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5"/>
    </row>
    <row r="60" spans="1:33" x14ac:dyDescent="0.25">
      <c r="A60" s="245" t="s">
        <v>381</v>
      </c>
      <c r="B60" s="246"/>
      <c r="C60" s="246"/>
      <c r="D60" s="246"/>
      <c r="E60" s="246"/>
      <c r="F60" s="246"/>
      <c r="G60" s="246"/>
      <c r="H60" s="246"/>
      <c r="I60" s="246"/>
      <c r="J60" s="246">
        <v>2</v>
      </c>
      <c r="K60" s="246">
        <v>8</v>
      </c>
      <c r="L60" s="246"/>
      <c r="M60" s="246"/>
      <c r="N60" s="246">
        <v>7</v>
      </c>
      <c r="O60" s="246"/>
      <c r="P60" s="246">
        <v>10</v>
      </c>
      <c r="Q60" s="246"/>
      <c r="R60" s="246"/>
      <c r="S60" s="246">
        <v>5</v>
      </c>
      <c r="T60" s="246"/>
      <c r="U60" s="246"/>
      <c r="V60" s="246">
        <v>10</v>
      </c>
      <c r="W60" s="246"/>
      <c r="X60" s="246"/>
      <c r="Y60" s="246">
        <v>4</v>
      </c>
      <c r="Z60" s="246"/>
      <c r="AA60" s="246"/>
      <c r="AB60" s="246"/>
      <c r="AC60" s="246"/>
      <c r="AD60" s="246">
        <v>9</v>
      </c>
      <c r="AE60" s="246"/>
      <c r="AF60" s="246"/>
      <c r="AG60" s="245">
        <f>SUM(B60:AF60)</f>
        <v>55</v>
      </c>
    </row>
    <row r="61" spans="1:33" x14ac:dyDescent="0.25">
      <c r="A61" s="245" t="s">
        <v>382</v>
      </c>
      <c r="B61" s="246"/>
      <c r="C61" s="246"/>
      <c r="D61" s="246"/>
      <c r="E61" s="246"/>
      <c r="F61" s="246"/>
      <c r="G61" s="246"/>
      <c r="H61" s="246"/>
      <c r="I61" s="246"/>
      <c r="J61" s="246">
        <v>206805</v>
      </c>
      <c r="K61" s="246">
        <v>910095</v>
      </c>
      <c r="L61" s="246"/>
      <c r="M61" s="246"/>
      <c r="N61" s="246">
        <v>670905</v>
      </c>
      <c r="O61" s="246"/>
      <c r="P61" s="246">
        <f>285600+177888+421910</f>
        <v>885398</v>
      </c>
      <c r="Q61" s="246"/>
      <c r="R61" s="246"/>
      <c r="S61" s="246">
        <v>618885</v>
      </c>
      <c r="T61" s="246"/>
      <c r="U61" s="246"/>
      <c r="V61" s="246">
        <f>329120+727639</f>
        <v>1056759</v>
      </c>
      <c r="W61" s="246"/>
      <c r="X61" s="246"/>
      <c r="Y61" s="246">
        <f>247095+269195</f>
        <v>516290</v>
      </c>
      <c r="Z61" s="246"/>
      <c r="AA61" s="246"/>
      <c r="AB61" s="246"/>
      <c r="AC61" s="246"/>
      <c r="AD61" s="246">
        <v>1006645</v>
      </c>
      <c r="AE61" s="246"/>
      <c r="AF61" s="246"/>
      <c r="AG61" s="245">
        <f>SUM(B61:AF61)</f>
        <v>5871782</v>
      </c>
    </row>
    <row r="62" spans="1:33" ht="3" customHeight="1" x14ac:dyDescent="0.25"/>
    <row r="63" spans="1:33" x14ac:dyDescent="0.25">
      <c r="A63" s="247" t="s">
        <v>533</v>
      </c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7"/>
    </row>
    <row r="64" spans="1:33" x14ac:dyDescent="0.25">
      <c r="A64" s="247" t="s">
        <v>381</v>
      </c>
      <c r="B64" s="248"/>
      <c r="C64" s="248"/>
      <c r="D64" s="248"/>
      <c r="E64" s="248"/>
      <c r="F64" s="248"/>
      <c r="G64" s="248"/>
      <c r="H64" s="248"/>
      <c r="I64" s="248"/>
      <c r="J64" s="248">
        <v>2</v>
      </c>
      <c r="K64" s="248">
        <v>2</v>
      </c>
      <c r="L64" s="248"/>
      <c r="M64" s="248"/>
      <c r="N64" s="248">
        <v>1</v>
      </c>
      <c r="O64" s="248">
        <v>1</v>
      </c>
      <c r="P64" s="248">
        <v>2</v>
      </c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>
        <v>1</v>
      </c>
      <c r="AD64" s="248">
        <v>2</v>
      </c>
      <c r="AE64" s="248"/>
      <c r="AF64" s="248"/>
      <c r="AG64" s="247">
        <f>SUM(B64:AF64)</f>
        <v>11</v>
      </c>
    </row>
    <row r="65" spans="1:33" x14ac:dyDescent="0.25">
      <c r="A65" s="247" t="s">
        <v>382</v>
      </c>
      <c r="B65" s="248"/>
      <c r="C65" s="248"/>
      <c r="D65" s="248"/>
      <c r="E65" s="248"/>
      <c r="F65" s="248"/>
      <c r="G65" s="248"/>
      <c r="H65" s="248"/>
      <c r="I65" s="248"/>
      <c r="J65" s="248">
        <v>208080</v>
      </c>
      <c r="K65" s="248">
        <f>115005+62475</f>
        <v>177480</v>
      </c>
      <c r="L65" s="248"/>
      <c r="M65" s="248"/>
      <c r="N65" s="248">
        <v>45730</v>
      </c>
      <c r="O65" s="248">
        <v>40650</v>
      </c>
      <c r="P65" s="248">
        <f>248676</f>
        <v>248676</v>
      </c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>
        <v>124338</v>
      </c>
      <c r="AD65" s="248">
        <v>133290</v>
      </c>
      <c r="AE65" s="248"/>
      <c r="AF65" s="248"/>
      <c r="AG65" s="247">
        <f>SUM(B65:AF65)</f>
        <v>978244</v>
      </c>
    </row>
    <row r="66" spans="1:33" ht="3" customHeight="1" x14ac:dyDescent="0.25"/>
    <row r="67" spans="1:33" x14ac:dyDescent="0.25">
      <c r="A67" s="249" t="s">
        <v>568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49"/>
    </row>
    <row r="68" spans="1:33" x14ac:dyDescent="0.25">
      <c r="A68" s="249" t="s">
        <v>381</v>
      </c>
      <c r="B68" s="250"/>
      <c r="C68" s="250"/>
      <c r="D68" s="250"/>
      <c r="E68" s="250"/>
      <c r="F68" s="250"/>
      <c r="G68" s="250"/>
      <c r="H68" s="250"/>
      <c r="I68" s="250"/>
      <c r="J68" s="250">
        <v>8</v>
      </c>
      <c r="K68" s="250"/>
      <c r="L68" s="250"/>
      <c r="M68" s="250"/>
      <c r="N68" s="250">
        <v>1</v>
      </c>
      <c r="O68" s="250">
        <v>5</v>
      </c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>
        <v>1</v>
      </c>
      <c r="AA68" s="250"/>
      <c r="AB68" s="250"/>
      <c r="AC68" s="250"/>
      <c r="AD68" s="250">
        <v>5</v>
      </c>
      <c r="AE68" s="250"/>
      <c r="AF68" s="250"/>
      <c r="AG68" s="249">
        <f>SUM(B68:AF68)</f>
        <v>20</v>
      </c>
    </row>
    <row r="69" spans="1:33" x14ac:dyDescent="0.25">
      <c r="A69" s="249" t="s">
        <v>382</v>
      </c>
      <c r="B69" s="250"/>
      <c r="C69" s="250"/>
      <c r="D69" s="250"/>
      <c r="E69" s="250"/>
      <c r="F69" s="250"/>
      <c r="G69" s="250"/>
      <c r="H69" s="250"/>
      <c r="I69" s="250"/>
      <c r="J69" s="250">
        <v>609729</v>
      </c>
      <c r="K69" s="250"/>
      <c r="L69" s="250"/>
      <c r="M69" s="250"/>
      <c r="N69" s="250">
        <v>108035</v>
      </c>
      <c r="O69" s="250">
        <v>546295</v>
      </c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>
        <v>45412</v>
      </c>
      <c r="AA69" s="250"/>
      <c r="AB69" s="250"/>
      <c r="AC69" s="250"/>
      <c r="AD69" s="250">
        <v>964096</v>
      </c>
      <c r="AE69" s="250"/>
      <c r="AF69" s="250"/>
      <c r="AG69" s="249">
        <f>SUM(B69:AF69)</f>
        <v>2273567</v>
      </c>
    </row>
    <row r="70" spans="1:33" ht="3" customHeight="1" x14ac:dyDescent="0.25"/>
    <row r="71" spans="1:33" x14ac:dyDescent="0.25">
      <c r="A71" s="255" t="s">
        <v>575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5"/>
    </row>
    <row r="72" spans="1:33" x14ac:dyDescent="0.25">
      <c r="A72" s="255" t="s">
        <v>381</v>
      </c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>
        <v>3</v>
      </c>
      <c r="P72" s="256"/>
      <c r="Q72" s="256"/>
      <c r="R72" s="256"/>
      <c r="S72" s="256"/>
      <c r="T72" s="256"/>
      <c r="U72" s="256">
        <v>11</v>
      </c>
      <c r="V72" s="256"/>
      <c r="W72" s="256"/>
      <c r="X72" s="256">
        <v>13</v>
      </c>
      <c r="Y72" s="256"/>
      <c r="Z72" s="256"/>
      <c r="AA72" s="256"/>
      <c r="AB72" s="256"/>
      <c r="AC72" s="256"/>
      <c r="AD72" s="256"/>
      <c r="AE72" s="256"/>
      <c r="AF72" s="256"/>
      <c r="AG72" s="255">
        <f>SUM(B72:AF72)</f>
        <v>27</v>
      </c>
    </row>
    <row r="73" spans="1:33" x14ac:dyDescent="0.25">
      <c r="A73" s="255" t="s">
        <v>382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>
        <v>327980</v>
      </c>
      <c r="P73" s="256"/>
      <c r="Q73" s="256"/>
      <c r="R73" s="256"/>
      <c r="S73" s="256"/>
      <c r="T73" s="256"/>
      <c r="U73" s="256">
        <v>1079187</v>
      </c>
      <c r="V73" s="256"/>
      <c r="W73" s="256"/>
      <c r="X73" s="256">
        <v>1224454</v>
      </c>
      <c r="Y73" s="256"/>
      <c r="Z73" s="256"/>
      <c r="AA73" s="256"/>
      <c r="AB73" s="256"/>
      <c r="AC73" s="256"/>
      <c r="AD73" s="256"/>
      <c r="AE73" s="256"/>
      <c r="AF73" s="256"/>
      <c r="AG73" s="255">
        <f>SUM(B73:AF73)</f>
        <v>2631621</v>
      </c>
    </row>
  </sheetData>
  <mergeCells count="3">
    <mergeCell ref="B1:AF1"/>
    <mergeCell ref="AG1:AG2"/>
    <mergeCell ref="AI3:AK3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N10" sqref="N10"/>
    </sheetView>
  </sheetViews>
  <sheetFormatPr defaultRowHeight="15" x14ac:dyDescent="0.25"/>
  <cols>
    <col min="3" max="3" width="18.85546875" bestFit="1" customWidth="1"/>
    <col min="4" max="4" width="11.85546875" bestFit="1" customWidth="1"/>
    <col min="5" max="7" width="10.85546875" bestFit="1" customWidth="1"/>
    <col min="8" max="8" width="10.85546875" customWidth="1"/>
    <col min="9" max="9" width="14.85546875" bestFit="1" customWidth="1"/>
    <col min="11" max="11" width="41.140625" bestFit="1" customWidth="1"/>
  </cols>
  <sheetData>
    <row r="1" spans="2:11" x14ac:dyDescent="0.25">
      <c r="B1" s="220" t="s">
        <v>551</v>
      </c>
      <c r="C1" s="216" t="s">
        <v>0</v>
      </c>
      <c r="D1" s="216" t="s">
        <v>550</v>
      </c>
      <c r="E1" s="216" t="s">
        <v>12</v>
      </c>
      <c r="F1" s="216" t="s">
        <v>547</v>
      </c>
      <c r="G1" s="216" t="s">
        <v>548</v>
      </c>
      <c r="H1" s="216" t="s">
        <v>562</v>
      </c>
      <c r="I1" s="216" t="s">
        <v>549</v>
      </c>
    </row>
    <row r="2" spans="2:11" x14ac:dyDescent="0.25">
      <c r="B2" s="221">
        <v>1</v>
      </c>
      <c r="C2" s="218" t="s">
        <v>455</v>
      </c>
      <c r="D2" s="218" t="s">
        <v>65</v>
      </c>
      <c r="E2" s="219">
        <f>'Ojt Maret-April'!D17</f>
        <v>827458</v>
      </c>
      <c r="F2" s="218">
        <v>0</v>
      </c>
      <c r="G2" s="219">
        <f>'SA April'!AG47</f>
        <v>2474466</v>
      </c>
      <c r="H2" s="239">
        <f>'SA Mei'!AG33</f>
        <v>2847073</v>
      </c>
      <c r="I2" s="217">
        <f>SUM(E2:H2)</f>
        <v>6148997</v>
      </c>
      <c r="K2" s="235" t="s">
        <v>564</v>
      </c>
    </row>
    <row r="3" spans="2:11" x14ac:dyDescent="0.25">
      <c r="B3" s="221">
        <v>2</v>
      </c>
      <c r="C3" s="218" t="s">
        <v>499</v>
      </c>
      <c r="D3" s="218" t="s">
        <v>65</v>
      </c>
      <c r="E3" s="219">
        <f>'Ojt Maret-April'!D24</f>
        <v>974683</v>
      </c>
      <c r="F3" s="218">
        <v>0</v>
      </c>
      <c r="G3" s="219">
        <f>'SA April'!AG41</f>
        <v>1505027</v>
      </c>
      <c r="H3" s="239">
        <f>'SA Mei'!AG29</f>
        <v>9251453</v>
      </c>
      <c r="I3" s="217">
        <f t="shared" ref="I3:I20" si="0">SUM(E3:H3)</f>
        <v>11731163</v>
      </c>
      <c r="K3" s="236">
        <f>I21+reseller!F12+'Ojt Maret-April'!D7+'Ojt Maret-April'!D52+'ojt Feb'!H13</f>
        <v>130959049</v>
      </c>
    </row>
    <row r="4" spans="2:11" x14ac:dyDescent="0.25">
      <c r="B4" s="221">
        <v>3</v>
      </c>
      <c r="C4" s="218" t="s">
        <v>514</v>
      </c>
      <c r="D4" s="218" t="s">
        <v>65</v>
      </c>
      <c r="E4" s="219">
        <f>'Ojt Maret-April'!D15</f>
        <v>1316285</v>
      </c>
      <c r="F4" s="218">
        <v>0</v>
      </c>
      <c r="G4" s="218">
        <v>0</v>
      </c>
      <c r="H4" s="239">
        <v>0</v>
      </c>
      <c r="I4" s="217">
        <f t="shared" si="0"/>
        <v>1316285</v>
      </c>
    </row>
    <row r="5" spans="2:11" x14ac:dyDescent="0.25">
      <c r="B5" s="221">
        <v>4</v>
      </c>
      <c r="C5" s="218" t="s">
        <v>539</v>
      </c>
      <c r="D5" s="218" t="s">
        <v>507</v>
      </c>
      <c r="E5" s="219">
        <f>'Ojt Maret-April'!D16</f>
        <v>1414400</v>
      </c>
      <c r="F5" s="218">
        <v>0</v>
      </c>
      <c r="G5" s="219">
        <f>'SA April'!AG65</f>
        <v>1045749</v>
      </c>
      <c r="H5" s="239">
        <f>'SA Mei'!AG45</f>
        <v>1457205</v>
      </c>
      <c r="I5" s="217">
        <f t="shared" si="0"/>
        <v>3917354</v>
      </c>
      <c r="K5" s="251"/>
    </row>
    <row r="6" spans="2:11" x14ac:dyDescent="0.25">
      <c r="B6" s="221">
        <v>5</v>
      </c>
      <c r="C6" s="218" t="s">
        <v>344</v>
      </c>
      <c r="D6" s="218" t="s">
        <v>387</v>
      </c>
      <c r="E6" s="219">
        <f>'Ojt Maret-April'!D25</f>
        <v>1661532</v>
      </c>
      <c r="F6" s="219">
        <f>SAMaret!AH35</f>
        <v>2756679</v>
      </c>
      <c r="G6" s="219">
        <f>'SA April'!AG35</f>
        <v>3046235</v>
      </c>
      <c r="H6" s="239">
        <f>'SA Mei'!AG25</f>
        <v>7820538</v>
      </c>
      <c r="I6" s="217">
        <f t="shared" si="0"/>
        <v>15284984</v>
      </c>
      <c r="K6" s="251"/>
    </row>
    <row r="7" spans="2:11" x14ac:dyDescent="0.25">
      <c r="B7" s="221">
        <v>6</v>
      </c>
      <c r="C7" s="218" t="s">
        <v>488</v>
      </c>
      <c r="D7" s="218" t="s">
        <v>387</v>
      </c>
      <c r="E7" s="219">
        <f>'Ojt Maret-April'!D10</f>
        <v>1331610</v>
      </c>
      <c r="F7" s="218">
        <v>0</v>
      </c>
      <c r="G7" s="219">
        <f>'SA April'!AG53</f>
        <v>993175</v>
      </c>
      <c r="H7" s="239">
        <f>'SA Mei'!AG37</f>
        <v>348670</v>
      </c>
      <c r="I7" s="217">
        <f t="shared" si="0"/>
        <v>2673455</v>
      </c>
    </row>
    <row r="8" spans="2:11" x14ac:dyDescent="0.25">
      <c r="B8" s="221">
        <v>7</v>
      </c>
      <c r="C8" s="218" t="s">
        <v>58</v>
      </c>
      <c r="D8" s="218" t="s">
        <v>72</v>
      </c>
      <c r="E8" s="219">
        <f>'ojt Feb'!H4</f>
        <v>865894</v>
      </c>
      <c r="F8" s="219">
        <f>SAMaret!AH17</f>
        <v>10436598</v>
      </c>
      <c r="G8" s="219">
        <f>'SA April'!AG17</f>
        <v>1973390</v>
      </c>
      <c r="H8" s="239">
        <f>'SA Mei'!AG13</f>
        <v>1320487</v>
      </c>
      <c r="I8" s="217">
        <f t="shared" si="0"/>
        <v>14596369</v>
      </c>
    </row>
    <row r="9" spans="2:11" x14ac:dyDescent="0.25">
      <c r="B9" s="221">
        <v>8</v>
      </c>
      <c r="C9" s="218" t="s">
        <v>520</v>
      </c>
      <c r="D9" s="218" t="s">
        <v>42</v>
      </c>
      <c r="E9" s="219">
        <f>'Ojt Maret-April'!D18</f>
        <v>1123739</v>
      </c>
      <c r="F9" s="218">
        <v>0</v>
      </c>
      <c r="G9" s="219">
        <f>'SA April'!AG77</f>
        <v>762027</v>
      </c>
      <c r="H9" s="239">
        <f>'SA Mei'!AG53</f>
        <v>7578532</v>
      </c>
      <c r="I9" s="217">
        <f t="shared" si="0"/>
        <v>9464298</v>
      </c>
    </row>
    <row r="10" spans="2:11" x14ac:dyDescent="0.25">
      <c r="B10" s="221">
        <v>9</v>
      </c>
      <c r="C10" s="218" t="s">
        <v>521</v>
      </c>
      <c r="D10" s="218" t="s">
        <v>264</v>
      </c>
      <c r="E10" s="219">
        <f>'Ojt Maret-April'!D19</f>
        <v>1243910</v>
      </c>
      <c r="F10" s="218">
        <v>0</v>
      </c>
      <c r="G10" s="218">
        <v>0</v>
      </c>
      <c r="H10" s="239">
        <f>'SA Mei'!AG57</f>
        <v>6113325</v>
      </c>
      <c r="I10" s="217">
        <f t="shared" si="0"/>
        <v>7357235</v>
      </c>
    </row>
    <row r="11" spans="2:11" x14ac:dyDescent="0.25">
      <c r="B11" s="221">
        <v>10</v>
      </c>
      <c r="C11" s="218" t="s">
        <v>541</v>
      </c>
      <c r="D11" s="218" t="s">
        <v>264</v>
      </c>
      <c r="E11" s="219">
        <f>'ojt Feb'!H7</f>
        <v>870094</v>
      </c>
      <c r="F11" s="219">
        <f>SAMaret!AH5</f>
        <v>2521561</v>
      </c>
      <c r="G11" s="219">
        <f>'SA April'!AG5</f>
        <v>677255</v>
      </c>
      <c r="H11" s="239">
        <f>'SA Mei'!AG5</f>
        <v>729312</v>
      </c>
      <c r="I11" s="217">
        <f t="shared" si="0"/>
        <v>4798222</v>
      </c>
    </row>
    <row r="12" spans="2:11" x14ac:dyDescent="0.25">
      <c r="B12" s="221">
        <v>11</v>
      </c>
      <c r="C12" s="218" t="s">
        <v>542</v>
      </c>
      <c r="D12" s="218" t="s">
        <v>545</v>
      </c>
      <c r="E12" s="219">
        <f>'Ojt Maret-April'!D22</f>
        <v>908539</v>
      </c>
      <c r="F12" s="218">
        <v>0</v>
      </c>
      <c r="G12" s="219">
        <f>'SA April'!AG59</f>
        <v>1097626</v>
      </c>
      <c r="H12" s="239">
        <f>'SA Mei'!AG41</f>
        <v>1389158</v>
      </c>
      <c r="I12" s="217">
        <f t="shared" si="0"/>
        <v>3395323</v>
      </c>
    </row>
    <row r="13" spans="2:11" x14ac:dyDescent="0.25">
      <c r="B13" s="221">
        <v>12</v>
      </c>
      <c r="C13" s="218" t="s">
        <v>389</v>
      </c>
      <c r="D13" s="218" t="s">
        <v>497</v>
      </c>
      <c r="E13" s="219">
        <f>'Ojt Maret-April'!D23</f>
        <v>1366205</v>
      </c>
      <c r="F13" s="219">
        <f>SAMaret!AH23</f>
        <v>2584261</v>
      </c>
      <c r="G13" s="219">
        <f>'SA April'!AG23</f>
        <v>2384697</v>
      </c>
      <c r="H13" s="239">
        <f>'SA Mei'!AG17</f>
        <v>427003</v>
      </c>
      <c r="I13" s="217">
        <f t="shared" si="0"/>
        <v>6762166</v>
      </c>
    </row>
    <row r="14" spans="2:11" x14ac:dyDescent="0.25">
      <c r="B14" s="221">
        <v>13</v>
      </c>
      <c r="C14" s="218" t="s">
        <v>543</v>
      </c>
      <c r="D14" s="218" t="s">
        <v>546</v>
      </c>
      <c r="E14" s="219">
        <v>0</v>
      </c>
      <c r="F14" s="218">
        <v>0</v>
      </c>
      <c r="G14" s="219">
        <f>'SA April'!AG71</f>
        <v>107270</v>
      </c>
      <c r="H14" s="239">
        <v>0</v>
      </c>
      <c r="I14" s="217">
        <f t="shared" si="0"/>
        <v>107270</v>
      </c>
    </row>
    <row r="15" spans="2:11" x14ac:dyDescent="0.25">
      <c r="B15" s="221">
        <v>14</v>
      </c>
      <c r="C15" s="218" t="s">
        <v>226</v>
      </c>
      <c r="D15" s="218" t="s">
        <v>490</v>
      </c>
      <c r="E15" s="219">
        <f>'Ojt Maret-April'!D9</f>
        <v>963484</v>
      </c>
      <c r="F15" s="219">
        <f>SAMaret!AH29</f>
        <v>1059646</v>
      </c>
      <c r="G15" s="219">
        <f>'SA April'!AG29</f>
        <v>285343</v>
      </c>
      <c r="H15" s="239">
        <f>'SA Mei'!AG21</f>
        <v>1282763</v>
      </c>
      <c r="I15" s="217">
        <f t="shared" si="0"/>
        <v>3591236</v>
      </c>
    </row>
    <row r="16" spans="2:11" x14ac:dyDescent="0.25">
      <c r="B16" s="221">
        <v>15</v>
      </c>
      <c r="C16" s="218" t="s">
        <v>544</v>
      </c>
      <c r="D16" s="218" t="s">
        <v>490</v>
      </c>
      <c r="E16" s="219">
        <f>'ojt Feb'!H6</f>
        <v>1358320</v>
      </c>
      <c r="F16" s="219">
        <f>SAMaret!AH11</f>
        <v>10474727</v>
      </c>
      <c r="G16" s="219">
        <f>'SA April'!AG11</f>
        <v>819218</v>
      </c>
      <c r="H16" s="239">
        <f>'SA Mei'!AG9</f>
        <v>915830</v>
      </c>
      <c r="I16" s="217">
        <f t="shared" si="0"/>
        <v>13568095</v>
      </c>
    </row>
    <row r="17" spans="2:9" x14ac:dyDescent="0.25">
      <c r="B17" s="221">
        <v>16</v>
      </c>
      <c r="C17" s="218" t="s">
        <v>569</v>
      </c>
      <c r="D17" s="218" t="s">
        <v>535</v>
      </c>
      <c r="E17" s="219">
        <f>'Ojt Maret-April'!D14</f>
        <v>1288502</v>
      </c>
      <c r="F17" s="219">
        <v>0</v>
      </c>
      <c r="G17" s="219">
        <v>0</v>
      </c>
      <c r="H17" s="239">
        <f>'SA Mei'!AG61</f>
        <v>5871782</v>
      </c>
      <c r="I17" s="217">
        <f t="shared" si="0"/>
        <v>7160284</v>
      </c>
    </row>
    <row r="18" spans="2:9" x14ac:dyDescent="0.25">
      <c r="B18" s="221">
        <v>17</v>
      </c>
      <c r="C18" s="218" t="s">
        <v>570</v>
      </c>
      <c r="D18" s="218" t="s">
        <v>388</v>
      </c>
      <c r="E18" s="219">
        <f>'Ojt Maret-April'!D11</f>
        <v>1181772</v>
      </c>
      <c r="F18" s="219">
        <v>0</v>
      </c>
      <c r="G18" s="219">
        <v>0</v>
      </c>
      <c r="H18" s="239">
        <f>'SA Mei'!AG65</f>
        <v>978244</v>
      </c>
      <c r="I18" s="217">
        <f t="shared" si="0"/>
        <v>2160016</v>
      </c>
    </row>
    <row r="19" spans="2:9" x14ac:dyDescent="0.25">
      <c r="B19" s="221">
        <v>18</v>
      </c>
      <c r="C19" s="218" t="s">
        <v>571</v>
      </c>
      <c r="D19" s="218" t="s">
        <v>537</v>
      </c>
      <c r="E19" s="219">
        <f>'Ojt Maret-April'!D12</f>
        <v>1233367</v>
      </c>
      <c r="F19" s="219">
        <v>0</v>
      </c>
      <c r="G19" s="219">
        <v>0</v>
      </c>
      <c r="H19" s="239">
        <f>'SA Mei'!AG69</f>
        <v>2273567</v>
      </c>
      <c r="I19" s="217">
        <f t="shared" si="0"/>
        <v>3506934</v>
      </c>
    </row>
    <row r="20" spans="2:9" x14ac:dyDescent="0.25">
      <c r="B20" s="221">
        <v>19</v>
      </c>
      <c r="C20" s="218" t="s">
        <v>575</v>
      </c>
      <c r="D20" s="218" t="s">
        <v>72</v>
      </c>
      <c r="E20" s="219">
        <f>'Ojt Maret-April'!D13</f>
        <v>960900</v>
      </c>
      <c r="F20" s="219">
        <v>0</v>
      </c>
      <c r="G20" s="219">
        <v>0</v>
      </c>
      <c r="H20" s="239">
        <f>'SA Mei'!AG73</f>
        <v>2631621</v>
      </c>
      <c r="I20" s="217">
        <f t="shared" si="0"/>
        <v>3592521</v>
      </c>
    </row>
    <row r="21" spans="2:9" x14ac:dyDescent="0.25">
      <c r="E21" s="217">
        <f>SUM(E2:E19)</f>
        <v>19929794</v>
      </c>
      <c r="F21" s="217">
        <f>SUM(F2:F19)</f>
        <v>29833472</v>
      </c>
      <c r="G21" s="217">
        <f>SUM(G2:G19)</f>
        <v>17171478</v>
      </c>
      <c r="H21" s="217">
        <f>SUM(H2:H20)</f>
        <v>53236563</v>
      </c>
      <c r="I21" s="217">
        <f>SUM(I2:I20)</f>
        <v>121132207</v>
      </c>
    </row>
    <row r="22" spans="2:9" x14ac:dyDescent="0.25">
      <c r="I22" s="2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sumatera</vt:lpstr>
      <vt:lpstr>kalimantan &amp; sulawesi</vt:lpstr>
      <vt:lpstr>jawa &amp; bali</vt:lpstr>
      <vt:lpstr>ojt Feb</vt:lpstr>
      <vt:lpstr>Ojt Maret-April</vt:lpstr>
      <vt:lpstr>SAMaret</vt:lpstr>
      <vt:lpstr>SA April</vt:lpstr>
      <vt:lpstr>SA Mei</vt:lpstr>
      <vt:lpstr>rekap penjualan</vt:lpstr>
      <vt:lpstr>efektifitas katalog</vt:lpstr>
      <vt:lpstr>reseller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Eru</cp:lastModifiedBy>
  <dcterms:created xsi:type="dcterms:W3CDTF">2019-02-04T04:04:27Z</dcterms:created>
  <dcterms:modified xsi:type="dcterms:W3CDTF">2019-05-30T10:56:20Z</dcterms:modified>
</cp:coreProperties>
</file>