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Maret" sheetId="1" r:id="rId1"/>
    <sheet name="BRI-Apr" sheetId="2" r:id="rId2"/>
    <sheet name="Mandiri-Apr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I200" i="2" l="1"/>
  <c r="I199" i="2"/>
  <c r="H59" i="3"/>
  <c r="I163" i="2" l="1"/>
  <c r="I162" i="2"/>
  <c r="I161" i="2"/>
  <c r="I168" i="2"/>
  <c r="I167" i="2"/>
  <c r="I147" i="2" l="1"/>
  <c r="I157" i="2"/>
  <c r="I156" i="2"/>
  <c r="I130" i="2" l="1"/>
  <c r="I129" i="2"/>
  <c r="I124" i="2"/>
  <c r="I123" i="2"/>
  <c r="I111" i="2"/>
  <c r="I110" i="2"/>
  <c r="I97" i="2" l="1"/>
  <c r="I96" i="2"/>
  <c r="I95" i="2"/>
  <c r="I94" i="2"/>
  <c r="I93" i="2"/>
  <c r="I89" i="2"/>
  <c r="I88" i="2"/>
  <c r="I87" i="2"/>
  <c r="I85" i="2"/>
  <c r="I84" i="2"/>
  <c r="I83" i="2"/>
  <c r="I58" i="2" l="1"/>
  <c r="I57" i="2"/>
  <c r="I62" i="2"/>
  <c r="I61" i="2"/>
  <c r="I60" i="2"/>
  <c r="I64" i="2"/>
  <c r="I50" i="2" l="1"/>
  <c r="I49" i="2"/>
  <c r="I48" i="2"/>
  <c r="I37" i="2"/>
  <c r="I36" i="2"/>
  <c r="I25" i="2" l="1"/>
  <c r="I24" i="2"/>
  <c r="I5" i="2"/>
  <c r="I4" i="2"/>
  <c r="I18" i="2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>
      <text>
        <r>
          <rPr>
            <b/>
            <sz val="9"/>
            <color indexed="81"/>
            <rFont val="Tahoma"/>
            <family val="2"/>
          </rPr>
          <t>31/03/2018 10:53:50  31/03/2018  DIDIN LBP 123
MCM InhouseTrf KE HELY YULIANTI  2,871,300.00  0.00  5,308,750.00</t>
        </r>
      </text>
    </comment>
    <comment ref="C550" authorId="0">
      <text>
        <r>
          <rPr>
            <b/>
            <sz val="9"/>
            <color indexed="81"/>
            <rFont val="Tahoma"/>
            <family val="2"/>
          </rPr>
          <t xml:space="preserve">31/03/18
11:26:19
PEMBAYARAN TATI SRI  T:0374520:CMS
2,717,800.00
0.00
0374520   </t>
        </r>
      </text>
    </comment>
    <comment ref="C551" authorId="0">
      <text>
        <r>
          <rPr>
            <b/>
            <sz val="9"/>
            <color indexed="81"/>
            <rFont val="Tahoma"/>
            <family val="2"/>
          </rPr>
          <t xml:space="preserve">31/03/18
11:26:22
PEMBAYARAN LILI LOD  T:0374519:CMS
811,300.00
0.00
0374519   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31/03/2018 10:53:48  31/03/2018  ALI SLI 123
MCM InhouseTrf KE ALI MUHAMMAD  1,098,900.00  0.00  8,180,050.00</t>
        </r>
      </text>
    </comment>
    <comment ref="C553" authorId="0">
      <text>
        <r>
          <rPr>
            <b/>
            <sz val="9"/>
            <color indexed="81"/>
            <rFont val="Tahoma"/>
            <family val="2"/>
          </rPr>
          <t xml:space="preserve">31/03/18
11:26:22
PEMBAYARAN EPI LPE  T:0374515:CMS
766,200.00
0.00
0374515   </t>
        </r>
      </text>
    </comment>
    <comment ref="C554" authorId="0">
      <text>
        <r>
          <rPr>
            <b/>
            <sz val="9"/>
            <color indexed="81"/>
            <rFont val="Tahoma"/>
            <family val="2"/>
          </rPr>
          <t xml:space="preserve">31/03/18
11:26:22
PEMBAYARAN RUDI HERMAWAN LAY  T:0374511:CMS
850,200.00
0.00
0374511   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 xml:space="preserve">31/03/18
11:26:19
PEMBAYARAN RONI LFW  T:0374518:CMS
841,200.00
0.00
0374518   </t>
        </r>
      </text>
    </comment>
    <comment ref="C556" authorId="0">
      <text>
        <r>
          <rPr>
            <b/>
            <sz val="9"/>
            <color indexed="81"/>
            <rFont val="Tahoma"/>
            <family val="2"/>
          </rPr>
          <t xml:space="preserve">31/03/18
11:26:22
PEMBAYARAN JAJANG JAYANI AKSESORIS  T:0374520:CMS
1,995,000.00
0.00
0374520   </t>
        </r>
      </text>
    </comment>
    <comment ref="C557" authorId="0">
      <text>
        <r>
          <rPr>
            <b/>
            <sz val="9"/>
            <color indexed="81"/>
            <rFont val="Tahoma"/>
            <family val="2"/>
          </rPr>
          <t xml:space="preserve">31/03/18
11:26:23
PEMBAYARAN SOPI LDG  T:0374517:CMS
3,271,200.00
0.00
0374517   </t>
        </r>
      </text>
    </comment>
    <comment ref="C559" authorId="0">
      <text>
        <r>
          <rPr>
            <b/>
            <sz val="9"/>
            <color indexed="81"/>
            <rFont val="Tahoma"/>
            <family val="2"/>
          </rPr>
          <t xml:space="preserve">31/03/18
11:26:22
PEMBAYARAN IRSAN LIR  T:0374516:CMS
821,800.00
0.00
0374516   </t>
        </r>
      </text>
    </comment>
    <comment ref="C560" authorId="0">
      <text>
        <r>
          <rPr>
            <b/>
            <sz val="9"/>
            <color indexed="81"/>
            <rFont val="Tahoma"/>
            <family val="2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1" authorId="0">
      <text>
        <r>
          <rPr>
            <b/>
            <sz val="9"/>
            <color indexed="81"/>
            <rFont val="Tahoma"/>
            <family val="2"/>
          </rPr>
          <t xml:space="preserve">31/03/18
11:26:22
PEMBAYARAN NANDANG LAD  T:0374513:CMS
857,200.00
0.00
0374513   </t>
        </r>
      </text>
    </comment>
    <comment ref="C562" authorId="0">
      <text>
        <r>
          <rPr>
            <b/>
            <sz val="9"/>
            <color indexed="81"/>
            <rFont val="Tahoma"/>
            <family val="2"/>
          </rPr>
          <t xml:space="preserve">31/03/18
11:26:21
PEMBAYARAN HERMAN LFS  T:0374512:CMS
2,436,000.00
0.00
0374512   </t>
        </r>
      </text>
    </comment>
    <comment ref="C563" authorId="0">
      <text>
        <r>
          <rPr>
            <b/>
            <sz val="9"/>
            <color indexed="81"/>
            <rFont val="Tahoma"/>
            <family val="2"/>
          </rPr>
          <t xml:space="preserve">31/03/18
11:26:22
PEMBAYARAN HASAN LSM  T:0374514:CMS
1,672,000.00
0.00
0374514   </t>
        </r>
      </text>
    </comment>
    <comment ref="C565" authorId="0">
      <text>
        <r>
          <rPr>
            <b/>
            <sz val="9"/>
            <color indexed="81"/>
            <rFont val="Tahoma"/>
            <family val="2"/>
          </rPr>
          <t xml:space="preserve">31/03/18
11:26:22
PEMBAYARAN ASEP PERMANA LDO  T:0374517:CMS
2,281,500.00
0.00
0374517   </t>
        </r>
      </text>
    </comment>
    <comment ref="C568" authorId="0">
      <text>
        <r>
          <rPr>
            <b/>
            <sz val="9"/>
            <color indexed="81"/>
            <rFont val="Tahoma"/>
            <family val="2"/>
          </rPr>
          <t xml:space="preserve">31/03/18
11:26:22
PEMBAYARAN YANA LKP  T:0374518:CMS
433,650.00
0.00
0374518   </t>
        </r>
      </text>
    </comment>
    <comment ref="C569" authorId="0">
      <text>
        <r>
          <rPr>
            <b/>
            <sz val="9"/>
            <color indexed="81"/>
            <rFont val="Tahoma"/>
            <family val="2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<sst xmlns="http://schemas.openxmlformats.org/spreadsheetml/2006/main" count="2189" uniqueCount="1057">
  <si>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</si>
  <si>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</si>
  <si>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</si>
  <si>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</si>
  <si>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</si>
  <si>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</si>
  <si>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</si>
  <si>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</si>
  <si>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</si>
  <si>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</si>
  <si>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</si>
  <si>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</si>
  <si>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</si>
  <si>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</si>
  <si>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</si>
  <si>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</si>
  <si>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</si>
  <si>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</si>
  <si>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</si>
  <si>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</si>
  <si>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</si>
  <si>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</si>
  <si>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</si>
  <si>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</si>
  <si>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</si>
  <si>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</si>
  <si>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</si>
  <si>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</si>
  <si>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</si>
  <si>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</si>
  <si>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</si>
  <si>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</si>
  <si>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</si>
  <si>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</si>
  <si>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</si>
  <si>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</si>
  <si>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</si>
  <si>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</si>
  <si>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</si>
  <si>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</si>
  <si>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</si>
  <si>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</si>
  <si>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</si>
  <si>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</si>
  <si>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</si>
  <si>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</si>
  <si>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</si>
  <si>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</si>
  <si>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</si>
  <si>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</si>
  <si>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</si>
  <si>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</si>
  <si>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</si>
  <si>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</si>
  <si>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</si>
  <si>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</si>
  <si>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</si>
  <si>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</si>
  <si>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</si>
  <si>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</si>
  <si>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</si>
  <si>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</si>
  <si>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</si>
  <si>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</si>
  <si>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</si>
  <si>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</si>
  <si>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</si>
  <si>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</si>
  <si>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</si>
  <si>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</si>
  <si>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</si>
  <si>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</si>
  <si>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</si>
  <si>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</si>
  <si>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</si>
  <si>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</si>
  <si>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</si>
  <si>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</si>
  <si>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</si>
  <si>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</si>
  <si>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</si>
  <si>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</si>
  <si>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</si>
  <si>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</si>
  <si>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</si>
  <si>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</si>
  <si>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</si>
  <si>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</si>
  <si>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</si>
  <si>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</si>
  <si>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</si>
  <si>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</si>
  <si>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</si>
  <si>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</si>
  <si>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</si>
  <si>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</si>
  <si>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</si>
  <si>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</si>
  <si>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</si>
  <si>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</si>
  <si>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</si>
  <si>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</si>
  <si>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</si>
  <si>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</si>
  <si>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</si>
  <si>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</si>
  <si>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</si>
  <si>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</si>
  <si>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</si>
  <si>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</si>
  <si>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</si>
  <si>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</si>
  <si>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</si>
  <si>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</si>
  <si>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</si>
  <si>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</si>
  <si>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</si>
  <si>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</si>
  <si>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</si>
  <si>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</si>
  <si>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</si>
  <si>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</si>
  <si>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</si>
  <si>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</si>
  <si>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</si>
  <si>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</si>
  <si>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</si>
  <si>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</si>
  <si>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</si>
  <si>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</si>
  <si>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</si>
  <si>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</si>
  <si>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</si>
  <si>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</si>
  <si>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</si>
  <si>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</si>
  <si>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</si>
  <si>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</si>
  <si>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</si>
  <si>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</si>
  <si>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</si>
  <si>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</si>
  <si>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</si>
  <si>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</si>
  <si>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</si>
  <si>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</si>
  <si>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</si>
  <si>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</si>
  <si>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</si>
  <si>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</si>
  <si>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</si>
  <si>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</si>
  <si>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</si>
  <si>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</si>
  <si>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</si>
  <si>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</si>
  <si>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</si>
  <si>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</si>
  <si>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</si>
  <si>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</si>
  <si>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</si>
  <si>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</si>
  <si>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</si>
  <si>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</si>
  <si>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</si>
  <si>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</si>
  <si>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</si>
  <si>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</si>
  <si>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</si>
  <si>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</si>
  <si>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</si>
  <si>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</si>
  <si>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</si>
  <si>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</si>
  <si>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</si>
  <si>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</si>
  <si>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</si>
  <si>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</si>
  <si>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</si>
  <si>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</si>
  <si>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</si>
  <si>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</si>
  <si>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</si>
  <si>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</si>
  <si>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</si>
  <si>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</si>
  <si>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</si>
  <si>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</si>
  <si>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</si>
  <si>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</si>
  <si>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</si>
  <si>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</si>
  <si>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</si>
  <si>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</si>
  <si>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</si>
  <si>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</si>
  <si>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</si>
  <si>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</si>
  <si>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</si>
  <si>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</si>
  <si>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</si>
  <si>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</si>
  <si>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</si>
  <si>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</si>
  <si>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</si>
  <si>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</si>
  <si>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</si>
  <si>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</si>
  <si>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</si>
  <si>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</si>
  <si>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</si>
  <si>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</si>
  <si>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</si>
  <si>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</si>
  <si>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</si>
  <si>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</si>
  <si>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</si>
  <si>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</si>
  <si>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</si>
  <si>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</si>
  <si>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</si>
  <si>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</si>
  <si>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</si>
  <si>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</si>
  <si>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</si>
  <si>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</si>
  <si>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</si>
  <si>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</si>
  <si>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</si>
  <si>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</si>
  <si>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</si>
  <si>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</si>
  <si>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</si>
  <si>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</si>
  <si>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</si>
  <si>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</si>
  <si>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</si>
  <si>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</si>
  <si>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</si>
  <si>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</si>
  <si>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</si>
  <si>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</si>
  <si>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</si>
  <si>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</si>
  <si>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</si>
  <si>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</si>
  <si>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</si>
  <si>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</si>
  <si>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</si>
  <si>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</si>
  <si>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</si>
  <si>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</si>
  <si>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</si>
  <si>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</si>
  <si>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</si>
  <si>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</si>
  <si>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</si>
  <si>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</si>
  <si>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</si>
  <si>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</si>
  <si>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</si>
  <si>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</si>
  <si>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</si>
  <si>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</si>
  <si>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</si>
  <si>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</si>
  <si>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</si>
  <si>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</si>
  <si>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</si>
  <si>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</si>
  <si>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</si>
  <si>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</si>
  <si>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</si>
  <si>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</si>
  <si>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</si>
  <si>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</si>
  <si>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</si>
  <si>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</si>
  <si>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</si>
  <si>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</si>
  <si>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</si>
  <si>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</si>
  <si>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</si>
  <si>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</si>
  <si>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</si>
  <si>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</si>
  <si>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</si>
  <si>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</si>
  <si>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</si>
  <si>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</si>
  <si>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</si>
  <si>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</si>
  <si>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</si>
  <si>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</si>
  <si>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</si>
  <si>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</si>
  <si>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</si>
  <si>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</si>
  <si>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</si>
  <si>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</si>
  <si>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</si>
  <si>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</si>
  <si>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</si>
  <si>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</si>
  <si>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</si>
  <si>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</si>
  <si>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</si>
  <si>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</si>
  <si>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</si>
  <si>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</si>
  <si>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</si>
  <si>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</si>
  <si>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</si>
  <si>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</si>
  <si>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</si>
  <si>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</si>
  <si>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</si>
  <si>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</si>
  <si>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</si>
  <si>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</si>
  <si>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</si>
  <si>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</si>
  <si>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</si>
  <si>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</si>
  <si>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</si>
  <si>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</si>
  <si>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</si>
  <si>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</si>
  <si>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</si>
  <si>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</si>
  <si>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</si>
  <si>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</si>
  <si>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</si>
  <si>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</si>
  <si>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</si>
  <si>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</si>
  <si>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</si>
  <si>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</si>
  <si>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</si>
  <si>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</si>
  <si>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</si>
  <si>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</si>
  <si>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</si>
  <si>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</si>
  <si>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</si>
  <si>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</si>
  <si>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</si>
  <si>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</si>
  <si>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</si>
  <si>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</si>
  <si>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</si>
  <si>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</si>
  <si>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</si>
  <si>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</si>
  <si>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</si>
  <si>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</si>
  <si>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</si>
  <si>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</si>
  <si>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</si>
  <si>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</si>
  <si>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</si>
  <si>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</si>
  <si>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</si>
  <si>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</si>
  <si>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</si>
  <si>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</si>
  <si>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</si>
  <si>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</si>
  <si>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</si>
  <si>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</si>
  <si>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</si>
  <si>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</si>
  <si>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</si>
  <si>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</si>
  <si>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</si>
  <si>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</si>
  <si>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</si>
  <si>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</si>
  <si>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</si>
  <si>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</si>
  <si>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</si>
  <si>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</si>
  <si>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</si>
  <si>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</si>
  <si>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</si>
  <si>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</si>
  <si>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</si>
  <si>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</si>
  <si>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</si>
  <si>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</si>
  <si>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</si>
  <si>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</si>
  <si>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</si>
  <si>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</si>
  <si>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</si>
  <si>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</si>
  <si>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</si>
  <si>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</si>
  <si>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</si>
  <si>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</si>
  <si>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</si>
  <si>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</si>
  <si>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</si>
  <si>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</si>
  <si>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</si>
  <si>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</si>
  <si>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</si>
  <si>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</si>
  <si>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</si>
  <si>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</si>
  <si>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</si>
  <si>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</si>
  <si>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</si>
  <si>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</si>
  <si>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</si>
  <si>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</si>
  <si>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</si>
  <si>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</si>
  <si>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</si>
  <si>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</si>
  <si>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</si>
  <si>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</si>
  <si>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</si>
  <si>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</si>
  <si>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</si>
  <si>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</si>
  <si>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</si>
  <si>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</si>
  <si>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</si>
  <si>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</si>
  <si>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</si>
  <si>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</si>
  <si>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</si>
  <si>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</si>
  <si>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</si>
  <si>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</si>
  <si>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</si>
  <si>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</si>
  <si>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</si>
  <si>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</si>
  <si>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</si>
  <si>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</si>
  <si>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</si>
  <si>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</si>
  <si>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</si>
  <si>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</si>
  <si>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</si>
  <si>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</si>
  <si>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</si>
  <si>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</si>
  <si>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</si>
  <si>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</si>
  <si>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</si>
  <si>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</si>
  <si>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</si>
  <si>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</si>
  <si>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</si>
  <si>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</si>
  <si>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</si>
  <si>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</si>
  <si>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</si>
  <si>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</si>
  <si>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</si>
  <si>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</si>
  <si>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</si>
  <si>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</si>
  <si>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</si>
  <si>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</si>
  <si>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</si>
  <si>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</si>
  <si>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</si>
  <si>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</si>
  <si>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</si>
  <si>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</si>
  <si>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</si>
  <si>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</si>
  <si>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</si>
  <si>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</si>
  <si>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</si>
  <si>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</si>
  <si>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</si>
  <si>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</si>
  <si>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</si>
  <si>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</si>
  <si>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</si>
  <si>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</si>
  <si>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</si>
  <si>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</si>
  <si>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</si>
  <si>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</si>
  <si>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</si>
  <si>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</si>
  <si>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</si>
  <si>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</si>
  <si>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</si>
  <si>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</si>
  <si>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</si>
  <si>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</si>
  <si>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</si>
  <si>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</si>
  <si>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</si>
  <si>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</si>
  <si>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</si>
  <si>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</si>
  <si>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</si>
  <si>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</si>
  <si>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</si>
  <si>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</si>
  <si>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</si>
  <si>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</si>
  <si>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</si>
  <si>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</si>
  <si>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</si>
  <si>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</si>
  <si>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</si>
  <si>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</si>
  <si>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</si>
  <si>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</si>
  <si>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</si>
  <si>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</si>
  <si>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</si>
  <si>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</si>
  <si>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</si>
  <si>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</si>
  <si>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</si>
  <si>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</si>
  <si>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</si>
  <si>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</si>
  <si>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</si>
  <si>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</si>
  <si>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</si>
  <si>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</si>
  <si>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</si>
  <si>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</si>
  <si>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</si>
  <si>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</si>
  <si>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</si>
  <si>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</si>
  <si>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</si>
  <si>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</si>
  <si>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</si>
  <si>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</si>
  <si>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</si>
  <si>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</si>
  <si>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</si>
  <si>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</si>
  <si>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</si>
  <si>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</si>
  <si>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</si>
  <si>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</si>
  <si>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</si>
  <si>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</si>
  <si>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</si>
  <si>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</si>
  <si>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</si>
  <si>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</si>
  <si>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</si>
  <si>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</si>
  <si>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</si>
  <si>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</si>
  <si>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</si>
  <si>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</si>
  <si>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</si>
  <si>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</si>
  <si>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</si>
  <si>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</si>
  <si>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</si>
  <si>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</si>
  <si>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</si>
  <si>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</si>
  <si>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</si>
  <si>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</si>
  <si>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</si>
  <si>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</si>
  <si>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</si>
  <si>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</si>
  <si>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</si>
  <si>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</si>
  <si>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</si>
  <si>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</si>
  <si>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</si>
  <si>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</si>
  <si>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</si>
  <si>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</si>
  <si>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</si>
  <si>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</si>
  <si>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</si>
  <si>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</si>
  <si>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</si>
  <si>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</si>
  <si>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</si>
  <si>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</si>
  <si>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</si>
  <si>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</si>
  <si>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</si>
  <si>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</si>
  <si>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</si>
  <si>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</si>
  <si>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</si>
  <si>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</si>
  <si>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</si>
  <si>
    <t>PEMBAYARAN ENA LMV T:0374519:CMS</t>
  </si>
  <si>
    <t>1,371,500.00</t>
  </si>
  <si>
    <t>PEMBAYARAN FERI SFR T:0374519:CMS</t>
  </si>
  <si>
    <t>2,550,000.00</t>
  </si>
  <si>
    <t>PEMBAYARAN UJANG SLIP KARET T:0374513:CMS</t>
  </si>
  <si>
    <t>600,000.00</t>
  </si>
  <si>
    <t>PEMBAYARAN GANI LGI T:0374511:CMS</t>
  </si>
  <si>
    <t>935,400.00</t>
  </si>
  <si>
    <t>PEMBAYARAN ABUYA LBY T:0374512:CMS</t>
  </si>
  <si>
    <t>1,274,400.00</t>
  </si>
  <si>
    <t>PEMBAYARAN OPANG LOP T:0374515:CMS</t>
  </si>
  <si>
    <t>1,192,150.00</t>
  </si>
  <si>
    <t>PEMBAYARAN ASEP PERMANA LDO T:0374513:CMS</t>
  </si>
  <si>
    <t>1,101,600.00</t>
  </si>
  <si>
    <t>PEMBAYARAN ERVIN SVN/LOZ T:0374520:CMS</t>
  </si>
  <si>
    <t>7,936,750.00</t>
  </si>
  <si>
    <t>PEMBAYARAN ERWIN LTF T:0374518:CMS</t>
  </si>
  <si>
    <t>902,300.00</t>
  </si>
  <si>
    <t>PEMBAYARAN MAMAN LMN T:0374511:CMS</t>
  </si>
  <si>
    <t>1,176,000.00</t>
  </si>
  <si>
    <t>PEMBAYARAN ADIN SHJ T:0374512:CMS</t>
  </si>
  <si>
    <t>19,680,900.00</t>
  </si>
  <si>
    <t>PEMBAYARAN DEDI SDD T:0374515:CMS</t>
  </si>
  <si>
    <t>1,507,000.00</t>
  </si>
  <si>
    <t>PEMBAYARAN HARUN SRU T:0374516:CMS</t>
  </si>
  <si>
    <t>3,023,750.00</t>
  </si>
  <si>
    <t>PEMBAYARAN TATI SRI T:0374518:CMS</t>
  </si>
  <si>
    <t>6,022,800.00</t>
  </si>
  <si>
    <t>PEMBAYARAN ROLLIS LRA T:0374513:CMS</t>
  </si>
  <si>
    <t>978,600.00</t>
  </si>
  <si>
    <t>PEMBAYARAN IRSAN LIR T:0374514:CMS</t>
  </si>
  <si>
    <t>1,506,300.00</t>
  </si>
  <si>
    <t>PEMBAYARAN MUKHTIAR LTC T:0374517:CMS</t>
  </si>
  <si>
    <t>662,400.00</t>
  </si>
  <si>
    <t>PEMBAYARAN MUHSIN SMH T:0374520:CMS</t>
  </si>
  <si>
    <t>2,316,600.00</t>
  </si>
  <si>
    <t>PEMBAYARAN PEPI SPP T:0374512:CMS</t>
  </si>
  <si>
    <t>1,198,800.00</t>
  </si>
  <si>
    <t>PEMBAYARAN USEP SSP T:0374517:CMS</t>
  </si>
  <si>
    <t>2,710,750.00</t>
  </si>
  <si>
    <t>PEMBAYARAN RATNA SRT T:0374514:CMS</t>
  </si>
  <si>
    <t>903,000.00</t>
  </si>
  <si>
    <t>PEMBAYARAN ASEP MAJID LAM T:0374516:CMS</t>
  </si>
  <si>
    <t>458,100.00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</si>
  <si>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</si>
  <si>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</si>
  <si>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</si>
  <si>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</si>
  <si>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</si>
  <si>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</si>
  <si>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</si>
  <si>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</si>
  <si>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1,858,500.00</t>
  </si>
  <si>
    <t>ASEP SNA 123</t>
  </si>
  <si>
    <t>MCM InhouseTrf KE ASEP SAEPULOH</t>
  </si>
  <si>
    <t>2,831,400.00</t>
  </si>
  <si>
    <t>ENOK LDI 123</t>
  </si>
  <si>
    <t>MCM InhouseTrf KE ENOK SAODAH</t>
  </si>
  <si>
    <t>708,000.00</t>
  </si>
  <si>
    <t>OZAN LZA 123</t>
  </si>
  <si>
    <t>MCM InhouseTrf KE ACHMAD ABDUL ROJAK</t>
  </si>
  <si>
    <t>2,339,400.00</t>
  </si>
  <si>
    <t>TANGGAL</t>
  </si>
  <si>
    <t>CATATAN</t>
  </si>
  <si>
    <t>KODE</t>
  </si>
  <si>
    <t>SMH 527</t>
  </si>
  <si>
    <t>IRSAN LIR</t>
  </si>
  <si>
    <t>SDD 375</t>
  </si>
  <si>
    <t>LSI 902</t>
  </si>
  <si>
    <t>LTC 264</t>
  </si>
  <si>
    <t>USEP - SSP</t>
  </si>
  <si>
    <t>SSP 878</t>
  </si>
  <si>
    <t>C000302</t>
  </si>
  <si>
    <t>UJANG - SLIP KARET</t>
  </si>
  <si>
    <t>SLIP KARET</t>
  </si>
  <si>
    <t>GANI - LGI</t>
  </si>
  <si>
    <t>LGI 621</t>
  </si>
  <si>
    <t>SFR 605</t>
  </si>
  <si>
    <t>ERWIN - LTF</t>
  </si>
  <si>
    <t>LTF 309</t>
  </si>
  <si>
    <t>LTB 570</t>
  </si>
  <si>
    <t>SRU 289</t>
  </si>
  <si>
    <t>SPP 639</t>
  </si>
  <si>
    <t>LMV 436</t>
  </si>
  <si>
    <t>ASEP SAEPULOH - SNA</t>
  </si>
  <si>
    <t>LNS 278</t>
  </si>
  <si>
    <t>PEMBAYARAN FAISAL SFS T:0374519:CMS</t>
  </si>
  <si>
    <t>1,916,550.00</t>
  </si>
  <si>
    <t>PEMBAYARAN JAJANG JAYANI AKSESORIS T:0374519:CMS</t>
  </si>
  <si>
    <t>7,400,000.00</t>
  </si>
  <si>
    <t>PEMBAYARAN ASEP MAJID LAM T:0374517:CMS</t>
  </si>
  <si>
    <t>1,698,400.00</t>
  </si>
  <si>
    <t>PEMBAYARAN GUNAWAN LGN T:0374512:CMS</t>
  </si>
  <si>
    <t>1,718,400.00</t>
  </si>
  <si>
    <t>PEMBAYARAN UDAN LCC T:0374513:CMS</t>
  </si>
  <si>
    <t>949,450.00</t>
  </si>
  <si>
    <t>PEMBAYARAN ASEP RODI SRO T:0374514:CMS</t>
  </si>
  <si>
    <t>2,497,100.00</t>
  </si>
  <si>
    <t>PEMBAYARAN DAYUT SMD T:0374511:CMS</t>
  </si>
  <si>
    <t>987,600.00</t>
  </si>
  <si>
    <t>PEMBAYARAN SONI SDK T:0374516:CMS</t>
  </si>
  <si>
    <t>2,781,000.00</t>
  </si>
  <si>
    <t>PEMBAYARAN AMAR SUM/LEV T:0374511:CMS</t>
  </si>
  <si>
    <t>4,679,850.00</t>
  </si>
  <si>
    <t>PEMBAYARAN SANILAH LFZ T:0374515:CMS</t>
  </si>
  <si>
    <t>887,400.00</t>
  </si>
  <si>
    <t>PEMBAYARAN RANDI LBU T:0374512:CMS</t>
  </si>
  <si>
    <t>2,232,200.00</t>
  </si>
  <si>
    <t>PEMBAYARAN ERVIN SVN/LOZ T:0374518:CMS</t>
  </si>
  <si>
    <t>7,859,000.00</t>
  </si>
  <si>
    <t>PEMBAYARAN HARUN SRU T:0374520:CMS</t>
  </si>
  <si>
    <t>2,304,000.00</t>
  </si>
  <si>
    <t>PEMBAYARAN JEJEN LJJ T:0374513:CMS</t>
  </si>
  <si>
    <t>2,367,100.00</t>
  </si>
  <si>
    <t>PEMBAYARAN HASAN LSM T:0374514:CMS</t>
  </si>
  <si>
    <t>1,571,400.00</t>
  </si>
  <si>
    <t>PEMBAYARAN ASEP PERMANA LDO T:0374520:CMS</t>
  </si>
  <si>
    <t>959,650.00</t>
  </si>
  <si>
    <t>IRMA SWI 123</t>
  </si>
  <si>
    <t>MCM InhouseTrf KE IRMAWATI</t>
  </si>
  <si>
    <t>4,494,350.00</t>
  </si>
  <si>
    <t>ISEP SPU 123</t>
  </si>
  <si>
    <t>MCM InhouseTrf KE ADE ROSMAWATI</t>
  </si>
  <si>
    <t>2,290,000.00</t>
  </si>
  <si>
    <t>SRB 988</t>
  </si>
  <si>
    <t>SDK 258</t>
  </si>
  <si>
    <t>IRMAWATI - SWI</t>
  </si>
  <si>
    <t>SWI 804</t>
  </si>
  <si>
    <t>C1000303</t>
  </si>
  <si>
    <t>JAJANG JAYANI</t>
  </si>
  <si>
    <t>SANILAH - LFZ</t>
  </si>
  <si>
    <t>LFZ 742</t>
  </si>
  <si>
    <t>SRU 164</t>
  </si>
  <si>
    <t>LJJ 589</t>
  </si>
  <si>
    <t>LDO 385</t>
  </si>
  <si>
    <t>RENDI - LBU</t>
  </si>
  <si>
    <t>LBU 712</t>
  </si>
  <si>
    <t>PEMBAYARAN ASEP LDO</t>
  </si>
  <si>
    <t>845,600.00</t>
  </si>
  <si>
    <t>PEMBAYARAN TATI SRI</t>
  </si>
  <si>
    <t>3,780,350.00</t>
  </si>
  <si>
    <t>PEMBAYARAN HERMAWAN ACC</t>
  </si>
  <si>
    <t>700,000.00</t>
  </si>
  <si>
    <t>PEMBAYARAN EDIH LEF</t>
  </si>
  <si>
    <t>1,703,800.00</t>
  </si>
  <si>
    <t>PEMBAYARAN SONIANSYAH SDK</t>
  </si>
  <si>
    <t>1,069,900.00</t>
  </si>
  <si>
    <t>PEMBAYARAN HASAN LSM</t>
  </si>
  <si>
    <t>2,041,300.00</t>
  </si>
  <si>
    <t>PEMBAYARAN SOPI LDG</t>
  </si>
  <si>
    <t>2,005,500.00</t>
  </si>
  <si>
    <t>PEMBAYARAN YAYAT LYY</t>
  </si>
  <si>
    <t>714,450.00</t>
  </si>
  <si>
    <t>PEMBAYARAN HARUN SRU</t>
  </si>
  <si>
    <t>1,620,000.00</t>
  </si>
  <si>
    <t>ERI LPI 123</t>
  </si>
  <si>
    <t>MCM InhouseTrf KE NENDEN SOPIAH</t>
  </si>
  <si>
    <t>673,400.00</t>
  </si>
  <si>
    <t>AISYAH LLE 123</t>
  </si>
  <si>
    <t>MCM InhouseTrf KE KUSMAWAN</t>
  </si>
  <si>
    <t>745,350.00</t>
  </si>
  <si>
    <t>1,968,000.00</t>
  </si>
  <si>
    <t>ASEP LSU 123</t>
  </si>
  <si>
    <t>MCM InhouseTrf KE AHMAD SAEPULOH</t>
  </si>
  <si>
    <t>925,800.00</t>
  </si>
  <si>
    <t>AISYAH - LLE</t>
  </si>
  <si>
    <t>LLE 238</t>
  </si>
  <si>
    <t>SONIYANSAH - SDK</t>
  </si>
  <si>
    <t>SRU 520</t>
  </si>
  <si>
    <t>LSM 045</t>
  </si>
  <si>
    <t>LEF 470</t>
  </si>
  <si>
    <t>LEF 855</t>
  </si>
  <si>
    <t>C000304</t>
  </si>
  <si>
    <t xml:space="preserve">HERMAWAN </t>
  </si>
  <si>
    <t>HANGTAG KULIT BCL</t>
  </si>
  <si>
    <t>LKV 745</t>
  </si>
  <si>
    <t>LSU 747</t>
  </si>
  <si>
    <t>LDO 356</t>
  </si>
  <si>
    <t>PEMBAYARAN ENAN LCU</t>
  </si>
  <si>
    <t>1,411,050.00</t>
  </si>
  <si>
    <t>0.00</t>
  </si>
  <si>
    <t>PEMBAYARAN AYI LTE</t>
  </si>
  <si>
    <t>13,017,400.00</t>
  </si>
  <si>
    <t>PEMBAYARAN ASEP PERMANA LDO</t>
  </si>
  <si>
    <t>2,232,300.00</t>
  </si>
  <si>
    <t>PEMBAYARAN FERI LJA</t>
  </si>
  <si>
    <t>457,600.00</t>
  </si>
  <si>
    <t>PEMBAYARAN NANDANG LAD</t>
  </si>
  <si>
    <t>1,123,700.00</t>
  </si>
  <si>
    <t>1,322,600.00</t>
  </si>
  <si>
    <t>PEMBAYARAN ADIN SHJ</t>
  </si>
  <si>
    <t>22,596,900.00</t>
  </si>
  <si>
    <t>PEMBAYARAN RUDI HERMAWAN LAY</t>
  </si>
  <si>
    <t>5,186,650.00</t>
  </si>
  <si>
    <t>PEMBAYARAN LILI LOD</t>
  </si>
  <si>
    <t>1,506,550.00</t>
  </si>
  <si>
    <t>PEMBAYARAN HERMAN LFS</t>
  </si>
  <si>
    <t>1,244,200.00</t>
  </si>
  <si>
    <t>PEMBAYARAN AMAR SUM/LEV</t>
  </si>
  <si>
    <t>7,733,950.00</t>
  </si>
  <si>
    <t>5,011,950.00</t>
  </si>
  <si>
    <t>PEMBAYARAN UDAN LCC</t>
  </si>
  <si>
    <t>1,137,300.00</t>
  </si>
  <si>
    <t>PEMBAYARAN RANDI LBU</t>
  </si>
  <si>
    <t>2,077,050.00</t>
  </si>
  <si>
    <t>PEMBAYARAN ASEP RODI SRO</t>
  </si>
  <si>
    <t>1,571,350.00</t>
  </si>
  <si>
    <t>BUDI SPT 123</t>
  </si>
  <si>
    <t>MCM InhouseTrf KE BUDI BUDIMAN</t>
  </si>
  <si>
    <t>736,200.00</t>
  </si>
  <si>
    <t>EDI LRE 123</t>
  </si>
  <si>
    <t>MCM InhouseTrf KE EDI RIYADI</t>
  </si>
  <si>
    <t>562,600.00</t>
  </si>
  <si>
    <t>1,928,600.00</t>
  </si>
  <si>
    <t>ASEP LEP 123</t>
  </si>
  <si>
    <t>MCM InhouseTrf KE RENO FUJI ANSORI</t>
  </si>
  <si>
    <t>1,033,700.00</t>
  </si>
  <si>
    <t>LASMI LMS 123</t>
  </si>
  <si>
    <t>MCM InhouseTrf KE SULASMI</t>
  </si>
  <si>
    <t>718,200.00</t>
  </si>
  <si>
    <t>DANI LJT 123</t>
  </si>
  <si>
    <t>MCM InhouseTrf KE AKHMAD YANI</t>
  </si>
  <si>
    <t>1,497,000.00</t>
  </si>
  <si>
    <t>DENI LCK 123</t>
  </si>
  <si>
    <t>MCM InhouseTrf KE DENI RAHMAT</t>
  </si>
  <si>
    <t>1,017,600.00</t>
  </si>
  <si>
    <t>AHMAD YANI LSO 123</t>
  </si>
  <si>
    <t>1,610,400.00</t>
  </si>
  <si>
    <t>EDI RIYADI - LRE</t>
  </si>
  <si>
    <t>LRE 797</t>
  </si>
  <si>
    <t>LMI 713</t>
  </si>
  <si>
    <t>LMI 951</t>
  </si>
  <si>
    <t>LDO 416</t>
  </si>
  <si>
    <t>SND 886</t>
  </si>
  <si>
    <t>SHJ 528</t>
  </si>
  <si>
    <t>SPN 135</t>
  </si>
  <si>
    <t>SPN 179</t>
  </si>
  <si>
    <t>SPN 501</t>
  </si>
  <si>
    <t>SRS 893</t>
  </si>
  <si>
    <t>SRS 924</t>
  </si>
  <si>
    <t>SRS 945</t>
  </si>
  <si>
    <t>DENNY - LCK</t>
  </si>
  <si>
    <t>LCK 426</t>
  </si>
  <si>
    <t>SPT 242</t>
  </si>
  <si>
    <t>SUM 236</t>
  </si>
  <si>
    <t>DANI - LJT</t>
  </si>
  <si>
    <t>LJT 362</t>
  </si>
  <si>
    <t>LAD 255</t>
  </si>
  <si>
    <t>LASMI - LMS</t>
  </si>
  <si>
    <t>LMS 550</t>
  </si>
  <si>
    <t>LBU 865</t>
  </si>
  <si>
    <t>HERMAN - LEFS</t>
  </si>
  <si>
    <t>LGG 272</t>
  </si>
  <si>
    <t>LGG 352</t>
  </si>
  <si>
    <t>LGG 233</t>
  </si>
  <si>
    <t>2,908,800.00</t>
  </si>
  <si>
    <t>PEMBAYARAN DIDIN SZK</t>
  </si>
  <si>
    <t>4,593,900.00</t>
  </si>
  <si>
    <t>PEMBAYARAN ASEP KUSTIWA LEP</t>
  </si>
  <si>
    <t>711,700.00</t>
  </si>
  <si>
    <t>7,995,000.00</t>
  </si>
  <si>
    <t>PEMBAYARAN DAYUT SMD</t>
  </si>
  <si>
    <t>2,415,600.00</t>
  </si>
  <si>
    <t>PEMBAYARAN HENI LME</t>
  </si>
  <si>
    <t>837,800.00</t>
  </si>
  <si>
    <t>PEMBAYARAN MAMAN SMM</t>
  </si>
  <si>
    <t>10,269,300.00</t>
  </si>
  <si>
    <t>PEMBAYARAN ECEP LCS</t>
  </si>
  <si>
    <t>1,354,800.00</t>
  </si>
  <si>
    <t>PEMBAYARAN DADAN LDL</t>
  </si>
  <si>
    <t>1,824,750.00</t>
  </si>
  <si>
    <t>PEMBAYARAN BAMBANG UDAYA LLM</t>
  </si>
  <si>
    <t>761,400.00</t>
  </si>
  <si>
    <t>PEMBAYARAN KASIL SKL</t>
  </si>
  <si>
    <t>9,161,700.00</t>
  </si>
  <si>
    <t>PEMBAYARAN ANANG LOL</t>
  </si>
  <si>
    <t>954,000.00</t>
  </si>
  <si>
    <t>PEMBAYARAN IMAN LMG</t>
  </si>
  <si>
    <t>2,307,950.00</t>
  </si>
  <si>
    <t>PEMBAYARAN ERVIN SVN/LOZ</t>
  </si>
  <si>
    <t>3,381,150.00</t>
  </si>
  <si>
    <t>PEMBAYARAN HADI LEW</t>
  </si>
  <si>
    <t>2,593,800.00</t>
  </si>
  <si>
    <t>PEMBAYARAN ANGGI LAT</t>
  </si>
  <si>
    <t>1,108,800.00</t>
  </si>
  <si>
    <t>PEMBAYARAN RIKI LRK</t>
  </si>
  <si>
    <t>PEMBAYARANA ASEP RODI SRO</t>
  </si>
  <si>
    <t>2,748,600.00</t>
  </si>
  <si>
    <t>1,830,000.00</t>
  </si>
  <si>
    <t>GUGUM SGU 123</t>
  </si>
  <si>
    <t>MCM InhouseTrf KE VERA MERIATI BUKIT</t>
  </si>
  <si>
    <t>1,736,400.00</t>
  </si>
  <si>
    <t>IIS SII 123</t>
  </si>
  <si>
    <t>MCM InhouseTrf KE IIS AISAH</t>
  </si>
  <si>
    <t>643,550.00</t>
  </si>
  <si>
    <t>SITI LSH 123</t>
  </si>
  <si>
    <t>MCM InhouseTrf KE SITI SOLIHAT</t>
  </si>
  <si>
    <t>1,170,450.00</t>
  </si>
  <si>
    <t>ERNI LRN 123</t>
  </si>
  <si>
    <t>MCM InhouseTrf KE ERNI KURNIA</t>
  </si>
  <si>
    <t>558,500.00</t>
  </si>
  <si>
    <t>C000305</t>
  </si>
  <si>
    <t>DUS DOMPET INF</t>
  </si>
  <si>
    <t>DUS DOMPET BCL</t>
  </si>
  <si>
    <t xml:space="preserve">DIDIN - SZK </t>
  </si>
  <si>
    <t>SZK 343</t>
  </si>
  <si>
    <t>SZK 708</t>
  </si>
  <si>
    <t>DADAN - LDL</t>
  </si>
  <si>
    <t>RIKI - LRK</t>
  </si>
  <si>
    <t>LRK 528</t>
  </si>
  <si>
    <t>ANANG - LOL</t>
  </si>
  <si>
    <t>LOL 486</t>
  </si>
  <si>
    <t>SGU 283</t>
  </si>
  <si>
    <t>ECEP - LCS</t>
  </si>
  <si>
    <t>LCS 275</t>
  </si>
  <si>
    <t>LME 795</t>
  </si>
  <si>
    <t>HADI - LEW</t>
  </si>
  <si>
    <t>LEW 614</t>
  </si>
  <si>
    <t>IIS AISAH - LEO</t>
  </si>
  <si>
    <t>SII 655</t>
  </si>
  <si>
    <t>LJB 381</t>
  </si>
  <si>
    <t>SMM 351</t>
  </si>
  <si>
    <t>SMM 826</t>
  </si>
  <si>
    <t>SITI SOLIHAT - LSH</t>
  </si>
  <si>
    <t>LSH 781</t>
  </si>
  <si>
    <t>3,795,000.00</t>
  </si>
  <si>
    <t>PEMBAYARAN DADANG LDA</t>
  </si>
  <si>
    <t>1,807,650.00</t>
  </si>
  <si>
    <t>PEMBAYARAN WIWIN SDL</t>
  </si>
  <si>
    <t>636,000.00</t>
  </si>
  <si>
    <t>CASHBON SUPPLIER ASEP LSP</t>
  </si>
  <si>
    <t>500,000.00</t>
  </si>
  <si>
    <t>1,670,250.00</t>
  </si>
  <si>
    <t>PEMBAYARAN IMAS LLT</t>
  </si>
  <si>
    <t>1,406,900.00</t>
  </si>
  <si>
    <t>5,173,800.00</t>
  </si>
  <si>
    <t>863,250.00</t>
  </si>
  <si>
    <t>PEMBAYARAN DIDIT LDT</t>
  </si>
  <si>
    <t>2,088,000.00</t>
  </si>
  <si>
    <t>PEMBAYARAN MAHFUDIN LMF</t>
  </si>
  <si>
    <t>1,221,800.00</t>
  </si>
  <si>
    <t>1,213,150.00</t>
  </si>
  <si>
    <t>PEMBAYARAN RONI LFW</t>
  </si>
  <si>
    <t>910,500.00</t>
  </si>
  <si>
    <t>PEMBAYARAN ANDI LND</t>
  </si>
  <si>
    <t>1,388,500.00</t>
  </si>
  <si>
    <t>PEMBAYARAN CEPI LDE</t>
  </si>
  <si>
    <t>628,000.00</t>
  </si>
  <si>
    <t>PEMBAYARAN SANDI LSI</t>
  </si>
  <si>
    <t>2,321,400.00</t>
  </si>
  <si>
    <t>DEDEN LTW 123</t>
  </si>
  <si>
    <t>MCM InhouseTrf KE BUNGA RIZKYANI</t>
  </si>
  <si>
    <t>670,200.00</t>
  </si>
  <si>
    <t>RENI LNC 123</t>
  </si>
  <si>
    <t>MCM InhouseTrf KE NENG RENI</t>
  </si>
  <si>
    <t>1,269,450.00</t>
  </si>
  <si>
    <t>ASEP RANGGA LAG 123</t>
  </si>
  <si>
    <t>MCM InhouseTrf KE ASEP KARMAWAN</t>
  </si>
  <si>
    <t>527,550.00</t>
  </si>
  <si>
    <t>LSI 806</t>
  </si>
  <si>
    <t>DIDIT - LDT</t>
  </si>
  <si>
    <t>LDT 216</t>
  </si>
  <si>
    <t>LMF 128</t>
  </si>
  <si>
    <t>DADANG - LDA</t>
  </si>
  <si>
    <t>LDA 790</t>
  </si>
  <si>
    <t>CEPI - LDE</t>
  </si>
  <si>
    <t>LDE 256</t>
  </si>
  <si>
    <t>LAG 165</t>
  </si>
  <si>
    <t>LAY 101</t>
  </si>
  <si>
    <t>LAY 204</t>
  </si>
  <si>
    <t>LAY 415</t>
  </si>
  <si>
    <t>LAY 573</t>
  </si>
  <si>
    <t>DEDEN NEW - LTW</t>
  </si>
  <si>
    <t>LTW 708</t>
  </si>
  <si>
    <t>SDL 239</t>
  </si>
  <si>
    <t>2,046,600.00</t>
  </si>
  <si>
    <t>PEMBAYARAN ERWIN LTF</t>
  </si>
  <si>
    <t>773,400.00</t>
  </si>
  <si>
    <t>5,864,300.00</t>
  </si>
  <si>
    <t>PEMBAYARAN JAJANG JAYANI AKSESORIS</t>
  </si>
  <si>
    <t>8,722,500.00</t>
  </si>
  <si>
    <t>772,200.00</t>
  </si>
  <si>
    <t>PEMBAYARAN SONY LJO</t>
  </si>
  <si>
    <t>2,341,850.00</t>
  </si>
  <si>
    <t>6,080,000.00</t>
  </si>
  <si>
    <t>7,054,800.00</t>
  </si>
  <si>
    <t>4,998,600.00</t>
  </si>
  <si>
    <t>PEMBAYARAN ASEP MAJID LAM</t>
  </si>
  <si>
    <t>640,500.00</t>
  </si>
  <si>
    <t>PEMBAYARAN ASEP HASAN LAX</t>
  </si>
  <si>
    <t>974,400.00</t>
  </si>
  <si>
    <t>PEMBAYARAN HJ IIS SNY</t>
  </si>
  <si>
    <t>2,225,450.00</t>
  </si>
  <si>
    <t>622,200.00</t>
  </si>
  <si>
    <t>787,000.00</t>
  </si>
  <si>
    <t>SZK 205</t>
  </si>
  <si>
    <t>SZK 229</t>
  </si>
  <si>
    <t>LAM 738</t>
  </si>
  <si>
    <t>C000306</t>
  </si>
  <si>
    <t>LCC 842</t>
  </si>
  <si>
    <t>LTE 377</t>
  </si>
  <si>
    <t>SONY - LJO</t>
  </si>
  <si>
    <t>LJO 503</t>
  </si>
  <si>
    <t>LYT 898</t>
  </si>
  <si>
    <t>PEMBAYARAN HERMAWAN ACC T:0374514:CMS</t>
  </si>
  <si>
    <t>1,500,000.00</t>
  </si>
  <si>
    <t>2,395,200.00</t>
  </si>
  <si>
    <t>PEMBAYARAN DEDI SDD T:0374520:CMS</t>
  </si>
  <si>
    <t>722,150.00</t>
  </si>
  <si>
    <t>PEMBAYARAN AMAR SUM/LEV T:0374519:CMS</t>
  </si>
  <si>
    <t>2,405,800.00</t>
  </si>
  <si>
    <t>PEMBAYARAN TATI SRI T:0374512:CMS</t>
  </si>
  <si>
    <t>2,916,500.00</t>
  </si>
  <si>
    <t>PEMBAYARAN INDRA SFL/LNF T:0374511:CMS</t>
  </si>
  <si>
    <t>1,811,000.00</t>
  </si>
  <si>
    <t>PEMBAYARAN MIRA SMR T:0374515:CMS</t>
  </si>
  <si>
    <t>808,000.00</t>
  </si>
  <si>
    <t>PEMBAYARAN TAUFIK STK T:0374516:CMS</t>
  </si>
  <si>
    <t>2,253,300.00</t>
  </si>
  <si>
    <t>PEMBAYARAN ASEP SUPRIATNA LST T:0374512:CMS</t>
  </si>
  <si>
    <t>4,716,800.00</t>
  </si>
  <si>
    <t>PEMBAYARAN MAMAN SMM T:0374520:CMS</t>
  </si>
  <si>
    <t>6,527,350.00</t>
  </si>
  <si>
    <t>PEMBAYARAN WAWAN ONAY LID T:0374519:CMS</t>
  </si>
  <si>
    <t>621,750.00</t>
  </si>
  <si>
    <t>PEMBAYARAN WAWAN ONAY LID T:0374513:CMS</t>
  </si>
  <si>
    <t>783,000.00</t>
  </si>
  <si>
    <t>PEMBAYARAN HARUN SRU T:0374517:CMS</t>
  </si>
  <si>
    <t>4,501,200.00</t>
  </si>
  <si>
    <t>7,136,400.00</t>
  </si>
  <si>
    <t>PEMBAYARAN NANDANG LAD T:0374518:CMS</t>
  </si>
  <si>
    <t>1,377,150.00</t>
  </si>
  <si>
    <t>Pindah kas Mandiri INF</t>
  </si>
  <si>
    <t>Transfer DARI ABDUL RAHMAN</t>
  </si>
  <si>
    <t>3,800,000.00</t>
  </si>
  <si>
    <t>8,669,982.00</t>
  </si>
  <si>
    <t>3,732,950.00</t>
  </si>
  <si>
    <t>4,937,032.00</t>
  </si>
  <si>
    <t>1,913,450.00</t>
  </si>
  <si>
    <t>3,023,582.00</t>
  </si>
  <si>
    <t>IIS AISYAH LEO 123</t>
  </si>
  <si>
    <t>1,417,800.00</t>
  </si>
  <si>
    <t>1,605,782.00</t>
  </si>
  <si>
    <t>ALI SLI 123</t>
  </si>
  <si>
    <t>MCM InhouseTrf KE ALI MUHAMMAD</t>
  </si>
  <si>
    <t>1,519,000.00</t>
  </si>
  <si>
    <t>86,782.00</t>
  </si>
  <si>
    <t>SVN 661</t>
  </si>
  <si>
    <t>C000307</t>
  </si>
  <si>
    <t>TISU BCL</t>
  </si>
  <si>
    <t>LLI 477</t>
  </si>
  <si>
    <t>LJB 919</t>
  </si>
  <si>
    <t>SUM 918</t>
  </si>
  <si>
    <t>SII 578</t>
  </si>
  <si>
    <t>LWG 400</t>
  </si>
  <si>
    <t>LCP 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</si>
</sst>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NumberFormat="1" applyFont="1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41" fontId="0" fillId="0" borderId="0" xfId="1" applyFont="1" applyAlignment="1">
      <alignment horizontal="right" vertical="center"/>
    </xf>
    <xf numFmtId="41" fontId="0" fillId="0" borderId="0" xfId="1" applyFont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1"/>
  <sheetViews>
    <sheetView workbookViewId="0">
      <pane ySplit="3" topLeftCell="A564" activePane="bottomLeft" state="frozen"/>
      <selection pane="bottomLeft" activeCell="C582" sqref="C582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52" t="s">
        <v>0</v>
      </c>
      <c r="B2" s="52" t="s">
        <v>5</v>
      </c>
      <c r="C2" s="54" t="s">
        <v>500</v>
      </c>
      <c r="D2" s="53" t="s">
        <v>4</v>
      </c>
      <c r="E2" s="52" t="s">
        <v>1</v>
      </c>
      <c r="F2" s="52" t="s">
        <v>2</v>
      </c>
      <c r="G2" s="52"/>
    </row>
    <row r="3" spans="1:7" x14ac:dyDescent="0.25">
      <c r="A3" s="52"/>
      <c r="B3" s="52"/>
      <c r="C3" s="54"/>
      <c r="D3" s="53"/>
      <c r="E3" s="52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45">
        <v>43160</v>
      </c>
      <c r="B8" s="46" t="s">
        <v>8</v>
      </c>
      <c r="D8" s="48">
        <v>4877100</v>
      </c>
      <c r="E8" s="47" t="s">
        <v>44</v>
      </c>
      <c r="F8" t="s">
        <v>10</v>
      </c>
      <c r="G8" s="3">
        <v>40</v>
      </c>
    </row>
    <row r="9" spans="1:7" x14ac:dyDescent="0.25">
      <c r="A9" s="45"/>
      <c r="B9" s="46"/>
      <c r="D9" s="48"/>
      <c r="E9" s="47"/>
      <c r="F9" t="s">
        <v>11</v>
      </c>
      <c r="G9" s="3">
        <v>1</v>
      </c>
    </row>
    <row r="10" spans="1:7" x14ac:dyDescent="0.25">
      <c r="A10" s="45"/>
      <c r="B10" s="46"/>
      <c r="D10" s="48"/>
      <c r="E10" s="47"/>
      <c r="F10" t="s">
        <v>12</v>
      </c>
      <c r="G10" s="3">
        <v>39</v>
      </c>
    </row>
    <row r="11" spans="1:7" x14ac:dyDescent="0.25">
      <c r="A11" s="45"/>
      <c r="B11" s="46"/>
      <c r="D11" s="48"/>
      <c r="E11" s="47"/>
      <c r="F11" t="s">
        <v>13</v>
      </c>
      <c r="G11" s="3">
        <v>1</v>
      </c>
    </row>
    <row r="12" spans="1:7" x14ac:dyDescent="0.25">
      <c r="A12" s="45"/>
      <c r="B12" s="46"/>
      <c r="D12" s="48"/>
      <c r="E12" s="47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45">
        <v>43160</v>
      </c>
      <c r="B14" s="46" t="s">
        <v>8</v>
      </c>
      <c r="D14" s="48">
        <v>1460800</v>
      </c>
      <c r="E14" s="47" t="s">
        <v>46</v>
      </c>
      <c r="F14" t="s">
        <v>16</v>
      </c>
      <c r="G14" s="3">
        <v>16</v>
      </c>
    </row>
    <row r="15" spans="1:7" x14ac:dyDescent="0.25">
      <c r="A15" s="45"/>
      <c r="B15" s="46"/>
      <c r="D15" s="48"/>
      <c r="E15" s="47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45">
        <v>43160</v>
      </c>
      <c r="B17" s="46" t="s">
        <v>8</v>
      </c>
      <c r="D17" s="48">
        <v>1176200</v>
      </c>
      <c r="E17" s="47" t="s">
        <v>48</v>
      </c>
      <c r="F17" t="s">
        <v>19</v>
      </c>
      <c r="G17" s="3">
        <v>14</v>
      </c>
    </row>
    <row r="18" spans="1:7" x14ac:dyDescent="0.25">
      <c r="A18" s="45"/>
      <c r="B18" s="46"/>
      <c r="D18" s="48"/>
      <c r="E18" s="47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45">
        <v>43160</v>
      </c>
      <c r="B20" s="46" t="s">
        <v>8</v>
      </c>
      <c r="D20" s="49">
        <v>22423550</v>
      </c>
      <c r="E20" s="47" t="s">
        <v>50</v>
      </c>
      <c r="F20" t="s">
        <v>22</v>
      </c>
      <c r="G20" s="3">
        <f>12+10</f>
        <v>22</v>
      </c>
    </row>
    <row r="21" spans="1:7" x14ac:dyDescent="0.25">
      <c r="A21" s="45"/>
      <c r="B21" s="46"/>
      <c r="D21" s="49"/>
      <c r="E21" s="47"/>
      <c r="F21" t="s">
        <v>23</v>
      </c>
      <c r="G21" s="3">
        <f>13</f>
        <v>13</v>
      </c>
    </row>
    <row r="22" spans="1:7" x14ac:dyDescent="0.25">
      <c r="A22" s="45"/>
      <c r="B22" s="46"/>
      <c r="D22" s="49"/>
      <c r="E22" s="47"/>
      <c r="F22" t="s">
        <v>24</v>
      </c>
      <c r="G22" s="3">
        <f>6+8+7</f>
        <v>21</v>
      </c>
    </row>
    <row r="23" spans="1:7" x14ac:dyDescent="0.25">
      <c r="A23" s="45"/>
      <c r="B23" s="46"/>
      <c r="D23" s="49"/>
      <c r="E23" s="47"/>
      <c r="F23" t="s">
        <v>25</v>
      </c>
      <c r="G23" s="3">
        <f>18+20</f>
        <v>38</v>
      </c>
    </row>
    <row r="24" spans="1:7" x14ac:dyDescent="0.25">
      <c r="A24" s="45"/>
      <c r="B24" s="46"/>
      <c r="D24" s="49"/>
      <c r="E24" s="47"/>
      <c r="F24" t="s">
        <v>26</v>
      </c>
      <c r="G24" s="3">
        <v>11</v>
      </c>
    </row>
    <row r="25" spans="1:7" x14ac:dyDescent="0.25">
      <c r="A25" s="45"/>
      <c r="B25" s="46"/>
      <c r="D25" s="49"/>
      <c r="E25" s="47"/>
      <c r="F25" t="s">
        <v>27</v>
      </c>
      <c r="G25" s="3">
        <v>12</v>
      </c>
    </row>
    <row r="26" spans="1:7" x14ac:dyDescent="0.25">
      <c r="A26" s="45"/>
      <c r="B26" s="46"/>
      <c r="D26" s="49"/>
      <c r="E26" s="47"/>
      <c r="F26" t="s">
        <v>28</v>
      </c>
      <c r="G26" s="3">
        <v>11</v>
      </c>
    </row>
    <row r="27" spans="1:7" x14ac:dyDescent="0.25">
      <c r="A27" s="45"/>
      <c r="B27" s="46"/>
      <c r="D27" s="49"/>
      <c r="E27" s="47"/>
      <c r="F27" t="s">
        <v>29</v>
      </c>
      <c r="G27" s="3">
        <f>12+12+12</f>
        <v>36</v>
      </c>
    </row>
    <row r="28" spans="1:7" x14ac:dyDescent="0.25">
      <c r="A28" s="45"/>
      <c r="B28" s="46"/>
      <c r="D28" s="49"/>
      <c r="E28" s="47"/>
      <c r="F28" t="s">
        <v>30</v>
      </c>
      <c r="G28" s="3">
        <f>12+12</f>
        <v>24</v>
      </c>
    </row>
    <row r="29" spans="1:7" x14ac:dyDescent="0.25">
      <c r="A29" s="45"/>
      <c r="B29" s="46"/>
      <c r="D29" s="49"/>
      <c r="E29" s="47"/>
      <c r="F29" t="s">
        <v>31</v>
      </c>
      <c r="G29" s="3">
        <f>25+22+24</f>
        <v>71</v>
      </c>
    </row>
    <row r="30" spans="1:7" x14ac:dyDescent="0.25">
      <c r="A30" s="45"/>
      <c r="B30" s="46"/>
      <c r="D30" s="49"/>
      <c r="E30" s="47"/>
      <c r="F30" t="s">
        <v>32</v>
      </c>
      <c r="G30" s="3">
        <v>1</v>
      </c>
    </row>
    <row r="31" spans="1:7" x14ac:dyDescent="0.25">
      <c r="A31" s="45"/>
      <c r="B31" s="46"/>
      <c r="D31" s="49"/>
      <c r="E31" s="47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45">
        <v>43161</v>
      </c>
      <c r="B37" s="46" t="s">
        <v>8</v>
      </c>
      <c r="D37" s="48">
        <v>2566800</v>
      </c>
      <c r="E37" s="47" t="s">
        <v>56</v>
      </c>
      <c r="F37" t="s">
        <v>39</v>
      </c>
      <c r="G37" s="3">
        <v>16</v>
      </c>
    </row>
    <row r="38" spans="1:7" x14ac:dyDescent="0.25">
      <c r="A38" s="45"/>
      <c r="B38" s="46"/>
      <c r="D38" s="48"/>
      <c r="E38" s="47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45">
        <v>43161</v>
      </c>
      <c r="B42" s="46" t="s">
        <v>8</v>
      </c>
      <c r="D42" s="49">
        <v>13216200</v>
      </c>
      <c r="E42" s="47" t="s">
        <v>63</v>
      </c>
      <c r="F42" t="s">
        <v>64</v>
      </c>
      <c r="G42" s="3">
        <v>10</v>
      </c>
    </row>
    <row r="43" spans="1:7" x14ac:dyDescent="0.25">
      <c r="A43" s="45"/>
      <c r="B43" s="46"/>
      <c r="D43" s="49"/>
      <c r="E43" s="47"/>
      <c r="F43" t="s">
        <v>65</v>
      </c>
      <c r="G43" s="3">
        <v>1250</v>
      </c>
    </row>
    <row r="44" spans="1:7" x14ac:dyDescent="0.25">
      <c r="A44" s="45"/>
      <c r="B44" s="46"/>
      <c r="D44" s="49"/>
      <c r="E44" s="47"/>
      <c r="F44" t="s">
        <v>66</v>
      </c>
      <c r="G44" s="3">
        <v>523</v>
      </c>
    </row>
    <row r="45" spans="1:7" x14ac:dyDescent="0.25">
      <c r="A45" s="45"/>
      <c r="B45" s="46"/>
      <c r="D45" s="49"/>
      <c r="E45" s="47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45">
        <v>43162</v>
      </c>
      <c r="B53" s="46" t="s">
        <v>8</v>
      </c>
      <c r="D53" s="48">
        <v>3728200</v>
      </c>
      <c r="E53" s="47" t="s">
        <v>46</v>
      </c>
      <c r="F53" t="s">
        <v>82</v>
      </c>
      <c r="G53" s="3">
        <f>2+7+7+3</f>
        <v>19</v>
      </c>
    </row>
    <row r="54" spans="1:7" x14ac:dyDescent="0.25">
      <c r="A54" s="45"/>
      <c r="B54" s="46"/>
      <c r="D54" s="48"/>
      <c r="E54" s="47"/>
      <c r="F54" t="s">
        <v>83</v>
      </c>
      <c r="G54" s="3">
        <f>12+3+7</f>
        <v>22</v>
      </c>
    </row>
    <row r="55" spans="1:7" x14ac:dyDescent="0.25">
      <c r="A55" s="45"/>
      <c r="B55" s="46"/>
      <c r="D55" s="48"/>
      <c r="E55" s="47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45">
        <v>43164</v>
      </c>
      <c r="B67" s="46" t="s">
        <v>8</v>
      </c>
      <c r="D67" s="48">
        <v>1547200</v>
      </c>
      <c r="E67" s="47" t="s">
        <v>109</v>
      </c>
      <c r="F67" t="s">
        <v>110</v>
      </c>
      <c r="G67" s="3">
        <f>3+5+3+5</f>
        <v>16</v>
      </c>
    </row>
    <row r="68" spans="1:7" x14ac:dyDescent="0.25">
      <c r="A68" s="45"/>
      <c r="B68" s="46"/>
      <c r="D68" s="48"/>
      <c r="E68" s="47"/>
      <c r="F68" t="s">
        <v>111</v>
      </c>
      <c r="G68" s="3">
        <f>2+2+2+2+3+2+3</f>
        <v>16</v>
      </c>
    </row>
    <row r="69" spans="1:7" x14ac:dyDescent="0.25">
      <c r="A69" s="45">
        <v>43164</v>
      </c>
      <c r="B69" s="46" t="s">
        <v>8</v>
      </c>
      <c r="D69" s="48">
        <v>12633600</v>
      </c>
      <c r="E69" s="47" t="s">
        <v>50</v>
      </c>
      <c r="F69" t="s">
        <v>112</v>
      </c>
      <c r="G69" s="3">
        <v>15</v>
      </c>
    </row>
    <row r="70" spans="1:7" x14ac:dyDescent="0.25">
      <c r="A70" s="45"/>
      <c r="B70" s="46"/>
      <c r="D70" s="48"/>
      <c r="E70" s="47"/>
      <c r="F70" t="s">
        <v>113</v>
      </c>
      <c r="G70" s="3">
        <f>61+53</f>
        <v>114</v>
      </c>
    </row>
    <row r="71" spans="1:7" x14ac:dyDescent="0.25">
      <c r="A71" s="45"/>
      <c r="B71" s="46"/>
      <c r="D71" s="48"/>
      <c r="E71" s="47"/>
      <c r="F71" t="s">
        <v>114</v>
      </c>
      <c r="G71" s="3">
        <v>12</v>
      </c>
    </row>
    <row r="72" spans="1:7" x14ac:dyDescent="0.25">
      <c r="A72" s="45">
        <v>43164</v>
      </c>
      <c r="B72" s="46" t="s">
        <v>8</v>
      </c>
      <c r="D72" s="48">
        <v>1577600</v>
      </c>
      <c r="E72" s="47" t="s">
        <v>85</v>
      </c>
      <c r="F72" t="s">
        <v>115</v>
      </c>
      <c r="G72" s="3">
        <f>5+5+10</f>
        <v>20</v>
      </c>
    </row>
    <row r="73" spans="1:7" x14ac:dyDescent="0.25">
      <c r="A73" s="45"/>
      <c r="B73" s="46"/>
      <c r="D73" s="48"/>
      <c r="E73" s="47"/>
      <c r="F73" t="s">
        <v>86</v>
      </c>
      <c r="G73" s="3">
        <v>8</v>
      </c>
    </row>
    <row r="74" spans="1:7" x14ac:dyDescent="0.25">
      <c r="A74" s="45">
        <v>43164</v>
      </c>
      <c r="B74" s="46" t="s">
        <v>8</v>
      </c>
      <c r="D74" s="48">
        <v>4977500</v>
      </c>
      <c r="E74" s="47" t="s">
        <v>116</v>
      </c>
      <c r="F74" t="s">
        <v>117</v>
      </c>
      <c r="G74" s="3">
        <v>22</v>
      </c>
    </row>
    <row r="75" spans="1:7" x14ac:dyDescent="0.25">
      <c r="A75" s="45"/>
      <c r="B75" s="46"/>
      <c r="D75" s="48"/>
      <c r="E75" s="47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45">
        <v>43164</v>
      </c>
      <c r="B78" s="46" t="s">
        <v>6</v>
      </c>
      <c r="D78" s="48">
        <v>2157300</v>
      </c>
      <c r="E78" s="47" t="s">
        <v>99</v>
      </c>
      <c r="F78" t="s">
        <v>100</v>
      </c>
      <c r="G78" s="3">
        <v>7</v>
      </c>
    </row>
    <row r="79" spans="1:7" x14ac:dyDescent="0.25">
      <c r="A79" s="45"/>
      <c r="B79" s="46"/>
      <c r="D79" s="48"/>
      <c r="E79" s="47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45">
        <v>43164</v>
      </c>
      <c r="B82" s="46" t="s">
        <v>8</v>
      </c>
      <c r="D82" s="48">
        <v>5647050</v>
      </c>
      <c r="E82" s="47" t="s">
        <v>127</v>
      </c>
      <c r="F82" t="s">
        <v>128</v>
      </c>
      <c r="G82" s="3">
        <f>6+5+5+6</f>
        <v>22</v>
      </c>
    </row>
    <row r="83" spans="1:7" x14ac:dyDescent="0.25">
      <c r="A83" s="45"/>
      <c r="B83" s="46"/>
      <c r="D83" s="48"/>
      <c r="E83" s="47"/>
      <c r="F83" t="s">
        <v>129</v>
      </c>
      <c r="G83" s="3">
        <f>5+5+5+5+5</f>
        <v>25</v>
      </c>
    </row>
    <row r="84" spans="1:7" x14ac:dyDescent="0.25">
      <c r="A84" s="45"/>
      <c r="B84" s="46"/>
      <c r="D84" s="48"/>
      <c r="E84" s="47"/>
      <c r="F84" t="s">
        <v>130</v>
      </c>
      <c r="G84" s="3">
        <f>5+5+2+9</f>
        <v>21</v>
      </c>
    </row>
    <row r="85" spans="1:7" x14ac:dyDescent="0.25">
      <c r="A85" s="45"/>
      <c r="B85" s="46"/>
      <c r="D85" s="48"/>
      <c r="E85" s="47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45">
        <v>43165</v>
      </c>
      <c r="B88" s="46" t="s">
        <v>8</v>
      </c>
      <c r="D88" s="49">
        <v>2096600</v>
      </c>
      <c r="E88" s="47" t="s">
        <v>136</v>
      </c>
      <c r="F88" t="s">
        <v>137</v>
      </c>
      <c r="G88" s="3">
        <v>11</v>
      </c>
    </row>
    <row r="89" spans="1:7" x14ac:dyDescent="0.25">
      <c r="A89" s="45"/>
      <c r="B89" s="46"/>
      <c r="D89" s="49"/>
      <c r="E89" s="47"/>
      <c r="F89" t="s">
        <v>138</v>
      </c>
      <c r="G89" s="3">
        <v>9</v>
      </c>
    </row>
    <row r="90" spans="1:7" x14ac:dyDescent="0.25">
      <c r="A90" s="45"/>
      <c r="B90" s="46"/>
      <c r="D90" s="49"/>
      <c r="E90" s="47"/>
      <c r="F90" t="s">
        <v>139</v>
      </c>
      <c r="G90" s="3">
        <v>12</v>
      </c>
    </row>
    <row r="91" spans="1:7" x14ac:dyDescent="0.25">
      <c r="A91" s="45">
        <v>43165</v>
      </c>
      <c r="B91" s="46" t="s">
        <v>8</v>
      </c>
      <c r="D91" s="48">
        <v>1394950</v>
      </c>
      <c r="E91" s="47" t="s">
        <v>49</v>
      </c>
      <c r="F91" t="s">
        <v>21</v>
      </c>
      <c r="G91" s="3">
        <f>2+2+5+5</f>
        <v>14</v>
      </c>
    </row>
    <row r="92" spans="1:7" x14ac:dyDescent="0.25">
      <c r="A92" s="45"/>
      <c r="B92" s="46"/>
      <c r="D92" s="48"/>
      <c r="E92" s="47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45">
        <v>43165</v>
      </c>
      <c r="B96" s="46" t="s">
        <v>8</v>
      </c>
      <c r="D96" s="48">
        <v>2696900</v>
      </c>
      <c r="E96" s="47" t="s">
        <v>91</v>
      </c>
      <c r="F96" t="s">
        <v>92</v>
      </c>
      <c r="G96" s="3">
        <v>2</v>
      </c>
    </row>
    <row r="97" spans="1:7" x14ac:dyDescent="0.25">
      <c r="A97" s="45"/>
      <c r="B97" s="46"/>
      <c r="D97" s="48"/>
      <c r="E97" s="47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45">
        <v>43166</v>
      </c>
      <c r="B102" s="46" t="s">
        <v>8</v>
      </c>
      <c r="D102" s="48">
        <v>556000</v>
      </c>
      <c r="E102" s="47" t="s">
        <v>153</v>
      </c>
      <c r="F102" t="s">
        <v>154</v>
      </c>
      <c r="G102" s="3">
        <v>200</v>
      </c>
    </row>
    <row r="103" spans="1:7" x14ac:dyDescent="0.25">
      <c r="A103" s="45"/>
      <c r="B103" s="46"/>
      <c r="D103" s="48"/>
      <c r="E103" s="47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45">
        <v>43166</v>
      </c>
      <c r="B105" s="46" t="s">
        <v>8</v>
      </c>
      <c r="D105" s="48">
        <v>1477800</v>
      </c>
      <c r="E105" s="47" t="s">
        <v>158</v>
      </c>
      <c r="F105" t="s">
        <v>159</v>
      </c>
      <c r="G105" s="3">
        <v>12</v>
      </c>
    </row>
    <row r="106" spans="1:7" x14ac:dyDescent="0.25">
      <c r="A106" s="45"/>
      <c r="B106" s="46"/>
      <c r="D106" s="48"/>
      <c r="E106" s="47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45">
        <v>43166</v>
      </c>
      <c r="B109" s="46" t="s">
        <v>8</v>
      </c>
      <c r="D109" s="48">
        <v>5418550</v>
      </c>
      <c r="E109" s="47" t="s">
        <v>107</v>
      </c>
      <c r="F109" t="s">
        <v>164</v>
      </c>
      <c r="G109" s="3">
        <v>14</v>
      </c>
    </row>
    <row r="110" spans="1:7" x14ac:dyDescent="0.25">
      <c r="A110" s="45"/>
      <c r="B110" s="46"/>
      <c r="D110" s="48"/>
      <c r="E110" s="47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45">
        <v>43167</v>
      </c>
      <c r="B118" s="46" t="s">
        <v>8</v>
      </c>
      <c r="D118" s="48">
        <v>1669300</v>
      </c>
      <c r="E118" s="47" t="s">
        <v>175</v>
      </c>
      <c r="F118" t="s">
        <v>176</v>
      </c>
      <c r="G118" s="3">
        <f>5+4+6+3</f>
        <v>18</v>
      </c>
    </row>
    <row r="119" spans="1:7" x14ac:dyDescent="0.25">
      <c r="A119" s="45"/>
      <c r="B119" s="46"/>
      <c r="D119" s="48"/>
      <c r="E119" s="47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45">
        <v>43167</v>
      </c>
      <c r="B128" s="46" t="s">
        <v>6</v>
      </c>
      <c r="D128" s="48">
        <v>2487600</v>
      </c>
      <c r="E128" s="47" t="s">
        <v>185</v>
      </c>
      <c r="F128" t="s">
        <v>186</v>
      </c>
      <c r="G128" s="3">
        <f>2+5+5</f>
        <v>12</v>
      </c>
    </row>
    <row r="129" spans="1:7" x14ac:dyDescent="0.25">
      <c r="A129" s="45"/>
      <c r="B129" s="46"/>
      <c r="D129" s="48"/>
      <c r="E129" s="47"/>
      <c r="F129" t="s">
        <v>187</v>
      </c>
      <c r="G129" s="3">
        <v>12</v>
      </c>
    </row>
    <row r="130" spans="1:7" x14ac:dyDescent="0.25">
      <c r="A130" s="45"/>
      <c r="B130" s="46"/>
      <c r="D130" s="48"/>
      <c r="E130" s="47"/>
      <c r="F130" t="s">
        <v>188</v>
      </c>
      <c r="G130" s="3">
        <f>2+5+5</f>
        <v>12</v>
      </c>
    </row>
    <row r="131" spans="1:7" x14ac:dyDescent="0.25">
      <c r="A131" s="45">
        <v>43167</v>
      </c>
      <c r="B131" s="46" t="s">
        <v>8</v>
      </c>
      <c r="D131" s="49">
        <v>1702900</v>
      </c>
      <c r="E131" s="47" t="s">
        <v>46</v>
      </c>
      <c r="F131" t="s">
        <v>189</v>
      </c>
      <c r="G131" s="3">
        <v>16</v>
      </c>
    </row>
    <row r="132" spans="1:7" x14ac:dyDescent="0.25">
      <c r="A132" s="45"/>
      <c r="B132" s="46"/>
      <c r="D132" s="49"/>
      <c r="E132" s="47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55">
        <v>43168</v>
      </c>
      <c r="B144" s="46" t="s">
        <v>8</v>
      </c>
      <c r="D144" s="49">
        <v>1230900</v>
      </c>
      <c r="E144" s="47" t="s">
        <v>208</v>
      </c>
      <c r="F144" t="s">
        <v>209</v>
      </c>
      <c r="G144" s="3">
        <f>1+4+1+2</f>
        <v>8</v>
      </c>
    </row>
    <row r="145" spans="1:7" x14ac:dyDescent="0.25">
      <c r="A145" s="55"/>
      <c r="B145" s="46"/>
      <c r="D145" s="49"/>
      <c r="E145" s="47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45">
        <v>43168</v>
      </c>
      <c r="B148" s="46" t="s">
        <v>8</v>
      </c>
      <c r="D148" s="48">
        <v>1074000</v>
      </c>
      <c r="E148" s="47" t="s">
        <v>48</v>
      </c>
      <c r="F148" t="s">
        <v>213</v>
      </c>
      <c r="G148" s="3">
        <v>12</v>
      </c>
    </row>
    <row r="149" spans="1:7" x14ac:dyDescent="0.25">
      <c r="A149" s="45"/>
      <c r="B149" s="46"/>
      <c r="D149" s="48"/>
      <c r="E149" s="47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45">
        <v>43169</v>
      </c>
      <c r="B156" s="46" t="s">
        <v>8</v>
      </c>
      <c r="D156" s="49">
        <v>14335000</v>
      </c>
      <c r="E156" s="47" t="s">
        <v>63</v>
      </c>
      <c r="F156" t="s">
        <v>224</v>
      </c>
      <c r="G156" s="3">
        <v>1150</v>
      </c>
    </row>
    <row r="157" spans="1:7" x14ac:dyDescent="0.25">
      <c r="A157" s="45"/>
      <c r="B157" s="46"/>
      <c r="D157" s="49"/>
      <c r="E157" s="47"/>
      <c r="F157" t="s">
        <v>225</v>
      </c>
      <c r="G157" s="3">
        <v>1050</v>
      </c>
    </row>
    <row r="158" spans="1:7" x14ac:dyDescent="0.25">
      <c r="A158" s="45"/>
      <c r="B158" s="46"/>
      <c r="D158" s="49"/>
      <c r="E158" s="47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45">
        <v>43169</v>
      </c>
      <c r="B164" s="46" t="s">
        <v>8</v>
      </c>
      <c r="D164" s="48">
        <v>3581200</v>
      </c>
      <c r="E164" s="47" t="s">
        <v>116</v>
      </c>
      <c r="F164" t="s">
        <v>117</v>
      </c>
      <c r="G164" s="3">
        <v>12</v>
      </c>
    </row>
    <row r="165" spans="1:7" x14ac:dyDescent="0.25">
      <c r="A165" s="45"/>
      <c r="B165" s="46"/>
      <c r="D165" s="48"/>
      <c r="E165" s="47"/>
      <c r="F165" t="s">
        <v>118</v>
      </c>
      <c r="G165" s="3">
        <v>6</v>
      </c>
    </row>
    <row r="166" spans="1:7" x14ac:dyDescent="0.25">
      <c r="A166" s="45">
        <v>43169</v>
      </c>
      <c r="B166" s="46" t="s">
        <v>8</v>
      </c>
      <c r="D166" s="48">
        <v>3040300</v>
      </c>
      <c r="E166" s="47" t="s">
        <v>80</v>
      </c>
      <c r="F166" t="s">
        <v>228</v>
      </c>
      <c r="G166" s="3">
        <f>4+18+7+3</f>
        <v>32</v>
      </c>
    </row>
    <row r="167" spans="1:7" x14ac:dyDescent="0.25">
      <c r="A167" s="45"/>
      <c r="B167" s="46"/>
      <c r="D167" s="48"/>
      <c r="E167" s="47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45">
        <v>43169</v>
      </c>
      <c r="B171" s="46" t="s">
        <v>8</v>
      </c>
      <c r="D171" s="48">
        <v>1845200</v>
      </c>
      <c r="E171" s="47" t="s">
        <v>85</v>
      </c>
      <c r="F171" t="s">
        <v>166</v>
      </c>
      <c r="G171" s="3">
        <f>6+8</f>
        <v>14</v>
      </c>
    </row>
    <row r="172" spans="1:7" x14ac:dyDescent="0.25">
      <c r="A172" s="45"/>
      <c r="B172" s="46"/>
      <c r="D172" s="48"/>
      <c r="E172" s="47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45">
        <v>43169</v>
      </c>
      <c r="B177" s="46" t="s">
        <v>8</v>
      </c>
      <c r="D177" s="48">
        <v>4492550</v>
      </c>
      <c r="E177" s="47" t="s">
        <v>127</v>
      </c>
      <c r="F177" t="s">
        <v>129</v>
      </c>
      <c r="G177" s="3">
        <f>15+16+15+15</f>
        <v>61</v>
      </c>
    </row>
    <row r="178" spans="1:7" x14ac:dyDescent="0.25">
      <c r="A178" s="45"/>
      <c r="B178" s="46"/>
      <c r="D178" s="48"/>
      <c r="E178" s="47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45">
        <v>43171</v>
      </c>
      <c r="B181" s="46" t="s">
        <v>8</v>
      </c>
      <c r="D181" s="48">
        <v>1215200</v>
      </c>
      <c r="E181" s="47" t="s">
        <v>158</v>
      </c>
      <c r="F181" t="s">
        <v>242</v>
      </c>
      <c r="G181" s="3">
        <f>4+2+6</f>
        <v>12</v>
      </c>
    </row>
    <row r="182" spans="1:7" x14ac:dyDescent="0.25">
      <c r="A182" s="45"/>
      <c r="B182" s="46"/>
      <c r="D182" s="48"/>
      <c r="E182" s="47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45">
        <v>43171</v>
      </c>
      <c r="B186" s="46" t="s">
        <v>8</v>
      </c>
      <c r="D186" s="48">
        <v>2204500</v>
      </c>
      <c r="E186" s="47" t="s">
        <v>196</v>
      </c>
      <c r="F186" t="s">
        <v>247</v>
      </c>
      <c r="G186" s="3">
        <f>12+10</f>
        <v>22</v>
      </c>
    </row>
    <row r="187" spans="1:7" x14ac:dyDescent="0.25">
      <c r="A187" s="45"/>
      <c r="B187" s="46"/>
      <c r="D187" s="48"/>
      <c r="E187" s="47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45">
        <v>43171</v>
      </c>
      <c r="B192" s="46" t="s">
        <v>8</v>
      </c>
      <c r="D192" s="48">
        <v>3051900</v>
      </c>
      <c r="E192" s="47" t="s">
        <v>256</v>
      </c>
      <c r="F192" t="s">
        <v>257</v>
      </c>
      <c r="G192" s="3">
        <v>33</v>
      </c>
    </row>
    <row r="193" spans="1:7" x14ac:dyDescent="0.25">
      <c r="A193" s="45"/>
      <c r="B193" s="46"/>
      <c r="D193" s="48"/>
      <c r="E193" s="47"/>
      <c r="F193" t="s">
        <v>258</v>
      </c>
      <c r="G193" s="3">
        <v>36</v>
      </c>
    </row>
    <row r="194" spans="1:7" x14ac:dyDescent="0.25">
      <c r="A194" s="45">
        <v>43171</v>
      </c>
      <c r="B194" s="46" t="s">
        <v>8</v>
      </c>
      <c r="D194" s="48">
        <v>3969000</v>
      </c>
      <c r="E194" s="47" t="s">
        <v>72</v>
      </c>
      <c r="F194" t="s">
        <v>259</v>
      </c>
      <c r="G194" s="3">
        <v>12</v>
      </c>
    </row>
    <row r="195" spans="1:7" x14ac:dyDescent="0.25">
      <c r="A195" s="45"/>
      <c r="B195" s="46"/>
      <c r="D195" s="48"/>
      <c r="E195" s="47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45">
        <v>43171</v>
      </c>
      <c r="B200" s="46" t="s">
        <v>8</v>
      </c>
      <c r="D200" s="48">
        <v>27762250</v>
      </c>
      <c r="E200" s="47" t="s">
        <v>50</v>
      </c>
      <c r="F200" t="s">
        <v>268</v>
      </c>
      <c r="G200" s="3">
        <v>24</v>
      </c>
    </row>
    <row r="201" spans="1:7" x14ac:dyDescent="0.25">
      <c r="A201" s="45"/>
      <c r="B201" s="46"/>
      <c r="D201" s="48"/>
      <c r="E201" s="47"/>
      <c r="F201" t="s">
        <v>113</v>
      </c>
      <c r="G201" s="3">
        <f>44+50+24</f>
        <v>118</v>
      </c>
    </row>
    <row r="202" spans="1:7" x14ac:dyDescent="0.25">
      <c r="A202" s="45"/>
      <c r="B202" s="46"/>
      <c r="D202" s="48"/>
      <c r="E202" s="47"/>
      <c r="F202" t="s">
        <v>24</v>
      </c>
      <c r="G202" s="3">
        <f>12+12+12</f>
        <v>36</v>
      </c>
    </row>
    <row r="203" spans="1:7" x14ac:dyDescent="0.25">
      <c r="A203" s="45"/>
      <c r="B203" s="46"/>
      <c r="D203" s="48"/>
      <c r="E203" s="47"/>
      <c r="F203" t="s">
        <v>269</v>
      </c>
      <c r="G203" s="3">
        <f>12+12+7+12</f>
        <v>43</v>
      </c>
    </row>
    <row r="204" spans="1:7" x14ac:dyDescent="0.25">
      <c r="A204" s="45"/>
      <c r="B204" s="46"/>
      <c r="D204" s="48"/>
      <c r="E204" s="47"/>
      <c r="F204" t="s">
        <v>270</v>
      </c>
      <c r="G204" s="3">
        <f>12+12+12</f>
        <v>36</v>
      </c>
    </row>
    <row r="205" spans="1:7" x14ac:dyDescent="0.25">
      <c r="A205" s="45"/>
      <c r="B205" s="46"/>
      <c r="D205" s="48"/>
      <c r="E205" s="47"/>
      <c r="F205" t="s">
        <v>29</v>
      </c>
      <c r="G205" s="3">
        <f>18+16</f>
        <v>34</v>
      </c>
    </row>
    <row r="206" spans="1:7" x14ac:dyDescent="0.25">
      <c r="A206" s="45"/>
      <c r="B206" s="46"/>
      <c r="D206" s="48"/>
      <c r="E206" s="47"/>
      <c r="F206" t="s">
        <v>30</v>
      </c>
      <c r="G206" s="3">
        <v>12</v>
      </c>
    </row>
    <row r="207" spans="1:7" x14ac:dyDescent="0.25">
      <c r="A207" s="45"/>
      <c r="B207" s="46"/>
      <c r="D207" s="48"/>
      <c r="E207" s="47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45">
        <v>43171</v>
      </c>
      <c r="B213" s="46" t="s">
        <v>8</v>
      </c>
      <c r="D213" s="48">
        <v>4511150</v>
      </c>
      <c r="E213" s="47" t="s">
        <v>85</v>
      </c>
      <c r="F213" t="s">
        <v>276</v>
      </c>
      <c r="G213" s="3">
        <f>2+7+10+7+2</f>
        <v>28</v>
      </c>
    </row>
    <row r="214" spans="1:7" x14ac:dyDescent="0.25">
      <c r="A214" s="45"/>
      <c r="B214" s="46"/>
      <c r="D214" s="48"/>
      <c r="E214" s="47"/>
      <c r="F214" t="s">
        <v>277</v>
      </c>
      <c r="G214" s="3">
        <f>6+6</f>
        <v>12</v>
      </c>
    </row>
    <row r="215" spans="1:7" x14ac:dyDescent="0.25">
      <c r="A215" s="45"/>
      <c r="B215" s="46"/>
      <c r="D215" s="48"/>
      <c r="E215" s="47"/>
      <c r="F215" t="s">
        <v>166</v>
      </c>
      <c r="G215" s="3">
        <v>10</v>
      </c>
    </row>
    <row r="216" spans="1:7" x14ac:dyDescent="0.25">
      <c r="A216" s="45"/>
      <c r="B216" s="46"/>
      <c r="D216" s="48"/>
      <c r="E216" s="47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45">
        <v>43172</v>
      </c>
      <c r="B218" s="46" t="s">
        <v>8</v>
      </c>
      <c r="D218" s="48">
        <v>14992700</v>
      </c>
      <c r="E218" s="47" t="s">
        <v>44</v>
      </c>
      <c r="F218" t="s">
        <v>281</v>
      </c>
      <c r="G218" s="3">
        <v>83</v>
      </c>
    </row>
    <row r="219" spans="1:7" x14ac:dyDescent="0.25">
      <c r="A219" s="45"/>
      <c r="B219" s="46"/>
      <c r="D219" s="48"/>
      <c r="E219" s="47"/>
      <c r="F219" t="s">
        <v>282</v>
      </c>
      <c r="G219" s="3">
        <v>1</v>
      </c>
    </row>
    <row r="220" spans="1:7" x14ac:dyDescent="0.25">
      <c r="A220" s="45"/>
      <c r="B220" s="46"/>
      <c r="D220" s="48"/>
      <c r="E220" s="47"/>
      <c r="F220" t="s">
        <v>283</v>
      </c>
      <c r="G220" s="3">
        <v>1</v>
      </c>
    </row>
    <row r="221" spans="1:7" x14ac:dyDescent="0.25">
      <c r="A221" s="45"/>
      <c r="B221" s="46"/>
      <c r="D221" s="48"/>
      <c r="E221" s="47"/>
      <c r="F221" t="s">
        <v>284</v>
      </c>
      <c r="G221" s="3">
        <v>1</v>
      </c>
    </row>
    <row r="222" spans="1:7" x14ac:dyDescent="0.25">
      <c r="A222" s="45"/>
      <c r="B222" s="46"/>
      <c r="D222" s="48"/>
      <c r="E222" s="47"/>
      <c r="F222" t="s">
        <v>13</v>
      </c>
      <c r="G222" s="3">
        <v>40</v>
      </c>
    </row>
    <row r="223" spans="1:7" x14ac:dyDescent="0.25">
      <c r="A223" s="45"/>
      <c r="B223" s="46"/>
      <c r="D223" s="48"/>
      <c r="E223" s="47"/>
      <c r="F223" t="s">
        <v>14</v>
      </c>
      <c r="G223" s="3">
        <v>42</v>
      </c>
    </row>
    <row r="224" spans="1:7" x14ac:dyDescent="0.25">
      <c r="A224" s="45"/>
      <c r="B224" s="46"/>
      <c r="D224" s="48"/>
      <c r="E224" s="47"/>
      <c r="F224" t="s">
        <v>285</v>
      </c>
      <c r="G224" s="3">
        <v>60</v>
      </c>
    </row>
    <row r="225" spans="1:7" x14ac:dyDescent="0.25">
      <c r="A225" s="45"/>
      <c r="B225" s="46"/>
      <c r="D225" s="48"/>
      <c r="E225" s="47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45">
        <v>43173</v>
      </c>
      <c r="B231" s="46" t="s">
        <v>8</v>
      </c>
      <c r="D231" s="48">
        <v>1892500</v>
      </c>
      <c r="E231" s="47" t="s">
        <v>63</v>
      </c>
      <c r="F231" t="s">
        <v>294</v>
      </c>
      <c r="G231" s="3">
        <v>150</v>
      </c>
    </row>
    <row r="232" spans="1:7" x14ac:dyDescent="0.25">
      <c r="A232" s="45"/>
      <c r="B232" s="46"/>
      <c r="D232" s="48"/>
      <c r="E232" s="47"/>
      <c r="F232" t="s">
        <v>64</v>
      </c>
      <c r="G232" s="3">
        <v>1</v>
      </c>
    </row>
    <row r="233" spans="1:7" x14ac:dyDescent="0.25">
      <c r="A233" s="45">
        <v>43173</v>
      </c>
      <c r="B233" s="46" t="s">
        <v>8</v>
      </c>
      <c r="D233" s="48">
        <v>4506400</v>
      </c>
      <c r="E233" s="47" t="s">
        <v>72</v>
      </c>
      <c r="F233" t="s">
        <v>295</v>
      </c>
      <c r="G233" s="3">
        <v>36</v>
      </c>
    </row>
    <row r="234" spans="1:7" x14ac:dyDescent="0.25">
      <c r="A234" s="45"/>
      <c r="B234" s="46"/>
      <c r="D234" s="48"/>
      <c r="E234" s="47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45">
        <v>43173</v>
      </c>
      <c r="B238" s="46" t="s">
        <v>8</v>
      </c>
      <c r="D238" s="48">
        <v>1508400</v>
      </c>
      <c r="E238" s="47" t="s">
        <v>199</v>
      </c>
      <c r="F238" t="s">
        <v>200</v>
      </c>
      <c r="G238" s="3">
        <f>2+6+4</f>
        <v>12</v>
      </c>
    </row>
    <row r="239" spans="1:7" x14ac:dyDescent="0.25">
      <c r="A239" s="45"/>
      <c r="B239" s="46"/>
      <c r="D239" s="48"/>
      <c r="E239" s="47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45">
        <v>43173</v>
      </c>
      <c r="B243" s="46" t="s">
        <v>8</v>
      </c>
      <c r="D243" s="48">
        <v>3078850</v>
      </c>
      <c r="E243" s="47" t="s">
        <v>43</v>
      </c>
      <c r="F243" t="s">
        <v>302</v>
      </c>
      <c r="G243" s="3">
        <f>3+3+6</f>
        <v>12</v>
      </c>
    </row>
    <row r="244" spans="1:7" x14ac:dyDescent="0.25">
      <c r="A244" s="45"/>
      <c r="B244" s="46"/>
      <c r="D244" s="48"/>
      <c r="E244" s="47"/>
      <c r="F244" t="s">
        <v>9</v>
      </c>
      <c r="G244" s="3">
        <f>4+4+5+9</f>
        <v>22</v>
      </c>
    </row>
    <row r="245" spans="1:7" x14ac:dyDescent="0.25">
      <c r="A245" s="45"/>
      <c r="B245" s="46"/>
      <c r="D245" s="48"/>
      <c r="E245" s="47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45">
        <v>43174</v>
      </c>
      <c r="B252" s="46" t="s">
        <v>6</v>
      </c>
      <c r="D252" s="48">
        <v>6286900</v>
      </c>
      <c r="E252" s="47" t="s">
        <v>149</v>
      </c>
      <c r="F252" t="s">
        <v>308</v>
      </c>
      <c r="G252" s="3">
        <v>36</v>
      </c>
    </row>
    <row r="253" spans="1:7" x14ac:dyDescent="0.25">
      <c r="A253" s="45"/>
      <c r="B253" s="46"/>
      <c r="D253" s="48"/>
      <c r="E253" s="47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45">
        <v>43174</v>
      </c>
      <c r="B255" s="46" t="s">
        <v>8</v>
      </c>
      <c r="D255" s="48">
        <v>2689650</v>
      </c>
      <c r="E255" s="47" t="s">
        <v>312</v>
      </c>
      <c r="F255" t="s">
        <v>313</v>
      </c>
      <c r="G255" s="3">
        <f>2+5+2+4</f>
        <v>13</v>
      </c>
    </row>
    <row r="256" spans="1:7" x14ac:dyDescent="0.25">
      <c r="A256" s="45"/>
      <c r="B256" s="46"/>
      <c r="D256" s="48"/>
      <c r="E256" s="47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45">
        <v>43174</v>
      </c>
      <c r="B261" s="46" t="s">
        <v>8</v>
      </c>
      <c r="D261" s="48">
        <v>2624450</v>
      </c>
      <c r="E261" s="47" t="s">
        <v>56</v>
      </c>
      <c r="F261" t="s">
        <v>145</v>
      </c>
      <c r="G261" s="3">
        <f>7+7+7+4+4</f>
        <v>29</v>
      </c>
    </row>
    <row r="262" spans="1:7" x14ac:dyDescent="0.25">
      <c r="A262" s="45"/>
      <c r="B262" s="46"/>
      <c r="D262" s="48"/>
      <c r="E262" s="47"/>
      <c r="F262" t="s">
        <v>320</v>
      </c>
      <c r="G262" s="3">
        <f>6+6</f>
        <v>12</v>
      </c>
    </row>
    <row r="263" spans="1:7" x14ac:dyDescent="0.25">
      <c r="A263" s="45">
        <v>43174</v>
      </c>
      <c r="B263" s="46" t="s">
        <v>6</v>
      </c>
      <c r="D263" s="48">
        <v>1075750</v>
      </c>
      <c r="E263" s="47" t="s">
        <v>168</v>
      </c>
      <c r="F263" t="s">
        <v>321</v>
      </c>
      <c r="G263" s="3">
        <v>11</v>
      </c>
    </row>
    <row r="264" spans="1:7" x14ac:dyDescent="0.25">
      <c r="A264" s="45"/>
      <c r="B264" s="46"/>
      <c r="D264" s="48"/>
      <c r="E264" s="47"/>
      <c r="F264" t="s">
        <v>322</v>
      </c>
      <c r="G264" s="3">
        <v>36</v>
      </c>
    </row>
    <row r="265" spans="1:7" x14ac:dyDescent="0.25">
      <c r="A265" s="45">
        <v>43174</v>
      </c>
      <c r="B265" s="46" t="s">
        <v>8</v>
      </c>
      <c r="D265" s="48">
        <v>1450900</v>
      </c>
      <c r="E265" s="47" t="s">
        <v>85</v>
      </c>
      <c r="F265" t="s">
        <v>323</v>
      </c>
      <c r="G265" s="3">
        <f>6+6</f>
        <v>12</v>
      </c>
    </row>
    <row r="266" spans="1:7" x14ac:dyDescent="0.25">
      <c r="A266" s="45"/>
      <c r="B266" s="46"/>
      <c r="D266" s="48"/>
      <c r="E266" s="47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45">
        <v>43175</v>
      </c>
      <c r="B271" s="46" t="s">
        <v>8</v>
      </c>
      <c r="D271" s="48">
        <v>6242300</v>
      </c>
      <c r="E271" s="47" t="s">
        <v>116</v>
      </c>
      <c r="F271" t="s">
        <v>327</v>
      </c>
      <c r="G271" s="3">
        <v>10</v>
      </c>
    </row>
    <row r="272" spans="1:7" x14ac:dyDescent="0.25">
      <c r="A272" s="45"/>
      <c r="B272" s="46"/>
      <c r="D272" s="48"/>
      <c r="E272" s="47"/>
      <c r="F272" t="s">
        <v>328</v>
      </c>
      <c r="G272" s="3">
        <v>24</v>
      </c>
    </row>
    <row r="273" spans="1:7" x14ac:dyDescent="0.25">
      <c r="A273" s="45"/>
      <c r="B273" s="46"/>
      <c r="D273" s="48"/>
      <c r="E273" s="47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45">
        <v>43175</v>
      </c>
      <c r="B278" s="46" t="s">
        <v>8</v>
      </c>
      <c r="D278" s="48">
        <v>2328600</v>
      </c>
      <c r="E278" s="47" t="s">
        <v>274</v>
      </c>
      <c r="F278" t="s">
        <v>275</v>
      </c>
      <c r="G278" s="3">
        <v>6</v>
      </c>
    </row>
    <row r="279" spans="1:7" x14ac:dyDescent="0.25">
      <c r="A279" s="45"/>
      <c r="B279" s="46"/>
      <c r="D279" s="48"/>
      <c r="E279" s="47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45">
        <v>43175</v>
      </c>
      <c r="B283" s="46" t="s">
        <v>8</v>
      </c>
      <c r="D283" s="48">
        <v>10735000</v>
      </c>
      <c r="E283" s="47" t="s">
        <v>127</v>
      </c>
      <c r="F283" t="s">
        <v>342</v>
      </c>
      <c r="G283" s="3">
        <f>6+6+4+4+5</f>
        <v>25</v>
      </c>
    </row>
    <row r="284" spans="1:7" x14ac:dyDescent="0.25">
      <c r="A284" s="45"/>
      <c r="B284" s="46"/>
      <c r="D284" s="48"/>
      <c r="E284" s="47"/>
      <c r="F284" t="s">
        <v>129</v>
      </c>
      <c r="G284" s="3">
        <f>10+5+5+5</f>
        <v>25</v>
      </c>
    </row>
    <row r="285" spans="1:7" x14ac:dyDescent="0.25">
      <c r="A285" s="45"/>
      <c r="B285" s="46"/>
      <c r="D285" s="48"/>
      <c r="E285" s="47"/>
      <c r="F285" t="s">
        <v>343</v>
      </c>
      <c r="G285" s="3">
        <f>5+5+5+5</f>
        <v>20</v>
      </c>
    </row>
    <row r="286" spans="1:7" x14ac:dyDescent="0.25">
      <c r="A286" s="45"/>
      <c r="B286" s="46"/>
      <c r="D286" s="48"/>
      <c r="E286" s="47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45">
        <v>43178</v>
      </c>
      <c r="B290" s="46" t="s">
        <v>8</v>
      </c>
      <c r="D290" s="48">
        <v>8310600</v>
      </c>
      <c r="E290" s="47" t="s">
        <v>231</v>
      </c>
      <c r="F290" t="s">
        <v>232</v>
      </c>
      <c r="G290" s="3">
        <v>64</v>
      </c>
    </row>
    <row r="291" spans="1:7" x14ac:dyDescent="0.25">
      <c r="A291" s="45"/>
      <c r="B291" s="46"/>
      <c r="D291" s="48"/>
      <c r="E291" s="47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45">
        <v>43178</v>
      </c>
      <c r="B300" s="46" t="s">
        <v>8</v>
      </c>
      <c r="D300" s="48">
        <v>1988000</v>
      </c>
      <c r="E300" s="47" t="s">
        <v>85</v>
      </c>
      <c r="F300" t="s">
        <v>352</v>
      </c>
      <c r="G300" s="3">
        <f>4+6+2</f>
        <v>12</v>
      </c>
    </row>
    <row r="301" spans="1:7" x14ac:dyDescent="0.25">
      <c r="A301" s="45"/>
      <c r="B301" s="46"/>
      <c r="D301" s="48"/>
      <c r="E301" s="47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45">
        <v>43179</v>
      </c>
      <c r="B322" s="46" t="s">
        <v>8</v>
      </c>
      <c r="D322" s="48">
        <v>3886700</v>
      </c>
      <c r="E322" s="47" t="s">
        <v>43</v>
      </c>
      <c r="F322" t="s">
        <v>9</v>
      </c>
      <c r="G322" s="3">
        <f>12+14+16</f>
        <v>42</v>
      </c>
    </row>
    <row r="323" spans="1:7" x14ac:dyDescent="0.25">
      <c r="A323" s="45"/>
      <c r="B323" s="46"/>
      <c r="D323" s="48"/>
      <c r="E323" s="47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45">
        <v>43179</v>
      </c>
      <c r="B325" s="46" t="s">
        <v>8</v>
      </c>
      <c r="D325" s="48">
        <v>2104200</v>
      </c>
      <c r="E325" s="47" t="s">
        <v>89</v>
      </c>
      <c r="F325" t="s">
        <v>90</v>
      </c>
      <c r="G325" s="3">
        <v>36</v>
      </c>
    </row>
    <row r="326" spans="1:7" x14ac:dyDescent="0.25">
      <c r="A326" s="45"/>
      <c r="B326" s="46"/>
      <c r="D326" s="48"/>
      <c r="E326" s="47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55">
        <v>43179</v>
      </c>
      <c r="B329" s="47" t="s">
        <v>6</v>
      </c>
      <c r="D329" s="49">
        <v>3067150</v>
      </c>
      <c r="E329" s="47" t="s">
        <v>185</v>
      </c>
      <c r="F329" t="s">
        <v>381</v>
      </c>
      <c r="G329" s="3">
        <f>2+5+5</f>
        <v>12</v>
      </c>
    </row>
    <row r="330" spans="1:7" x14ac:dyDescent="0.25">
      <c r="A330" s="55"/>
      <c r="B330" s="47"/>
      <c r="D330" s="49"/>
      <c r="E330" s="47"/>
      <c r="F330" t="s">
        <v>382</v>
      </c>
      <c r="G330" s="3">
        <f>5+5+6</f>
        <v>16</v>
      </c>
    </row>
    <row r="331" spans="1:7" x14ac:dyDescent="0.25">
      <c r="A331" s="55"/>
      <c r="B331" s="47"/>
      <c r="D331" s="49"/>
      <c r="E331" s="47"/>
      <c r="F331" t="s">
        <v>188</v>
      </c>
      <c r="G331" s="3">
        <f>5+7+3</f>
        <v>15</v>
      </c>
    </row>
    <row r="332" spans="1:7" x14ac:dyDescent="0.25">
      <c r="A332" s="45">
        <v>43179</v>
      </c>
      <c r="B332" s="46" t="s">
        <v>8</v>
      </c>
      <c r="D332" s="48">
        <v>2371100</v>
      </c>
      <c r="E332" s="47" t="s">
        <v>80</v>
      </c>
      <c r="F332" t="s">
        <v>228</v>
      </c>
      <c r="G332" s="3">
        <f>2+4+7+10</f>
        <v>23</v>
      </c>
    </row>
    <row r="333" spans="1:7" x14ac:dyDescent="0.25">
      <c r="A333" s="45"/>
      <c r="B333" s="46"/>
      <c r="D333" s="48"/>
      <c r="E333" s="47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45">
        <v>43179</v>
      </c>
      <c r="B335" s="46" t="s">
        <v>8</v>
      </c>
      <c r="D335" s="48">
        <v>1934400</v>
      </c>
      <c r="E335" s="47" t="s">
        <v>134</v>
      </c>
      <c r="F335" t="s">
        <v>386</v>
      </c>
      <c r="G335" s="3">
        <f>3+6+4+5</f>
        <v>18</v>
      </c>
    </row>
    <row r="336" spans="1:7" x14ac:dyDescent="0.25">
      <c r="A336" s="45"/>
      <c r="B336" s="46"/>
      <c r="D336" s="48"/>
      <c r="E336" s="47"/>
      <c r="F336" t="s">
        <v>135</v>
      </c>
      <c r="G336" s="3">
        <v>6</v>
      </c>
    </row>
    <row r="337" spans="1:7" x14ac:dyDescent="0.25">
      <c r="A337" s="45">
        <v>43179</v>
      </c>
      <c r="B337" s="46" t="s">
        <v>8</v>
      </c>
      <c r="D337" s="48">
        <v>5716200</v>
      </c>
      <c r="E337" s="47" t="s">
        <v>72</v>
      </c>
      <c r="F337" t="s">
        <v>73</v>
      </c>
      <c r="G337" s="3">
        <v>36</v>
      </c>
    </row>
    <row r="338" spans="1:7" x14ac:dyDescent="0.25">
      <c r="A338" s="45"/>
      <c r="B338" s="46"/>
      <c r="D338" s="48"/>
      <c r="E338" s="47"/>
      <c r="F338" t="s">
        <v>387</v>
      </c>
      <c r="G338" s="3">
        <v>40</v>
      </c>
    </row>
    <row r="339" spans="1:7" x14ac:dyDescent="0.25">
      <c r="A339" s="45"/>
      <c r="B339" s="46"/>
      <c r="D339" s="48"/>
      <c r="E339" s="47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45">
        <v>43180</v>
      </c>
      <c r="B346" s="46" t="s">
        <v>8</v>
      </c>
      <c r="D346" s="48">
        <v>1326000</v>
      </c>
      <c r="E346" s="47" t="s">
        <v>175</v>
      </c>
      <c r="F346" t="s">
        <v>391</v>
      </c>
      <c r="G346" s="3">
        <f>5+5+5</f>
        <v>15</v>
      </c>
    </row>
    <row r="347" spans="1:7" x14ac:dyDescent="0.25">
      <c r="A347" s="45"/>
      <c r="B347" s="46"/>
      <c r="D347" s="48"/>
      <c r="E347" s="47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45">
        <v>43180</v>
      </c>
      <c r="B351" s="46" t="s">
        <v>8</v>
      </c>
      <c r="D351" s="48">
        <v>2092850</v>
      </c>
      <c r="E351" s="47" t="s">
        <v>304</v>
      </c>
      <c r="F351" t="s">
        <v>396</v>
      </c>
      <c r="G351" s="3">
        <f>6+6</f>
        <v>12</v>
      </c>
    </row>
    <row r="352" spans="1:7" x14ac:dyDescent="0.25">
      <c r="A352" s="45"/>
      <c r="B352" s="46"/>
      <c r="D352" s="48"/>
      <c r="E352" s="47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45">
        <v>43180</v>
      </c>
      <c r="B356" s="46" t="s">
        <v>8</v>
      </c>
      <c r="D356" s="48">
        <v>5761900</v>
      </c>
      <c r="E356" s="47" t="s">
        <v>46</v>
      </c>
      <c r="F356" t="s">
        <v>82</v>
      </c>
      <c r="G356" s="3">
        <f>2+12+10+7</f>
        <v>31</v>
      </c>
    </row>
    <row r="357" spans="1:7" x14ac:dyDescent="0.25">
      <c r="A357" s="45"/>
      <c r="B357" s="46"/>
      <c r="D357" s="48"/>
      <c r="E357" s="47"/>
      <c r="F357" t="s">
        <v>397</v>
      </c>
      <c r="G357" s="3">
        <f>6+6</f>
        <v>12</v>
      </c>
    </row>
    <row r="358" spans="1:7" x14ac:dyDescent="0.25">
      <c r="A358" s="45"/>
      <c r="B358" s="46"/>
      <c r="D358" s="48"/>
      <c r="E358" s="47"/>
      <c r="F358" t="s">
        <v>398</v>
      </c>
      <c r="G358" s="3">
        <f>6+6</f>
        <v>12</v>
      </c>
    </row>
    <row r="359" spans="1:7" x14ac:dyDescent="0.25">
      <c r="A359" s="45"/>
      <c r="B359" s="46"/>
      <c r="D359" s="48"/>
      <c r="E359" s="47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45">
        <v>43180</v>
      </c>
      <c r="B366" s="46" t="s">
        <v>8</v>
      </c>
      <c r="D366" s="48">
        <v>8851250</v>
      </c>
      <c r="E366" s="47" t="s">
        <v>44</v>
      </c>
      <c r="F366" t="s">
        <v>281</v>
      </c>
      <c r="G366" s="3">
        <v>40</v>
      </c>
    </row>
    <row r="367" spans="1:7" x14ac:dyDescent="0.25">
      <c r="A367" s="45"/>
      <c r="B367" s="46"/>
      <c r="D367" s="48"/>
      <c r="E367" s="47"/>
      <c r="F367" t="s">
        <v>405</v>
      </c>
      <c r="G367" s="3">
        <v>71</v>
      </c>
    </row>
    <row r="368" spans="1:7" x14ac:dyDescent="0.25">
      <c r="A368" s="45"/>
      <c r="B368" s="46"/>
      <c r="D368" s="48"/>
      <c r="E368" s="47"/>
      <c r="F368" t="s">
        <v>406</v>
      </c>
      <c r="G368" s="3">
        <v>40</v>
      </c>
    </row>
    <row r="369" spans="1:7" x14ac:dyDescent="0.25">
      <c r="A369" s="45">
        <v>43180</v>
      </c>
      <c r="B369" s="46" t="s">
        <v>8</v>
      </c>
      <c r="D369" s="48">
        <v>40485300</v>
      </c>
      <c r="E369" s="47" t="s">
        <v>50</v>
      </c>
      <c r="F369" t="s">
        <v>407</v>
      </c>
      <c r="G369" s="3">
        <f>20+18+20</f>
        <v>58</v>
      </c>
    </row>
    <row r="370" spans="1:7" x14ac:dyDescent="0.25">
      <c r="A370" s="45"/>
      <c r="B370" s="46"/>
      <c r="D370" s="48"/>
      <c r="E370" s="47"/>
      <c r="F370" t="s">
        <v>408</v>
      </c>
      <c r="G370" s="3">
        <v>26</v>
      </c>
    </row>
    <row r="371" spans="1:7" x14ac:dyDescent="0.25">
      <c r="A371" s="45"/>
      <c r="B371" s="46"/>
      <c r="D371" s="48"/>
      <c r="E371" s="47"/>
      <c r="F371" t="s">
        <v>409</v>
      </c>
      <c r="G371" s="3">
        <f>33+33+19</f>
        <v>85</v>
      </c>
    </row>
    <row r="372" spans="1:7" x14ac:dyDescent="0.25">
      <c r="A372" s="45"/>
      <c r="B372" s="46"/>
      <c r="D372" s="48"/>
      <c r="E372" s="47"/>
      <c r="F372" t="s">
        <v>113</v>
      </c>
      <c r="G372" s="3">
        <f>58+58+33</f>
        <v>149</v>
      </c>
    </row>
    <row r="373" spans="1:7" x14ac:dyDescent="0.25">
      <c r="A373" s="45"/>
      <c r="B373" s="46"/>
      <c r="D373" s="48"/>
      <c r="E373" s="47"/>
      <c r="F373" t="s">
        <v>410</v>
      </c>
      <c r="G373" s="3">
        <f>22+24+12+12</f>
        <v>70</v>
      </c>
    </row>
    <row r="374" spans="1:7" x14ac:dyDescent="0.25">
      <c r="A374" s="45"/>
      <c r="B374" s="46"/>
      <c r="D374" s="48"/>
      <c r="E374" s="47"/>
      <c r="F374" t="s">
        <v>29</v>
      </c>
      <c r="G374" s="3">
        <v>16</v>
      </c>
    </row>
    <row r="375" spans="1:7" x14ac:dyDescent="0.25">
      <c r="A375" s="45"/>
      <c r="B375" s="46"/>
      <c r="D375" s="48"/>
      <c r="E375" s="47"/>
      <c r="F375" t="s">
        <v>411</v>
      </c>
      <c r="G375" s="3">
        <f>11+11+12</f>
        <v>34</v>
      </c>
    </row>
    <row r="376" spans="1:7" x14ac:dyDescent="0.25">
      <c r="A376" s="45"/>
      <c r="B376" s="46"/>
      <c r="D376" s="48"/>
      <c r="E376" s="47"/>
      <c r="F376" t="s">
        <v>412</v>
      </c>
      <c r="G376" s="3">
        <f>18+20</f>
        <v>38</v>
      </c>
    </row>
    <row r="377" spans="1:7" x14ac:dyDescent="0.25">
      <c r="A377" s="45">
        <v>43180</v>
      </c>
      <c r="B377" s="46" t="s">
        <v>8</v>
      </c>
      <c r="D377" s="48">
        <v>241600</v>
      </c>
      <c r="E377" s="47" t="s">
        <v>43</v>
      </c>
      <c r="F377" t="s">
        <v>9</v>
      </c>
      <c r="G377" s="3">
        <v>2</v>
      </c>
    </row>
    <row r="378" spans="1:7" x14ac:dyDescent="0.25">
      <c r="A378" s="45"/>
      <c r="B378" s="46"/>
      <c r="D378" s="48"/>
      <c r="E378" s="47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45">
        <v>43182</v>
      </c>
      <c r="B391" s="46" t="s">
        <v>8</v>
      </c>
      <c r="D391" s="48">
        <v>2465900</v>
      </c>
      <c r="E391" s="47" t="s">
        <v>161</v>
      </c>
      <c r="F391" t="s">
        <v>427</v>
      </c>
      <c r="G391" s="3">
        <f>14+12+14</f>
        <v>40</v>
      </c>
    </row>
    <row r="392" spans="1:7" x14ac:dyDescent="0.25">
      <c r="A392" s="45"/>
      <c r="B392" s="46"/>
      <c r="D392" s="48"/>
      <c r="E392" s="47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45">
        <v>43182</v>
      </c>
      <c r="B394" s="46" t="s">
        <v>8</v>
      </c>
      <c r="D394" s="48">
        <v>1575250</v>
      </c>
      <c r="E394" s="47" t="s">
        <v>377</v>
      </c>
      <c r="F394" t="s">
        <v>428</v>
      </c>
      <c r="G394" s="3">
        <f>5+7</f>
        <v>12</v>
      </c>
    </row>
    <row r="395" spans="1:7" x14ac:dyDescent="0.25">
      <c r="A395" s="45"/>
      <c r="B395" s="46"/>
      <c r="D395" s="48"/>
      <c r="E395" s="47"/>
      <c r="F395" t="s">
        <v>378</v>
      </c>
      <c r="G395" s="3">
        <v>1</v>
      </c>
    </row>
    <row r="396" spans="1:7" x14ac:dyDescent="0.25">
      <c r="A396" s="45"/>
      <c r="B396" s="46"/>
      <c r="D396" s="48"/>
      <c r="E396" s="47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45">
        <v>43182</v>
      </c>
      <c r="B405" s="46" t="s">
        <v>8</v>
      </c>
      <c r="D405" s="48">
        <v>2405650</v>
      </c>
      <c r="E405" s="47" t="s">
        <v>43</v>
      </c>
      <c r="F405" t="s">
        <v>9</v>
      </c>
      <c r="G405" s="3">
        <f>13+5+1+5</f>
        <v>24</v>
      </c>
    </row>
    <row r="406" spans="1:7" x14ac:dyDescent="0.25">
      <c r="A406" s="45"/>
      <c r="B406" s="46"/>
      <c r="D406" s="48"/>
      <c r="E406" s="47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45">
        <v>43182</v>
      </c>
      <c r="B409" s="46" t="s">
        <v>6</v>
      </c>
      <c r="D409" s="48">
        <v>1855200</v>
      </c>
      <c r="E409" s="47" t="s">
        <v>168</v>
      </c>
      <c r="F409" t="s">
        <v>436</v>
      </c>
      <c r="G409" s="3">
        <v>36</v>
      </c>
    </row>
    <row r="410" spans="1:7" x14ac:dyDescent="0.25">
      <c r="A410" s="45"/>
      <c r="B410" s="46"/>
      <c r="D410" s="48"/>
      <c r="E410" s="47"/>
      <c r="F410" t="s">
        <v>322</v>
      </c>
      <c r="G410" s="3">
        <v>24</v>
      </c>
    </row>
    <row r="411" spans="1:7" x14ac:dyDescent="0.25">
      <c r="A411" s="45">
        <v>43182</v>
      </c>
      <c r="B411" s="46" t="s">
        <v>8</v>
      </c>
      <c r="D411" s="48">
        <v>3910000</v>
      </c>
      <c r="E411" s="47" t="s">
        <v>85</v>
      </c>
      <c r="F411" t="s">
        <v>278</v>
      </c>
      <c r="G411" s="3">
        <f>4+8+8+8</f>
        <v>28</v>
      </c>
    </row>
    <row r="412" spans="1:7" x14ac:dyDescent="0.25">
      <c r="A412" s="45"/>
      <c r="B412" s="46"/>
      <c r="D412" s="48"/>
      <c r="E412" s="47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45">
        <v>43183</v>
      </c>
      <c r="B421" s="46" t="s">
        <v>8</v>
      </c>
      <c r="D421" s="48">
        <v>1504800</v>
      </c>
      <c r="E421" s="47" t="s">
        <v>447</v>
      </c>
      <c r="F421" t="s">
        <v>448</v>
      </c>
      <c r="G421" s="3">
        <v>36</v>
      </c>
    </row>
    <row r="422" spans="1:7" x14ac:dyDescent="0.25">
      <c r="A422" s="45"/>
      <c r="B422" s="46"/>
      <c r="D422" s="48"/>
      <c r="E422" s="47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45">
        <v>43183</v>
      </c>
      <c r="B428" s="46" t="s">
        <v>8</v>
      </c>
      <c r="D428" s="48">
        <v>2285200</v>
      </c>
      <c r="E428" s="47" t="s">
        <v>72</v>
      </c>
      <c r="F428" t="s">
        <v>456</v>
      </c>
      <c r="G428" s="3">
        <v>36</v>
      </c>
    </row>
    <row r="429" spans="1:7" x14ac:dyDescent="0.25">
      <c r="A429" s="45"/>
      <c r="B429" s="46"/>
      <c r="D429" s="48"/>
      <c r="E429" s="47"/>
      <c r="F429" t="s">
        <v>260</v>
      </c>
      <c r="G429" s="3">
        <v>1</v>
      </c>
    </row>
    <row r="430" spans="1:7" x14ac:dyDescent="0.25">
      <c r="A430" s="45">
        <v>43183</v>
      </c>
      <c r="B430" s="46" t="s">
        <v>8</v>
      </c>
      <c r="D430" s="48">
        <v>1466500</v>
      </c>
      <c r="E430" s="47" t="s">
        <v>48</v>
      </c>
      <c r="F430" t="s">
        <v>457</v>
      </c>
      <c r="G430" s="3">
        <f>5+5+5</f>
        <v>15</v>
      </c>
    </row>
    <row r="431" spans="1:7" x14ac:dyDescent="0.25">
      <c r="A431" s="45"/>
      <c r="B431" s="46"/>
      <c r="D431" s="48"/>
      <c r="E431" s="47"/>
      <c r="F431" t="s">
        <v>19</v>
      </c>
      <c r="G431" s="3">
        <f>4+4+5+7</f>
        <v>20</v>
      </c>
    </row>
    <row r="432" spans="1:7" x14ac:dyDescent="0.25">
      <c r="A432" s="45">
        <v>43183</v>
      </c>
      <c r="B432" s="46" t="s">
        <v>8</v>
      </c>
      <c r="D432" s="48">
        <v>1496400</v>
      </c>
      <c r="E432" s="47" t="s">
        <v>340</v>
      </c>
      <c r="F432" t="s">
        <v>458</v>
      </c>
      <c r="G432" s="3">
        <f>5+2+5</f>
        <v>12</v>
      </c>
    </row>
    <row r="433" spans="1:7" x14ac:dyDescent="0.25">
      <c r="A433" s="45"/>
      <c r="B433" s="46"/>
      <c r="D433" s="48"/>
      <c r="E433" s="47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45">
        <v>43183</v>
      </c>
      <c r="B439" s="46" t="s">
        <v>8</v>
      </c>
      <c r="D439" s="48">
        <v>594000</v>
      </c>
      <c r="E439" s="47" t="s">
        <v>261</v>
      </c>
      <c r="F439" t="s">
        <v>462</v>
      </c>
      <c r="G439" s="3">
        <v>10</v>
      </c>
    </row>
    <row r="440" spans="1:7" x14ac:dyDescent="0.25">
      <c r="A440" s="45"/>
      <c r="B440" s="46"/>
      <c r="D440" s="48"/>
      <c r="E440" s="47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45">
        <v>43183</v>
      </c>
      <c r="B442" s="46" t="s">
        <v>8</v>
      </c>
      <c r="D442" s="48">
        <v>8239350</v>
      </c>
      <c r="E442" s="47" t="s">
        <v>127</v>
      </c>
      <c r="F442" t="s">
        <v>464</v>
      </c>
      <c r="G442" s="3">
        <f>3+12+7+12</f>
        <v>34</v>
      </c>
    </row>
    <row r="443" spans="1:7" x14ac:dyDescent="0.25">
      <c r="A443" s="45"/>
      <c r="B443" s="46"/>
      <c r="D443" s="48"/>
      <c r="E443" s="47"/>
      <c r="F443" t="s">
        <v>342</v>
      </c>
      <c r="G443" s="3">
        <f>6+6+5+5+7</f>
        <v>29</v>
      </c>
    </row>
    <row r="444" spans="1:7" x14ac:dyDescent="0.25">
      <c r="A444" s="45"/>
      <c r="B444" s="46"/>
      <c r="D444" s="48"/>
      <c r="E444" s="47"/>
      <c r="F444" t="s">
        <v>130</v>
      </c>
      <c r="G444" s="3">
        <f>15+10+5</f>
        <v>30</v>
      </c>
    </row>
    <row r="445" spans="1:7" x14ac:dyDescent="0.25">
      <c r="A445" s="45"/>
      <c r="B445" s="46"/>
      <c r="D445" s="48"/>
      <c r="E445" s="47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45">
        <v>43185</v>
      </c>
      <c r="B453" s="46" t="s">
        <v>8</v>
      </c>
      <c r="D453" s="48">
        <v>9921600</v>
      </c>
      <c r="E453" s="47" t="s">
        <v>91</v>
      </c>
      <c r="F453" t="s">
        <v>146</v>
      </c>
      <c r="G453" s="3">
        <v>36</v>
      </c>
    </row>
    <row r="454" spans="1:7" x14ac:dyDescent="0.25">
      <c r="A454" s="45"/>
      <c r="B454" s="46"/>
      <c r="D454" s="48"/>
      <c r="E454" s="47"/>
      <c r="F454" t="s">
        <v>472</v>
      </c>
      <c r="G454" s="3">
        <v>36</v>
      </c>
    </row>
    <row r="455" spans="1:7" x14ac:dyDescent="0.25">
      <c r="A455" s="45"/>
      <c r="B455" s="46"/>
      <c r="D455" s="48"/>
      <c r="E455" s="47"/>
      <c r="F455" t="s">
        <v>473</v>
      </c>
      <c r="G455" s="3">
        <v>36</v>
      </c>
    </row>
    <row r="456" spans="1:7" x14ac:dyDescent="0.25">
      <c r="A456" s="45"/>
      <c r="B456" s="46"/>
      <c r="D456" s="48"/>
      <c r="E456" s="47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45">
        <v>43185</v>
      </c>
      <c r="B458" s="46" t="s">
        <v>8</v>
      </c>
      <c r="D458" s="48">
        <v>2795600</v>
      </c>
      <c r="E458" s="47" t="s">
        <v>109</v>
      </c>
      <c r="F458" t="s">
        <v>110</v>
      </c>
      <c r="G458" s="3">
        <f>3+3+5+7</f>
        <v>18</v>
      </c>
    </row>
    <row r="459" spans="1:7" x14ac:dyDescent="0.25">
      <c r="A459" s="45"/>
      <c r="B459" s="46"/>
      <c r="D459" s="48"/>
      <c r="E459" s="47"/>
      <c r="F459" t="s">
        <v>475</v>
      </c>
      <c r="G459" s="3">
        <f>2+2+2+5+2+2+2</f>
        <v>17</v>
      </c>
    </row>
    <row r="460" spans="1:7" x14ac:dyDescent="0.25">
      <c r="A460" s="45"/>
      <c r="B460" s="46"/>
      <c r="D460" s="48"/>
      <c r="E460" s="47"/>
      <c r="F460" t="s">
        <v>111</v>
      </c>
      <c r="G460" s="3">
        <f>2+3+1+5+2+5+5</f>
        <v>23</v>
      </c>
    </row>
    <row r="461" spans="1:7" x14ac:dyDescent="0.25">
      <c r="A461" s="45">
        <v>43185</v>
      </c>
      <c r="B461" s="46" t="s">
        <v>8</v>
      </c>
      <c r="D461" s="48">
        <v>24618700</v>
      </c>
      <c r="E461" s="47" t="s">
        <v>50</v>
      </c>
      <c r="F461" t="s">
        <v>22</v>
      </c>
      <c r="G461" s="3">
        <f>12+27</f>
        <v>39</v>
      </c>
    </row>
    <row r="462" spans="1:7" x14ac:dyDescent="0.25">
      <c r="A462" s="45"/>
      <c r="B462" s="46"/>
      <c r="D462" s="48"/>
      <c r="E462" s="47"/>
      <c r="F462" t="s">
        <v>476</v>
      </c>
      <c r="G462" s="3">
        <f>16+12</f>
        <v>28</v>
      </c>
    </row>
    <row r="463" spans="1:7" x14ac:dyDescent="0.25">
      <c r="A463" s="45"/>
      <c r="B463" s="46"/>
      <c r="D463" s="48"/>
      <c r="E463" s="47"/>
      <c r="F463" t="s">
        <v>477</v>
      </c>
      <c r="G463" s="3">
        <f>10+10+25</f>
        <v>45</v>
      </c>
    </row>
    <row r="464" spans="1:7" x14ac:dyDescent="0.25">
      <c r="A464" s="45"/>
      <c r="B464" s="46"/>
      <c r="D464" s="48"/>
      <c r="E464" s="47"/>
      <c r="F464" t="s">
        <v>478</v>
      </c>
      <c r="G464" s="3">
        <f>15+15+15+7</f>
        <v>52</v>
      </c>
    </row>
    <row r="465" spans="1:7" x14ac:dyDescent="0.25">
      <c r="A465" s="45"/>
      <c r="B465" s="46"/>
      <c r="D465" s="48"/>
      <c r="E465" s="47"/>
      <c r="F465" t="s">
        <v>268</v>
      </c>
      <c r="G465" s="3">
        <f>30+8</f>
        <v>38</v>
      </c>
    </row>
    <row r="466" spans="1:7" x14ac:dyDescent="0.25">
      <c r="A466" s="45"/>
      <c r="B466" s="46"/>
      <c r="D466" s="48"/>
      <c r="E466" s="47"/>
      <c r="F466" t="s">
        <v>114</v>
      </c>
      <c r="G466" s="3">
        <v>12</v>
      </c>
    </row>
    <row r="467" spans="1:7" x14ac:dyDescent="0.25">
      <c r="A467" s="45"/>
      <c r="B467" s="46"/>
      <c r="D467" s="48"/>
      <c r="E467" s="47"/>
      <c r="F467" t="s">
        <v>30</v>
      </c>
      <c r="G467" s="3">
        <f>12+12</f>
        <v>24</v>
      </c>
    </row>
    <row r="468" spans="1:7" x14ac:dyDescent="0.25">
      <c r="A468" s="45"/>
      <c r="B468" s="46"/>
      <c r="D468" s="48"/>
      <c r="E468" s="47"/>
      <c r="F468" t="s">
        <v>31</v>
      </c>
      <c r="G468" s="3">
        <f>24+17</f>
        <v>41</v>
      </c>
    </row>
    <row r="469" spans="1:7" x14ac:dyDescent="0.25">
      <c r="A469" s="45">
        <v>43185</v>
      </c>
      <c r="B469" s="46" t="s">
        <v>6</v>
      </c>
      <c r="D469" s="48">
        <v>2598150</v>
      </c>
      <c r="E469" s="47" t="s">
        <v>479</v>
      </c>
      <c r="F469" t="s">
        <v>480</v>
      </c>
      <c r="G469" s="3">
        <f>6+6</f>
        <v>12</v>
      </c>
    </row>
    <row r="470" spans="1:7" x14ac:dyDescent="0.25">
      <c r="A470" s="45"/>
      <c r="B470" s="46"/>
      <c r="D470" s="48"/>
      <c r="E470" s="47"/>
      <c r="F470" t="s">
        <v>481</v>
      </c>
      <c r="G470" s="3">
        <f>4+5+2</f>
        <v>11</v>
      </c>
    </row>
    <row r="471" spans="1:7" x14ac:dyDescent="0.25">
      <c r="A471" s="45"/>
      <c r="B471" s="46"/>
      <c r="D471" s="48"/>
      <c r="E471" s="47"/>
      <c r="F471" t="s">
        <v>482</v>
      </c>
      <c r="G471" s="3">
        <f>2+5+5</f>
        <v>12</v>
      </c>
    </row>
    <row r="472" spans="1:7" x14ac:dyDescent="0.25">
      <c r="A472" s="45"/>
      <c r="B472" s="46"/>
      <c r="D472" s="48"/>
      <c r="E472" s="47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45">
        <v>43185</v>
      </c>
      <c r="B477" s="46" t="s">
        <v>8</v>
      </c>
      <c r="D477" s="48">
        <v>4518500</v>
      </c>
      <c r="E477" s="47" t="s">
        <v>85</v>
      </c>
      <c r="F477" t="s">
        <v>276</v>
      </c>
      <c r="G477" s="3">
        <f>8+10+6</f>
        <v>24</v>
      </c>
    </row>
    <row r="478" spans="1:7" x14ac:dyDescent="0.25">
      <c r="A478" s="45"/>
      <c r="B478" s="46"/>
      <c r="D478" s="48"/>
      <c r="E478" s="47"/>
      <c r="F478" t="s">
        <v>166</v>
      </c>
      <c r="G478" s="3">
        <v>20</v>
      </c>
    </row>
    <row r="479" spans="1:7" x14ac:dyDescent="0.25">
      <c r="A479" s="45"/>
      <c r="B479" s="46"/>
      <c r="D479" s="48"/>
      <c r="E479" s="47"/>
      <c r="F479" t="s">
        <v>437</v>
      </c>
      <c r="G479" s="3">
        <f>1+2+3</f>
        <v>6</v>
      </c>
    </row>
    <row r="480" spans="1:7" x14ac:dyDescent="0.25">
      <c r="A480" s="45"/>
      <c r="B480" s="46"/>
      <c r="D480" s="48"/>
      <c r="E480" s="47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45">
        <v>43186</v>
      </c>
      <c r="B489" s="46" t="s">
        <v>8</v>
      </c>
      <c r="D489" s="48">
        <v>6464000</v>
      </c>
      <c r="E489" s="47" t="s">
        <v>44</v>
      </c>
      <c r="F489" t="s">
        <v>493</v>
      </c>
      <c r="G489" s="3">
        <v>64</v>
      </c>
    </row>
    <row r="490" spans="1:7" x14ac:dyDescent="0.25">
      <c r="A490" s="45"/>
      <c r="B490" s="46"/>
      <c r="D490" s="48"/>
      <c r="E490" s="47"/>
      <c r="F490" t="s">
        <v>494</v>
      </c>
      <c r="G490" s="3">
        <v>40</v>
      </c>
    </row>
    <row r="491" spans="1:7" x14ac:dyDescent="0.25">
      <c r="A491" s="45">
        <v>43186</v>
      </c>
      <c r="B491" s="46" t="s">
        <v>8</v>
      </c>
      <c r="D491" s="48">
        <v>1660150</v>
      </c>
      <c r="E491" s="47" t="s">
        <v>211</v>
      </c>
      <c r="F491" t="s">
        <v>495</v>
      </c>
      <c r="G491" s="3">
        <f>5+5+5</f>
        <v>15</v>
      </c>
    </row>
    <row r="492" spans="1:7" x14ac:dyDescent="0.25">
      <c r="A492" s="45"/>
      <c r="B492" s="46"/>
      <c r="D492" s="48"/>
      <c r="E492" s="47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45">
        <v>43187</v>
      </c>
      <c r="B497" s="46" t="s">
        <v>8</v>
      </c>
      <c r="C497" s="47" t="s">
        <v>521</v>
      </c>
      <c r="D497" s="49">
        <v>8700000</v>
      </c>
      <c r="E497" s="47" t="s">
        <v>63</v>
      </c>
      <c r="F497" t="s">
        <v>65</v>
      </c>
      <c r="G497" s="3">
        <v>1000</v>
      </c>
    </row>
    <row r="498" spans="1:7" x14ac:dyDescent="0.25">
      <c r="A498" s="45"/>
      <c r="B498" s="46"/>
      <c r="C498" s="47"/>
      <c r="D498" s="49"/>
      <c r="E498" s="47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45">
        <v>43187</v>
      </c>
      <c r="B502" s="46" t="s">
        <v>8</v>
      </c>
      <c r="C502" s="50" t="s">
        <v>515</v>
      </c>
      <c r="D502" s="51">
        <v>2598100</v>
      </c>
      <c r="E502" s="50" t="s">
        <v>80</v>
      </c>
      <c r="F502" t="s">
        <v>228</v>
      </c>
      <c r="G502" s="3">
        <f>4+4+4</f>
        <v>12</v>
      </c>
    </row>
    <row r="503" spans="1:7" x14ac:dyDescent="0.25">
      <c r="A503" s="45"/>
      <c r="B503" s="46"/>
      <c r="C503" s="50"/>
      <c r="D503" s="51"/>
      <c r="E503" s="50"/>
      <c r="F503" t="s">
        <v>251</v>
      </c>
      <c r="G503" s="3">
        <f>4+8+6</f>
        <v>18</v>
      </c>
    </row>
    <row r="504" spans="1:7" x14ac:dyDescent="0.25">
      <c r="A504" s="45"/>
      <c r="B504" s="46"/>
      <c r="C504" s="50"/>
      <c r="D504" s="51"/>
      <c r="E504" s="50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45">
        <v>43187</v>
      </c>
      <c r="B511" s="46" t="s">
        <v>8</v>
      </c>
      <c r="C511" s="47" t="s">
        <v>518</v>
      </c>
      <c r="D511" s="49">
        <v>2551800</v>
      </c>
      <c r="E511" s="47" t="s">
        <v>99</v>
      </c>
      <c r="F511" t="s">
        <v>509</v>
      </c>
      <c r="G511" s="3">
        <v>20</v>
      </c>
    </row>
    <row r="512" spans="1:7" x14ac:dyDescent="0.25">
      <c r="A512" s="46"/>
      <c r="B512" s="46"/>
      <c r="C512" s="47"/>
      <c r="D512" s="49"/>
      <c r="E512" s="47"/>
      <c r="F512" t="s">
        <v>468</v>
      </c>
      <c r="G512" s="3">
        <v>12</v>
      </c>
    </row>
    <row r="513" spans="1:7" x14ac:dyDescent="0.25">
      <c r="A513" s="45">
        <v>43187</v>
      </c>
      <c r="B513" s="46" t="s">
        <v>8</v>
      </c>
      <c r="C513" s="50" t="s">
        <v>516</v>
      </c>
      <c r="D513" s="51">
        <v>4370600</v>
      </c>
      <c r="E513" s="50" t="s">
        <v>44</v>
      </c>
      <c r="F513" t="s">
        <v>510</v>
      </c>
      <c r="G513" s="3">
        <v>40</v>
      </c>
    </row>
    <row r="514" spans="1:7" x14ac:dyDescent="0.25">
      <c r="A514" s="45"/>
      <c r="B514" s="46"/>
      <c r="C514" s="50"/>
      <c r="D514" s="51"/>
      <c r="E514" s="50"/>
      <c r="F514" t="s">
        <v>511</v>
      </c>
      <c r="G514" s="3">
        <v>40</v>
      </c>
    </row>
    <row r="515" spans="1:7" x14ac:dyDescent="0.25">
      <c r="A515" s="45"/>
      <c r="B515" s="46"/>
      <c r="C515" s="50"/>
      <c r="D515" s="51"/>
      <c r="E515" s="50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45">
        <v>43188</v>
      </c>
      <c r="B518" s="46" t="s">
        <v>8</v>
      </c>
      <c r="C518" s="47" t="s">
        <v>571</v>
      </c>
      <c r="D518" s="48">
        <v>820000</v>
      </c>
      <c r="E518" s="47" t="s">
        <v>46</v>
      </c>
      <c r="F518" t="s">
        <v>527</v>
      </c>
      <c r="G518" s="3">
        <v>300</v>
      </c>
    </row>
    <row r="519" spans="1:7" x14ac:dyDescent="0.25">
      <c r="A519" s="45"/>
      <c r="B519" s="46"/>
      <c r="C519" s="47"/>
      <c r="D519" s="48"/>
      <c r="E519" s="47"/>
      <c r="F519" t="s">
        <v>528</v>
      </c>
      <c r="G519" s="3">
        <v>1000</v>
      </c>
    </row>
    <row r="520" spans="1:7" x14ac:dyDescent="0.25">
      <c r="A520" s="45">
        <v>43188</v>
      </c>
      <c r="B520" s="46" t="s">
        <v>8</v>
      </c>
      <c r="C520" s="56" t="s">
        <v>568</v>
      </c>
      <c r="D520" s="48">
        <v>4909550</v>
      </c>
      <c r="E520" s="47" t="s">
        <v>116</v>
      </c>
      <c r="F520" t="s">
        <v>529</v>
      </c>
      <c r="G520" s="3">
        <v>5</v>
      </c>
    </row>
    <row r="521" spans="1:7" x14ac:dyDescent="0.25">
      <c r="A521" s="45"/>
      <c r="B521" s="46"/>
      <c r="C521" s="47"/>
      <c r="D521" s="48"/>
      <c r="E521" s="47"/>
      <c r="F521" t="s">
        <v>327</v>
      </c>
      <c r="G521" s="3">
        <v>26</v>
      </c>
    </row>
    <row r="522" spans="1:7" x14ac:dyDescent="0.25">
      <c r="A522" s="45"/>
      <c r="B522" s="46"/>
      <c r="C522" s="47"/>
      <c r="D522" s="48"/>
      <c r="E522" s="47"/>
      <c r="F522" t="s">
        <v>348</v>
      </c>
      <c r="G522" s="3">
        <v>6</v>
      </c>
    </row>
    <row r="523" spans="1:7" x14ac:dyDescent="0.25">
      <c r="A523" s="45">
        <v>43188</v>
      </c>
      <c r="B523" s="46" t="s">
        <v>8</v>
      </c>
      <c r="C523" s="56" t="s">
        <v>569</v>
      </c>
      <c r="D523" s="48">
        <v>6840000</v>
      </c>
      <c r="E523" s="47" t="s">
        <v>530</v>
      </c>
      <c r="F523" t="s">
        <v>531</v>
      </c>
      <c r="G523" s="3">
        <v>36</v>
      </c>
    </row>
    <row r="524" spans="1:7" x14ac:dyDescent="0.25">
      <c r="A524" s="45"/>
      <c r="B524" s="46"/>
      <c r="C524" s="47"/>
      <c r="D524" s="48"/>
      <c r="E524" s="47"/>
      <c r="F524" t="s">
        <v>532</v>
      </c>
      <c r="G524" s="3">
        <v>36</v>
      </c>
    </row>
    <row r="525" spans="1:7" x14ac:dyDescent="0.25">
      <c r="A525" s="45"/>
      <c r="B525" s="46"/>
      <c r="C525" s="47"/>
      <c r="D525" s="48"/>
      <c r="E525" s="47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45">
        <v>43188</v>
      </c>
      <c r="B527" s="46" t="s">
        <v>8</v>
      </c>
      <c r="C527" s="47" t="s">
        <v>565</v>
      </c>
      <c r="D527" s="48">
        <v>5287700</v>
      </c>
      <c r="E527" s="47" t="s">
        <v>536</v>
      </c>
      <c r="F527" t="s">
        <v>537</v>
      </c>
      <c r="G527" s="3">
        <f>10+19+6</f>
        <v>35</v>
      </c>
    </row>
    <row r="528" spans="1:7" x14ac:dyDescent="0.25">
      <c r="A528" s="45"/>
      <c r="B528" s="46"/>
      <c r="C528" s="47"/>
      <c r="D528" s="48"/>
      <c r="E528" s="47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45">
        <v>43188</v>
      </c>
      <c r="B531" s="46" t="s">
        <v>8</v>
      </c>
      <c r="C531" s="47" t="s">
        <v>572</v>
      </c>
      <c r="D531" s="48">
        <v>999150</v>
      </c>
      <c r="E531" s="47" t="s">
        <v>372</v>
      </c>
      <c r="F531" t="s">
        <v>465</v>
      </c>
      <c r="G531" s="3">
        <v>2</v>
      </c>
    </row>
    <row r="532" spans="1:7" x14ac:dyDescent="0.25">
      <c r="A532" s="45"/>
      <c r="B532" s="46"/>
      <c r="C532" s="47"/>
      <c r="D532" s="48"/>
      <c r="E532" s="47"/>
      <c r="F532" t="s">
        <v>541</v>
      </c>
      <c r="G532" s="3">
        <v>1</v>
      </c>
    </row>
    <row r="533" spans="1:7" x14ac:dyDescent="0.25">
      <c r="A533" s="45"/>
      <c r="B533" s="46"/>
      <c r="C533" s="47"/>
      <c r="D533" s="48"/>
      <c r="E533" s="47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45">
        <v>43188</v>
      </c>
      <c r="B536" s="46" t="s">
        <v>8</v>
      </c>
      <c r="C536" s="47" t="s">
        <v>567</v>
      </c>
      <c r="D536" s="48">
        <v>1971450</v>
      </c>
      <c r="E536" s="47" t="s">
        <v>545</v>
      </c>
      <c r="F536" t="s">
        <v>546</v>
      </c>
      <c r="G536" s="3">
        <f>9+7+4+5</f>
        <v>25</v>
      </c>
    </row>
    <row r="537" spans="1:7" x14ac:dyDescent="0.25">
      <c r="A537" s="45"/>
      <c r="B537" s="46"/>
      <c r="C537" s="47"/>
      <c r="D537" s="48"/>
      <c r="E537" s="47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45">
        <v>43188</v>
      </c>
      <c r="B540" s="46" t="s">
        <v>8</v>
      </c>
      <c r="C540" s="47" t="s">
        <v>558</v>
      </c>
      <c r="D540" s="48">
        <v>1519200</v>
      </c>
      <c r="E540" s="47" t="s">
        <v>388</v>
      </c>
      <c r="F540" t="s">
        <v>551</v>
      </c>
      <c r="G540" s="3">
        <f>3+4+1</f>
        <v>8</v>
      </c>
    </row>
    <row r="541" spans="1:7" x14ac:dyDescent="0.25">
      <c r="A541" s="45"/>
      <c r="B541" s="46"/>
      <c r="C541" s="47"/>
      <c r="D541" s="48"/>
      <c r="E541" s="47"/>
      <c r="F541" t="s">
        <v>552</v>
      </c>
      <c r="G541" s="3">
        <f>2+5+5</f>
        <v>12</v>
      </c>
    </row>
    <row r="542" spans="1:7" x14ac:dyDescent="0.25">
      <c r="A542" s="45"/>
      <c r="B542" s="46"/>
      <c r="C542" s="47"/>
      <c r="D542" s="48"/>
      <c r="E542" s="47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45">
        <v>43188</v>
      </c>
      <c r="B544" s="46" t="s">
        <v>8</v>
      </c>
      <c r="C544" s="47" t="s">
        <v>562</v>
      </c>
      <c r="D544" s="48">
        <v>1931000</v>
      </c>
      <c r="E544" s="47" t="s">
        <v>85</v>
      </c>
      <c r="F544" t="s">
        <v>277</v>
      </c>
      <c r="G544" s="3">
        <f>4+4+4</f>
        <v>12</v>
      </c>
    </row>
    <row r="545" spans="1:7" x14ac:dyDescent="0.25">
      <c r="A545" s="45"/>
      <c r="B545" s="46"/>
      <c r="C545" s="47"/>
      <c r="D545" s="48"/>
      <c r="E545" s="47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45">
        <v>43190</v>
      </c>
      <c r="B548" s="46" t="s">
        <v>6</v>
      </c>
      <c r="C548" s="47" t="s">
        <v>599</v>
      </c>
      <c r="D548" s="48">
        <v>2871300</v>
      </c>
      <c r="E548" s="47" t="s">
        <v>573</v>
      </c>
      <c r="F548" t="s">
        <v>574</v>
      </c>
      <c r="G548" s="3">
        <f>3+6+6+5+8</f>
        <v>28</v>
      </c>
    </row>
    <row r="549" spans="1:7" x14ac:dyDescent="0.25">
      <c r="A549" s="45"/>
      <c r="B549" s="46"/>
      <c r="C549" s="47"/>
      <c r="D549" s="48"/>
      <c r="E549" s="47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45">
        <v>43190</v>
      </c>
      <c r="B557" s="46" t="s">
        <v>8</v>
      </c>
      <c r="C557" s="47" t="s">
        <v>597</v>
      </c>
      <c r="D557" s="48">
        <v>3271200</v>
      </c>
      <c r="E557" s="47" t="s">
        <v>43</v>
      </c>
      <c r="F557" t="s">
        <v>9</v>
      </c>
      <c r="G557" s="3">
        <f>10+3+6+15+6</f>
        <v>40</v>
      </c>
    </row>
    <row r="558" spans="1:7" x14ac:dyDescent="0.25">
      <c r="A558" s="45"/>
      <c r="B558" s="46"/>
      <c r="C558" s="47"/>
      <c r="D558" s="48"/>
      <c r="E558" s="47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45">
        <v>43190</v>
      </c>
      <c r="B563" s="46" t="s">
        <v>8</v>
      </c>
      <c r="C563" s="47" t="s">
        <v>595</v>
      </c>
      <c r="D563" s="48">
        <v>1672000</v>
      </c>
      <c r="E563" s="47" t="s">
        <v>80</v>
      </c>
      <c r="F563" t="s">
        <v>81</v>
      </c>
      <c r="G563" s="3">
        <f>6+4+1+2+4</f>
        <v>17</v>
      </c>
    </row>
    <row r="564" spans="1:7" x14ac:dyDescent="0.25">
      <c r="A564" s="45"/>
      <c r="B564" s="46"/>
      <c r="C564" s="47"/>
      <c r="D564" s="48"/>
      <c r="E564" s="47"/>
      <c r="F564" t="s">
        <v>229</v>
      </c>
      <c r="G564" s="3">
        <v>6</v>
      </c>
    </row>
    <row r="565" spans="1:7" x14ac:dyDescent="0.25">
      <c r="A565" s="45">
        <v>43190</v>
      </c>
      <c r="B565" s="46" t="s">
        <v>8</v>
      </c>
      <c r="C565" s="47" t="s">
        <v>589</v>
      </c>
      <c r="D565" s="48">
        <v>2281500</v>
      </c>
      <c r="E565" s="47" t="s">
        <v>85</v>
      </c>
      <c r="F565" t="s">
        <v>115</v>
      </c>
      <c r="G565" s="3">
        <f>10+10</f>
        <v>20</v>
      </c>
    </row>
    <row r="566" spans="1:7" x14ac:dyDescent="0.25">
      <c r="A566" s="45"/>
      <c r="B566" s="46"/>
      <c r="C566" s="47"/>
      <c r="D566" s="48"/>
      <c r="E566" s="47"/>
      <c r="F566" t="s">
        <v>582</v>
      </c>
      <c r="G566" s="3">
        <f>1+3+2</f>
        <v>6</v>
      </c>
    </row>
    <row r="567" spans="1:7" x14ac:dyDescent="0.25">
      <c r="A567" s="45"/>
      <c r="B567" s="46"/>
      <c r="C567" s="47"/>
      <c r="D567" s="48"/>
      <c r="E567" s="47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45">
        <v>43190</v>
      </c>
      <c r="B569" s="46" t="s">
        <v>6</v>
      </c>
      <c r="C569" s="47" t="s">
        <v>600</v>
      </c>
      <c r="D569" s="48">
        <v>5178700</v>
      </c>
      <c r="E569" s="47" t="s">
        <v>99</v>
      </c>
      <c r="F569" t="s">
        <v>509</v>
      </c>
      <c r="G569" s="3">
        <v>12</v>
      </c>
    </row>
    <row r="570" spans="1:7" x14ac:dyDescent="0.25">
      <c r="A570" s="45"/>
      <c r="B570" s="46"/>
      <c r="C570" s="47"/>
      <c r="D570" s="48"/>
      <c r="E570" s="47"/>
      <c r="F570" t="s">
        <v>468</v>
      </c>
      <c r="G570" s="3">
        <v>11</v>
      </c>
    </row>
    <row r="571" spans="1:7" x14ac:dyDescent="0.25">
      <c r="A571" s="45"/>
      <c r="B571" s="46"/>
      <c r="C571" s="47"/>
      <c r="D571" s="48"/>
      <c r="E571" s="47"/>
      <c r="F571" t="s">
        <v>583</v>
      </c>
      <c r="G571" s="3">
        <f>18+16</f>
        <v>34</v>
      </c>
    </row>
  </sheetData>
  <mergeCells count="411"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200"/>
  <sheetViews>
    <sheetView workbookViewId="0">
      <pane ySplit="3" topLeftCell="A189" activePane="bottomLeft" state="frozen"/>
      <selection pane="bottomLeft" activeCell="I184" sqref="I184"/>
    </sheetView>
  </sheetViews>
  <sheetFormatPr defaultRowHeight="15" customHeight="1" x14ac:dyDescent="0.25"/>
  <cols>
    <col min="1" max="1" width="11.28515625" style="1" customWidth="1"/>
    <col min="2" max="2" width="9.140625" style="1"/>
    <col min="3" max="3" width="53.85546875" customWidth="1"/>
    <col min="4" max="4" width="13.42578125" style="8" customWidth="1"/>
    <col min="5" max="5" width="11.140625" style="24" customWidth="1"/>
    <col min="6" max="6" width="22.5703125" style="14" customWidth="1"/>
    <col min="7" max="7" width="13.42578125" style="3" customWidth="1"/>
    <col min="8" max="8" width="19.5703125" style="32" customWidth="1"/>
    <col min="9" max="9" width="9.28515625" style="3" customWidth="1"/>
  </cols>
  <sheetData>
    <row r="2" spans="1:9" ht="22.5" customHeight="1" x14ac:dyDescent="0.25">
      <c r="A2" s="62" t="s">
        <v>0</v>
      </c>
      <c r="B2" s="62" t="s">
        <v>645</v>
      </c>
      <c r="C2" s="62" t="s">
        <v>646</v>
      </c>
      <c r="D2" s="62" t="s">
        <v>647</v>
      </c>
      <c r="E2" s="62" t="s">
        <v>648</v>
      </c>
      <c r="F2" s="62" t="s">
        <v>649</v>
      </c>
      <c r="G2" s="63" t="s">
        <v>650</v>
      </c>
      <c r="H2" s="62" t="s">
        <v>2</v>
      </c>
      <c r="I2" s="62"/>
    </row>
    <row r="3" spans="1:9" s="16" customFormat="1" ht="18" customHeight="1" x14ac:dyDescent="0.25">
      <c r="A3" s="62"/>
      <c r="B3" s="62"/>
      <c r="C3" s="62"/>
      <c r="D3" s="62"/>
      <c r="E3" s="62"/>
      <c r="F3" s="62"/>
      <c r="G3" s="63"/>
      <c r="H3" s="37" t="s">
        <v>665</v>
      </c>
      <c r="I3" s="18" t="s">
        <v>4</v>
      </c>
    </row>
    <row r="4" spans="1:9" ht="15" customHeight="1" x14ac:dyDescent="0.25">
      <c r="A4" s="60">
        <v>43192</v>
      </c>
      <c r="B4" s="59">
        <v>0.66983796296296294</v>
      </c>
      <c r="C4" s="58" t="s">
        <v>601</v>
      </c>
      <c r="D4" s="58" t="s">
        <v>602</v>
      </c>
      <c r="E4" s="57">
        <v>180014401</v>
      </c>
      <c r="F4" s="58" t="s">
        <v>60</v>
      </c>
      <c r="G4" s="48">
        <v>1371500</v>
      </c>
      <c r="H4" s="32" t="s">
        <v>61</v>
      </c>
      <c r="I4" s="3">
        <f>2+2+3+2+2</f>
        <v>11</v>
      </c>
    </row>
    <row r="5" spans="1:9" ht="15" customHeight="1" x14ac:dyDescent="0.25">
      <c r="A5" s="60"/>
      <c r="B5" s="59"/>
      <c r="C5" s="58"/>
      <c r="D5" s="58"/>
      <c r="E5" s="57"/>
      <c r="F5" s="58"/>
      <c r="G5" s="48"/>
      <c r="H5" s="32" t="s">
        <v>684</v>
      </c>
      <c r="I5" s="3">
        <f>3+4+4</f>
        <v>11</v>
      </c>
    </row>
    <row r="6" spans="1:9" ht="15" customHeight="1" x14ac:dyDescent="0.25">
      <c r="A6" s="26">
        <v>43192</v>
      </c>
      <c r="B6" s="25">
        <v>0.66981481481481486</v>
      </c>
      <c r="C6" s="17" t="s">
        <v>603</v>
      </c>
      <c r="D6" s="22" t="s">
        <v>604</v>
      </c>
      <c r="E6" s="27">
        <v>180014392</v>
      </c>
      <c r="F6" s="21" t="s">
        <v>470</v>
      </c>
      <c r="G6" s="3">
        <v>2550000</v>
      </c>
      <c r="H6" s="32" t="s">
        <v>678</v>
      </c>
      <c r="I6" s="3">
        <v>34</v>
      </c>
    </row>
    <row r="7" spans="1:9" ht="15" customHeight="1" x14ac:dyDescent="0.25">
      <c r="A7" s="26">
        <v>43192</v>
      </c>
      <c r="B7" s="25">
        <v>0.66972222222222222</v>
      </c>
      <c r="C7" s="17" t="s">
        <v>605</v>
      </c>
      <c r="D7" s="22" t="s">
        <v>606</v>
      </c>
      <c r="E7" s="27" t="s">
        <v>673</v>
      </c>
      <c r="F7" s="21" t="s">
        <v>674</v>
      </c>
      <c r="G7" s="3">
        <v>600000</v>
      </c>
      <c r="H7" s="32" t="s">
        <v>675</v>
      </c>
      <c r="I7" s="3">
        <v>3000</v>
      </c>
    </row>
    <row r="8" spans="1:9" ht="15" customHeight="1" x14ac:dyDescent="0.25">
      <c r="A8" s="26">
        <v>43192</v>
      </c>
      <c r="B8" s="25">
        <v>0.66969907407407403</v>
      </c>
      <c r="C8" s="17" t="s">
        <v>607</v>
      </c>
      <c r="D8" s="22" t="s">
        <v>608</v>
      </c>
      <c r="E8" s="27">
        <v>180014397</v>
      </c>
      <c r="F8" s="21" t="s">
        <v>676</v>
      </c>
      <c r="G8" s="3">
        <v>935400</v>
      </c>
      <c r="H8" s="32" t="s">
        <v>677</v>
      </c>
      <c r="I8" s="3">
        <v>12</v>
      </c>
    </row>
    <row r="9" spans="1:9" ht="15" customHeight="1" x14ac:dyDescent="0.25">
      <c r="A9" s="26">
        <v>43192</v>
      </c>
      <c r="B9" s="25">
        <v>0.66969907407407403</v>
      </c>
      <c r="C9" s="17" t="s">
        <v>609</v>
      </c>
      <c r="D9" s="22" t="s">
        <v>610</v>
      </c>
      <c r="E9" s="27">
        <v>180014396</v>
      </c>
      <c r="F9" s="21" t="s">
        <v>201</v>
      </c>
      <c r="G9" s="3">
        <v>1274400</v>
      </c>
      <c r="H9" s="32" t="s">
        <v>202</v>
      </c>
      <c r="I9" s="3">
        <v>12</v>
      </c>
    </row>
    <row r="10" spans="1:9" ht="15" customHeight="1" x14ac:dyDescent="0.25">
      <c r="A10" s="26">
        <v>43192</v>
      </c>
      <c r="B10" s="25">
        <v>0.66969907407407403</v>
      </c>
      <c r="C10" s="17" t="s">
        <v>611</v>
      </c>
      <c r="D10" s="22" t="s">
        <v>612</v>
      </c>
      <c r="E10" s="27">
        <v>180014388</v>
      </c>
      <c r="F10" s="21" t="s">
        <v>330</v>
      </c>
      <c r="G10" s="3">
        <v>1192150</v>
      </c>
      <c r="H10" s="32" t="s">
        <v>331</v>
      </c>
      <c r="I10" s="3">
        <v>19</v>
      </c>
    </row>
    <row r="11" spans="1:9" ht="15" customHeight="1" x14ac:dyDescent="0.25">
      <c r="A11" s="26">
        <v>43192</v>
      </c>
      <c r="B11" s="25">
        <v>0.66969907407407403</v>
      </c>
      <c r="C11" s="17" t="s">
        <v>613</v>
      </c>
      <c r="D11" s="22" t="s">
        <v>614</v>
      </c>
      <c r="E11" s="27">
        <v>180014390</v>
      </c>
      <c r="F11" s="21" t="s">
        <v>85</v>
      </c>
      <c r="G11" s="3">
        <v>1101600</v>
      </c>
      <c r="H11" s="32" t="s">
        <v>681</v>
      </c>
      <c r="I11" s="3">
        <v>12</v>
      </c>
    </row>
    <row r="12" spans="1:9" ht="15" customHeight="1" x14ac:dyDescent="0.25">
      <c r="A12" s="60">
        <v>43192</v>
      </c>
      <c r="B12" s="59">
        <v>0.66969907407407403</v>
      </c>
      <c r="C12" s="58" t="s">
        <v>615</v>
      </c>
      <c r="D12" s="58" t="s">
        <v>616</v>
      </c>
      <c r="E12" s="57">
        <v>180014409</v>
      </c>
      <c r="F12" s="58" t="s">
        <v>231</v>
      </c>
      <c r="G12" s="48">
        <v>7936750</v>
      </c>
      <c r="H12" s="32" t="s">
        <v>232</v>
      </c>
      <c r="I12" s="3">
        <v>35</v>
      </c>
    </row>
    <row r="13" spans="1:9" ht="15" customHeight="1" x14ac:dyDescent="0.25">
      <c r="A13" s="60"/>
      <c r="B13" s="59"/>
      <c r="C13" s="58"/>
      <c r="D13" s="58"/>
      <c r="E13" s="57"/>
      <c r="F13" s="58"/>
      <c r="G13" s="48"/>
      <c r="H13" s="32" t="s">
        <v>71</v>
      </c>
      <c r="I13" s="3">
        <v>48</v>
      </c>
    </row>
    <row r="14" spans="1:9" ht="15" customHeight="1" x14ac:dyDescent="0.25">
      <c r="A14" s="26">
        <v>43192</v>
      </c>
      <c r="B14" s="25">
        <v>0.66969907407407403</v>
      </c>
      <c r="C14" s="17" t="s">
        <v>617</v>
      </c>
      <c r="D14" s="22" t="s">
        <v>618</v>
      </c>
      <c r="E14" s="27">
        <v>180014391</v>
      </c>
      <c r="F14" s="21" t="s">
        <v>679</v>
      </c>
      <c r="G14" s="3">
        <v>902300</v>
      </c>
      <c r="H14" s="32" t="s">
        <v>680</v>
      </c>
      <c r="I14" s="3">
        <v>14</v>
      </c>
    </row>
    <row r="15" spans="1:9" ht="15" customHeight="1" x14ac:dyDescent="0.25">
      <c r="A15" s="26">
        <v>43192</v>
      </c>
      <c r="B15" s="25">
        <v>0.66967592592592595</v>
      </c>
      <c r="C15" s="17" t="s">
        <v>619</v>
      </c>
      <c r="D15" s="22" t="s">
        <v>620</v>
      </c>
      <c r="E15" s="27">
        <v>180014410</v>
      </c>
      <c r="F15" s="21" t="s">
        <v>76</v>
      </c>
      <c r="G15" s="3">
        <v>1176000</v>
      </c>
      <c r="H15" s="32" t="s">
        <v>669</v>
      </c>
      <c r="I15" s="3">
        <v>20</v>
      </c>
    </row>
    <row r="16" spans="1:9" ht="15" customHeight="1" x14ac:dyDescent="0.25">
      <c r="A16" s="60">
        <v>43192</v>
      </c>
      <c r="B16" s="59">
        <v>0.66967592592592595</v>
      </c>
      <c r="C16" s="58" t="s">
        <v>621</v>
      </c>
      <c r="D16" s="58" t="s">
        <v>622</v>
      </c>
      <c r="E16" s="57">
        <v>180014420</v>
      </c>
      <c r="F16" s="58" t="s">
        <v>50</v>
      </c>
      <c r="G16" s="48">
        <v>19680900</v>
      </c>
      <c r="H16" s="32" t="s">
        <v>268</v>
      </c>
      <c r="I16" s="3">
        <v>16</v>
      </c>
    </row>
    <row r="17" spans="1:9" ht="15" customHeight="1" x14ac:dyDescent="0.25">
      <c r="A17" s="60"/>
      <c r="B17" s="59"/>
      <c r="C17" s="58"/>
      <c r="D17" s="58"/>
      <c r="E17" s="57"/>
      <c r="F17" s="58"/>
      <c r="G17" s="48"/>
      <c r="H17" s="32" t="s">
        <v>113</v>
      </c>
      <c r="I17" s="3">
        <v>79</v>
      </c>
    </row>
    <row r="18" spans="1:9" ht="15" customHeight="1" x14ac:dyDescent="0.25">
      <c r="A18" s="60"/>
      <c r="B18" s="59"/>
      <c r="C18" s="58"/>
      <c r="D18" s="58"/>
      <c r="E18" s="57"/>
      <c r="F18" s="58"/>
      <c r="G18" s="48"/>
      <c r="H18" s="32" t="s">
        <v>24</v>
      </c>
      <c r="I18" s="3">
        <f>23+22+22</f>
        <v>67</v>
      </c>
    </row>
    <row r="19" spans="1:9" ht="15" customHeight="1" x14ac:dyDescent="0.25">
      <c r="A19" s="60"/>
      <c r="B19" s="59"/>
      <c r="C19" s="58"/>
      <c r="D19" s="58"/>
      <c r="E19" s="57"/>
      <c r="F19" s="58"/>
      <c r="G19" s="48"/>
      <c r="H19" s="32" t="s">
        <v>32</v>
      </c>
      <c r="I19" s="3">
        <v>60</v>
      </c>
    </row>
    <row r="20" spans="1:9" ht="15" customHeight="1" x14ac:dyDescent="0.25">
      <c r="A20" s="26">
        <v>43192</v>
      </c>
      <c r="B20" s="25">
        <v>0.66967592592592595</v>
      </c>
      <c r="C20" s="17" t="s">
        <v>623</v>
      </c>
      <c r="D20" s="22" t="s">
        <v>624</v>
      </c>
      <c r="E20" s="27">
        <v>180014417</v>
      </c>
      <c r="F20" s="21" t="s">
        <v>370</v>
      </c>
      <c r="G20" s="3">
        <v>1507000</v>
      </c>
      <c r="H20" s="32" t="s">
        <v>668</v>
      </c>
      <c r="I20" s="3">
        <v>24</v>
      </c>
    </row>
    <row r="21" spans="1:9" ht="15" customHeight="1" x14ac:dyDescent="0.25">
      <c r="A21" s="26">
        <v>43192</v>
      </c>
      <c r="B21" s="25">
        <v>0.66967592592592595</v>
      </c>
      <c r="C21" s="17" t="s">
        <v>625</v>
      </c>
      <c r="D21" s="22" t="s">
        <v>626</v>
      </c>
      <c r="E21" s="27">
        <v>180014424</v>
      </c>
      <c r="F21" s="21" t="s">
        <v>93</v>
      </c>
      <c r="G21" s="3">
        <v>3023750</v>
      </c>
      <c r="H21" s="32" t="s">
        <v>682</v>
      </c>
      <c r="I21" s="3">
        <v>53</v>
      </c>
    </row>
    <row r="22" spans="1:9" ht="15" customHeight="1" x14ac:dyDescent="0.25">
      <c r="A22" s="60">
        <v>43192</v>
      </c>
      <c r="B22" s="59">
        <v>0.66967592592592595</v>
      </c>
      <c r="C22" s="58" t="s">
        <v>627</v>
      </c>
      <c r="D22" s="58" t="s">
        <v>628</v>
      </c>
      <c r="E22" s="57">
        <v>180014384</v>
      </c>
      <c r="F22" s="58" t="s">
        <v>72</v>
      </c>
      <c r="G22" s="61">
        <v>6022800</v>
      </c>
      <c r="H22" s="32" t="s">
        <v>295</v>
      </c>
      <c r="I22" s="20">
        <v>36</v>
      </c>
    </row>
    <row r="23" spans="1:9" ht="15" customHeight="1" x14ac:dyDescent="0.25">
      <c r="A23" s="60"/>
      <c r="B23" s="59"/>
      <c r="C23" s="58"/>
      <c r="D23" s="58"/>
      <c r="E23" s="57"/>
      <c r="F23" s="58"/>
      <c r="G23" s="61"/>
      <c r="H23" s="32" t="s">
        <v>73</v>
      </c>
      <c r="I23" s="20">
        <v>50</v>
      </c>
    </row>
    <row r="24" spans="1:9" ht="15" customHeight="1" x14ac:dyDescent="0.25">
      <c r="A24" s="60">
        <v>43192</v>
      </c>
      <c r="B24" s="59">
        <v>0.66967592592592595</v>
      </c>
      <c r="C24" s="58" t="s">
        <v>629</v>
      </c>
      <c r="D24" s="58" t="s">
        <v>630</v>
      </c>
      <c r="E24" s="57">
        <v>180014403</v>
      </c>
      <c r="F24" s="58" t="s">
        <v>261</v>
      </c>
      <c r="G24" s="48">
        <v>978600</v>
      </c>
      <c r="H24" s="32" t="s">
        <v>462</v>
      </c>
      <c r="I24" s="3">
        <f>6+2+1</f>
        <v>9</v>
      </c>
    </row>
    <row r="25" spans="1:9" ht="15" customHeight="1" x14ac:dyDescent="0.25">
      <c r="A25" s="60"/>
      <c r="B25" s="59"/>
      <c r="C25" s="58"/>
      <c r="D25" s="58"/>
      <c r="E25" s="57"/>
      <c r="F25" s="58"/>
      <c r="G25" s="48"/>
      <c r="H25" s="32" t="s">
        <v>262</v>
      </c>
      <c r="I25" s="3">
        <f>3+6+3</f>
        <v>12</v>
      </c>
    </row>
    <row r="26" spans="1:9" ht="15" customHeight="1" x14ac:dyDescent="0.25">
      <c r="A26" s="26">
        <v>43192</v>
      </c>
      <c r="B26" s="25">
        <v>0.66967592592592595</v>
      </c>
      <c r="C26" s="17" t="s">
        <v>631</v>
      </c>
      <c r="D26" s="22" t="s">
        <v>632</v>
      </c>
      <c r="E26" s="27">
        <v>180014419</v>
      </c>
      <c r="F26" s="21" t="s">
        <v>667</v>
      </c>
      <c r="G26" s="3">
        <v>1506300</v>
      </c>
      <c r="H26" s="32" t="s">
        <v>314</v>
      </c>
      <c r="I26" s="3">
        <v>22</v>
      </c>
    </row>
    <row r="27" spans="1:9" ht="15" customHeight="1" x14ac:dyDescent="0.25">
      <c r="A27" s="26">
        <v>43192</v>
      </c>
      <c r="B27" s="25">
        <v>0.66967592592592595</v>
      </c>
      <c r="C27" s="17" t="s">
        <v>633</v>
      </c>
      <c r="D27" s="22" t="s">
        <v>634</v>
      </c>
      <c r="E27" s="27">
        <v>180014382</v>
      </c>
      <c r="F27" s="21" t="s">
        <v>432</v>
      </c>
      <c r="G27" s="3">
        <v>662400</v>
      </c>
      <c r="H27" s="32" t="s">
        <v>670</v>
      </c>
      <c r="I27" s="3">
        <v>12</v>
      </c>
    </row>
    <row r="28" spans="1:9" ht="15" customHeight="1" x14ac:dyDescent="0.25">
      <c r="A28" s="26">
        <v>43192</v>
      </c>
      <c r="B28" s="25">
        <v>0.66967592592592595</v>
      </c>
      <c r="C28" s="17" t="s">
        <v>635</v>
      </c>
      <c r="D28" s="22" t="s">
        <v>636</v>
      </c>
      <c r="E28" s="27">
        <v>180012275</v>
      </c>
      <c r="F28" s="21" t="s">
        <v>548</v>
      </c>
      <c r="G28" s="3">
        <v>2316600</v>
      </c>
      <c r="H28" s="32" t="s">
        <v>666</v>
      </c>
      <c r="I28" s="3">
        <v>36</v>
      </c>
    </row>
    <row r="29" spans="1:9" ht="15" customHeight="1" x14ac:dyDescent="0.25">
      <c r="A29" s="26">
        <v>43192</v>
      </c>
      <c r="B29" s="25">
        <v>0.66965277777777776</v>
      </c>
      <c r="C29" s="17" t="s">
        <v>637</v>
      </c>
      <c r="D29" s="22" t="s">
        <v>638</v>
      </c>
      <c r="E29" s="27">
        <v>180014416</v>
      </c>
      <c r="F29" s="21" t="s">
        <v>424</v>
      </c>
      <c r="G29" s="3">
        <v>1198800</v>
      </c>
      <c r="H29" s="32" t="s">
        <v>683</v>
      </c>
      <c r="I29" s="3">
        <v>36</v>
      </c>
    </row>
    <row r="30" spans="1:9" ht="15" customHeight="1" x14ac:dyDescent="0.25">
      <c r="A30" s="26">
        <v>43192</v>
      </c>
      <c r="B30" s="25">
        <v>0.66965277777777776</v>
      </c>
      <c r="C30" s="17" t="s">
        <v>639</v>
      </c>
      <c r="D30" s="22" t="s">
        <v>640</v>
      </c>
      <c r="E30" s="27">
        <v>180014405</v>
      </c>
      <c r="F30" s="21" t="s">
        <v>671</v>
      </c>
      <c r="G30" s="3">
        <v>2710750</v>
      </c>
      <c r="H30" s="32" t="s">
        <v>672</v>
      </c>
      <c r="I30" s="3">
        <v>35</v>
      </c>
    </row>
    <row r="31" spans="1:9" ht="15" customHeight="1" x14ac:dyDescent="0.25">
      <c r="A31" s="26">
        <v>43192</v>
      </c>
      <c r="B31" s="25">
        <v>0.66965277777777776</v>
      </c>
      <c r="C31" s="17" t="s">
        <v>641</v>
      </c>
      <c r="D31" s="22" t="s">
        <v>642</v>
      </c>
      <c r="E31" s="27">
        <v>180014393</v>
      </c>
      <c r="F31" s="21" t="s">
        <v>196</v>
      </c>
      <c r="G31" s="3">
        <v>903000</v>
      </c>
      <c r="H31" s="32" t="s">
        <v>725</v>
      </c>
      <c r="I31" s="3">
        <v>14</v>
      </c>
    </row>
    <row r="32" spans="1:9" ht="15" customHeight="1" x14ac:dyDescent="0.25">
      <c r="A32" s="26">
        <v>43192</v>
      </c>
      <c r="B32" s="25">
        <v>0.66965277777777776</v>
      </c>
      <c r="C32" s="17" t="s">
        <v>643</v>
      </c>
      <c r="D32" s="22" t="s">
        <v>644</v>
      </c>
      <c r="E32" s="27">
        <v>180014414</v>
      </c>
      <c r="F32" s="21" t="s">
        <v>52</v>
      </c>
      <c r="G32" s="3">
        <v>458100</v>
      </c>
      <c r="H32" s="32" t="s">
        <v>35</v>
      </c>
      <c r="I32" s="3">
        <v>11</v>
      </c>
    </row>
    <row r="33" spans="1:9" ht="15" customHeight="1" x14ac:dyDescent="0.25">
      <c r="A33" s="26">
        <v>43193</v>
      </c>
      <c r="B33" s="25">
        <v>0.62304398148148155</v>
      </c>
      <c r="C33" s="19" t="s">
        <v>687</v>
      </c>
      <c r="D33" s="22" t="s">
        <v>688</v>
      </c>
      <c r="E33" s="27">
        <v>180014432</v>
      </c>
      <c r="F33" s="21" t="s">
        <v>274</v>
      </c>
      <c r="G33" s="3">
        <v>1916550</v>
      </c>
      <c r="H33" s="32" t="s">
        <v>337</v>
      </c>
      <c r="I33" s="3">
        <v>35</v>
      </c>
    </row>
    <row r="34" spans="1:9" ht="15" customHeight="1" x14ac:dyDescent="0.25">
      <c r="A34" s="60">
        <v>43193</v>
      </c>
      <c r="B34" s="59">
        <v>0.62302083333333336</v>
      </c>
      <c r="C34" s="58" t="s">
        <v>689</v>
      </c>
      <c r="D34" s="58" t="s">
        <v>690</v>
      </c>
      <c r="E34" s="57" t="s">
        <v>729</v>
      </c>
      <c r="F34" s="58" t="s">
        <v>730</v>
      </c>
      <c r="G34" s="48">
        <v>7400000</v>
      </c>
      <c r="H34" s="32" t="s">
        <v>224</v>
      </c>
      <c r="I34" s="3">
        <v>1000</v>
      </c>
    </row>
    <row r="35" spans="1:9" ht="15" customHeight="1" x14ac:dyDescent="0.25">
      <c r="A35" s="60"/>
      <c r="B35" s="59"/>
      <c r="C35" s="58"/>
      <c r="D35" s="58"/>
      <c r="E35" s="57"/>
      <c r="F35" s="58"/>
      <c r="G35" s="48"/>
      <c r="H35" s="32" t="s">
        <v>225</v>
      </c>
      <c r="I35" s="3">
        <v>500</v>
      </c>
    </row>
    <row r="36" spans="1:9" ht="15" customHeight="1" x14ac:dyDescent="0.25">
      <c r="A36" s="60">
        <v>43193</v>
      </c>
      <c r="B36" s="59">
        <v>0.6228703703703703</v>
      </c>
      <c r="C36" s="58" t="s">
        <v>691</v>
      </c>
      <c r="D36" s="58" t="s">
        <v>692</v>
      </c>
      <c r="E36" s="57">
        <v>180014429</v>
      </c>
      <c r="F36" s="58" t="s">
        <v>52</v>
      </c>
      <c r="G36" s="61">
        <v>1698400</v>
      </c>
      <c r="H36" s="32" t="s">
        <v>203</v>
      </c>
      <c r="I36" s="3">
        <f>2+5+3+5+2</f>
        <v>17</v>
      </c>
    </row>
    <row r="37" spans="1:9" ht="15" customHeight="1" x14ac:dyDescent="0.25">
      <c r="A37" s="60"/>
      <c r="B37" s="59"/>
      <c r="C37" s="58"/>
      <c r="D37" s="58"/>
      <c r="E37" s="57"/>
      <c r="F37" s="58"/>
      <c r="G37" s="61"/>
      <c r="H37" s="32" t="s">
        <v>35</v>
      </c>
      <c r="I37" s="3">
        <f>4+8+5+5</f>
        <v>22</v>
      </c>
    </row>
    <row r="38" spans="1:9" ht="15" customHeight="1" x14ac:dyDescent="0.25">
      <c r="A38" s="26">
        <v>43193</v>
      </c>
      <c r="B38" s="25">
        <v>0.62284722222222222</v>
      </c>
      <c r="C38" s="19" t="s">
        <v>693</v>
      </c>
      <c r="D38" s="22" t="s">
        <v>694</v>
      </c>
      <c r="E38" s="27">
        <v>180014427</v>
      </c>
      <c r="F38" s="21" t="s">
        <v>132</v>
      </c>
      <c r="G38" s="3">
        <v>1718400</v>
      </c>
      <c r="H38" s="32" t="s">
        <v>133</v>
      </c>
      <c r="I38" s="3">
        <v>24</v>
      </c>
    </row>
    <row r="39" spans="1:9" ht="15" customHeight="1" x14ac:dyDescent="0.25">
      <c r="A39" s="26">
        <v>43193</v>
      </c>
      <c r="B39" s="25">
        <v>0.62284722222222222</v>
      </c>
      <c r="C39" s="19" t="s">
        <v>695</v>
      </c>
      <c r="D39" s="22" t="s">
        <v>696</v>
      </c>
      <c r="E39" s="27">
        <v>180014425</v>
      </c>
      <c r="F39" s="21" t="s">
        <v>334</v>
      </c>
      <c r="G39" s="3">
        <v>949450</v>
      </c>
      <c r="H39" s="32" t="s">
        <v>417</v>
      </c>
      <c r="I39" s="3">
        <v>17</v>
      </c>
    </row>
    <row r="40" spans="1:9" ht="15" customHeight="1" x14ac:dyDescent="0.25">
      <c r="A40" s="26">
        <v>43193</v>
      </c>
      <c r="B40" s="25">
        <v>0.62284722222222222</v>
      </c>
      <c r="C40" s="19" t="s">
        <v>697</v>
      </c>
      <c r="D40" s="22" t="s">
        <v>698</v>
      </c>
      <c r="E40" s="27">
        <v>180014443</v>
      </c>
      <c r="F40" s="21" t="s">
        <v>107</v>
      </c>
      <c r="G40" s="3">
        <v>2497100</v>
      </c>
      <c r="H40" s="32" t="s">
        <v>164</v>
      </c>
      <c r="I40" s="3">
        <v>26</v>
      </c>
    </row>
    <row r="41" spans="1:9" ht="15" customHeight="1" x14ac:dyDescent="0.25">
      <c r="A41" s="26">
        <v>43193</v>
      </c>
      <c r="B41" s="25">
        <v>0.62284722222222222</v>
      </c>
      <c r="C41" s="19" t="s">
        <v>699</v>
      </c>
      <c r="D41" s="22" t="s">
        <v>700</v>
      </c>
      <c r="E41" s="27">
        <v>180014438</v>
      </c>
      <c r="F41" s="21" t="s">
        <v>99</v>
      </c>
      <c r="G41" s="3">
        <v>987600</v>
      </c>
      <c r="H41" s="32" t="s">
        <v>468</v>
      </c>
      <c r="I41" s="3">
        <v>12</v>
      </c>
    </row>
    <row r="42" spans="1:9" ht="15" customHeight="1" x14ac:dyDescent="0.25">
      <c r="A42" s="26">
        <v>43193</v>
      </c>
      <c r="B42" s="25">
        <v>0.62283564814814818</v>
      </c>
      <c r="C42" s="19" t="s">
        <v>701</v>
      </c>
      <c r="D42" s="22" t="s">
        <v>702</v>
      </c>
      <c r="E42" s="27">
        <v>180014428</v>
      </c>
      <c r="F42" s="21" t="s">
        <v>768</v>
      </c>
      <c r="G42" s="3">
        <v>2781000</v>
      </c>
      <c r="H42" s="32" t="s">
        <v>726</v>
      </c>
      <c r="I42" s="3">
        <v>36</v>
      </c>
    </row>
    <row r="43" spans="1:9" ht="15" customHeight="1" x14ac:dyDescent="0.25">
      <c r="A43" s="26">
        <v>43193</v>
      </c>
      <c r="B43" s="25">
        <v>0.62282407407407414</v>
      </c>
      <c r="C43" s="19" t="s">
        <v>703</v>
      </c>
      <c r="D43" s="22" t="s">
        <v>704</v>
      </c>
      <c r="E43" s="27">
        <v>180014446</v>
      </c>
      <c r="F43" s="21" t="s">
        <v>91</v>
      </c>
      <c r="G43" s="3">
        <v>4679850</v>
      </c>
      <c r="H43" s="32" t="s">
        <v>317</v>
      </c>
      <c r="I43" s="3">
        <v>83</v>
      </c>
    </row>
    <row r="44" spans="1:9" ht="15" customHeight="1" x14ac:dyDescent="0.25">
      <c r="A44" s="26">
        <v>43193</v>
      </c>
      <c r="B44" s="25">
        <v>0.62282407407407414</v>
      </c>
      <c r="C44" s="19" t="s">
        <v>705</v>
      </c>
      <c r="D44" s="22" t="s">
        <v>706</v>
      </c>
      <c r="E44" s="27">
        <v>180014436</v>
      </c>
      <c r="F44" s="21" t="s">
        <v>731</v>
      </c>
      <c r="G44" s="3">
        <v>887400</v>
      </c>
      <c r="H44" s="32" t="s">
        <v>732</v>
      </c>
      <c r="I44" s="3">
        <v>12</v>
      </c>
    </row>
    <row r="45" spans="1:9" ht="15" customHeight="1" x14ac:dyDescent="0.25">
      <c r="A45" s="26">
        <v>43193</v>
      </c>
      <c r="B45" s="25">
        <v>0.62282407407407414</v>
      </c>
      <c r="C45" s="19" t="s">
        <v>707</v>
      </c>
      <c r="D45" s="22" t="s">
        <v>708</v>
      </c>
      <c r="E45" s="27">
        <v>180014447</v>
      </c>
      <c r="F45" s="21" t="s">
        <v>736</v>
      </c>
      <c r="G45" s="3">
        <v>2232200</v>
      </c>
      <c r="H45" s="32" t="s">
        <v>737</v>
      </c>
      <c r="I45" s="3">
        <v>12</v>
      </c>
    </row>
    <row r="46" spans="1:9" ht="15" customHeight="1" x14ac:dyDescent="0.25">
      <c r="A46" s="26">
        <v>43193</v>
      </c>
      <c r="B46" s="25">
        <v>0.62282407407407414</v>
      </c>
      <c r="C46" s="19" t="s">
        <v>709</v>
      </c>
      <c r="D46" s="22" t="s">
        <v>710</v>
      </c>
      <c r="E46" s="27">
        <v>180014433</v>
      </c>
      <c r="F46" s="21" t="s">
        <v>231</v>
      </c>
      <c r="G46" s="3">
        <v>7859000</v>
      </c>
      <c r="H46" s="32" t="s">
        <v>232</v>
      </c>
      <c r="I46" s="3">
        <v>84</v>
      </c>
    </row>
    <row r="47" spans="1:9" ht="15" customHeight="1" x14ac:dyDescent="0.25">
      <c r="A47" s="26">
        <v>43193</v>
      </c>
      <c r="B47" s="25">
        <v>0.62282407407407414</v>
      </c>
      <c r="C47" s="19" t="s">
        <v>711</v>
      </c>
      <c r="D47" s="22" t="s">
        <v>712</v>
      </c>
      <c r="E47" s="27">
        <v>180014430</v>
      </c>
      <c r="F47" s="21" t="s">
        <v>93</v>
      </c>
      <c r="G47" s="3">
        <v>2304000</v>
      </c>
      <c r="H47" s="32" t="s">
        <v>733</v>
      </c>
      <c r="I47" s="3">
        <v>36</v>
      </c>
    </row>
    <row r="48" spans="1:9" ht="15" customHeight="1" x14ac:dyDescent="0.25">
      <c r="A48" s="60">
        <v>43193</v>
      </c>
      <c r="B48" s="59">
        <v>0.62282407407407414</v>
      </c>
      <c r="C48" s="58" t="s">
        <v>713</v>
      </c>
      <c r="D48" s="58" t="s">
        <v>714</v>
      </c>
      <c r="E48" s="57">
        <v>180014439</v>
      </c>
      <c r="F48" s="58" t="s">
        <v>175</v>
      </c>
      <c r="G48" s="48">
        <v>2367100</v>
      </c>
      <c r="H48" s="32" t="s">
        <v>391</v>
      </c>
      <c r="I48" s="3">
        <f>5+1</f>
        <v>6</v>
      </c>
    </row>
    <row r="49" spans="1:9" ht="15" customHeight="1" x14ac:dyDescent="0.25">
      <c r="A49" s="60"/>
      <c r="B49" s="59"/>
      <c r="C49" s="58"/>
      <c r="D49" s="58"/>
      <c r="E49" s="57"/>
      <c r="F49" s="58"/>
      <c r="G49" s="48"/>
      <c r="H49" s="32" t="s">
        <v>734</v>
      </c>
      <c r="I49" s="3">
        <f>6+6</f>
        <v>12</v>
      </c>
    </row>
    <row r="50" spans="1:9" ht="15" customHeight="1" x14ac:dyDescent="0.25">
      <c r="A50" s="60"/>
      <c r="B50" s="59"/>
      <c r="C50" s="58"/>
      <c r="D50" s="58"/>
      <c r="E50" s="57"/>
      <c r="F50" s="58"/>
      <c r="G50" s="48"/>
      <c r="H50" s="32" t="s">
        <v>177</v>
      </c>
      <c r="I50" s="3">
        <f>7+4+6+5+6+7</f>
        <v>35</v>
      </c>
    </row>
    <row r="51" spans="1:9" ht="15" customHeight="1" x14ac:dyDescent="0.25">
      <c r="A51" s="26">
        <v>43193</v>
      </c>
      <c r="B51" s="25">
        <v>0.62282407407407414</v>
      </c>
      <c r="C51" s="19" t="s">
        <v>715</v>
      </c>
      <c r="D51" s="22" t="s">
        <v>716</v>
      </c>
      <c r="E51" s="27">
        <v>180014437</v>
      </c>
      <c r="F51" s="21" t="s">
        <v>80</v>
      </c>
      <c r="G51" s="3">
        <v>1571400</v>
      </c>
      <c r="H51" s="32" t="s">
        <v>251</v>
      </c>
      <c r="I51" s="3">
        <v>27</v>
      </c>
    </row>
    <row r="52" spans="1:9" ht="15" customHeight="1" x14ac:dyDescent="0.25">
      <c r="A52" s="26">
        <v>43193</v>
      </c>
      <c r="B52" s="25">
        <v>0.62281249999999999</v>
      </c>
      <c r="C52" s="19" t="s">
        <v>717</v>
      </c>
      <c r="D52" s="22" t="s">
        <v>718</v>
      </c>
      <c r="E52" s="27">
        <v>180014442</v>
      </c>
      <c r="F52" s="21" t="s">
        <v>85</v>
      </c>
      <c r="G52" s="3">
        <v>959650</v>
      </c>
      <c r="H52" s="32" t="s">
        <v>735</v>
      </c>
      <c r="I52" s="3">
        <v>13</v>
      </c>
    </row>
    <row r="53" spans="1:9" ht="15" customHeight="1" x14ac:dyDescent="0.25">
      <c r="A53" s="26">
        <v>43194</v>
      </c>
      <c r="B53" s="25">
        <v>0.61173611111111115</v>
      </c>
      <c r="C53" s="19" t="s">
        <v>738</v>
      </c>
      <c r="D53" s="22" t="s">
        <v>739</v>
      </c>
      <c r="E53" s="27">
        <v>180014460</v>
      </c>
      <c r="F53" s="22" t="s">
        <v>85</v>
      </c>
      <c r="G53" s="3">
        <v>845600</v>
      </c>
      <c r="H53" s="32" t="s">
        <v>778</v>
      </c>
      <c r="I53" s="3">
        <v>12</v>
      </c>
    </row>
    <row r="54" spans="1:9" ht="15" customHeight="1" x14ac:dyDescent="0.25">
      <c r="A54" s="60">
        <v>43194</v>
      </c>
      <c r="B54" s="59">
        <v>0.61173611111111115</v>
      </c>
      <c r="C54" s="58" t="s">
        <v>740</v>
      </c>
      <c r="D54" s="58" t="s">
        <v>741</v>
      </c>
      <c r="E54" s="57">
        <v>180014470</v>
      </c>
      <c r="F54" s="58" t="s">
        <v>72</v>
      </c>
      <c r="G54" s="48">
        <v>3780350</v>
      </c>
      <c r="H54" s="32" t="s">
        <v>73</v>
      </c>
      <c r="I54" s="3">
        <v>12</v>
      </c>
    </row>
    <row r="55" spans="1:9" ht="15" customHeight="1" x14ac:dyDescent="0.25">
      <c r="A55" s="60"/>
      <c r="B55" s="59"/>
      <c r="C55" s="58"/>
      <c r="D55" s="58"/>
      <c r="E55" s="57"/>
      <c r="F55" s="58"/>
      <c r="G55" s="48"/>
      <c r="H55" s="32" t="s">
        <v>15</v>
      </c>
      <c r="I55" s="3">
        <v>53</v>
      </c>
    </row>
    <row r="56" spans="1:9" ht="15" customHeight="1" x14ac:dyDescent="0.25">
      <c r="A56" s="26">
        <v>43194</v>
      </c>
      <c r="B56" s="25">
        <v>0.61173611111111115</v>
      </c>
      <c r="C56" s="19" t="s">
        <v>742</v>
      </c>
      <c r="D56" s="22" t="s">
        <v>743</v>
      </c>
      <c r="E56" s="27" t="s">
        <v>773</v>
      </c>
      <c r="F56" s="22" t="s">
        <v>774</v>
      </c>
      <c r="G56" s="3">
        <v>700000</v>
      </c>
      <c r="H56" s="32" t="s">
        <v>775</v>
      </c>
      <c r="I56" s="3">
        <v>1000</v>
      </c>
    </row>
    <row r="57" spans="1:9" ht="15" customHeight="1" x14ac:dyDescent="0.25">
      <c r="A57" s="60">
        <v>43194</v>
      </c>
      <c r="B57" s="59">
        <v>0.61157407407407405</v>
      </c>
      <c r="C57" s="58" t="s">
        <v>744</v>
      </c>
      <c r="D57" s="58" t="s">
        <v>745</v>
      </c>
      <c r="E57" s="57">
        <v>180014454</v>
      </c>
      <c r="F57" s="58" t="s">
        <v>438</v>
      </c>
      <c r="G57" s="48">
        <v>1703800</v>
      </c>
      <c r="H57" s="32" t="s">
        <v>771</v>
      </c>
      <c r="I57" s="3">
        <f>5+5</f>
        <v>10</v>
      </c>
    </row>
    <row r="58" spans="1:9" ht="15" customHeight="1" x14ac:dyDescent="0.25">
      <c r="A58" s="60"/>
      <c r="B58" s="59"/>
      <c r="C58" s="58"/>
      <c r="D58" s="58"/>
      <c r="E58" s="57"/>
      <c r="F58" s="58"/>
      <c r="G58" s="48"/>
      <c r="H58" s="32" t="s">
        <v>772</v>
      </c>
      <c r="I58" s="3">
        <f>5+5+2</f>
        <v>12</v>
      </c>
    </row>
    <row r="59" spans="1:9" ht="15" customHeight="1" x14ac:dyDescent="0.25">
      <c r="A59" s="26">
        <v>43194</v>
      </c>
      <c r="B59" s="25">
        <v>0.61156250000000001</v>
      </c>
      <c r="C59" s="19" t="s">
        <v>746</v>
      </c>
      <c r="D59" s="22" t="s">
        <v>747</v>
      </c>
      <c r="E59" s="27">
        <v>180014449</v>
      </c>
      <c r="F59" s="22" t="s">
        <v>768</v>
      </c>
      <c r="G59" s="3">
        <v>1069900</v>
      </c>
      <c r="H59" s="32" t="s">
        <v>351</v>
      </c>
      <c r="I59" s="3">
        <v>14</v>
      </c>
    </row>
    <row r="60" spans="1:9" ht="15" customHeight="1" x14ac:dyDescent="0.25">
      <c r="A60" s="60">
        <v>43194</v>
      </c>
      <c r="B60" s="59">
        <v>0.61156250000000001</v>
      </c>
      <c r="C60" s="58" t="s">
        <v>748</v>
      </c>
      <c r="D60" s="58" t="s">
        <v>749</v>
      </c>
      <c r="E60" s="57">
        <v>180014469</v>
      </c>
      <c r="F60" s="58" t="s">
        <v>80</v>
      </c>
      <c r="G60" s="48">
        <v>2041300</v>
      </c>
      <c r="H60" s="32" t="s">
        <v>770</v>
      </c>
      <c r="I60" s="3">
        <f>4+7+4</f>
        <v>15</v>
      </c>
    </row>
    <row r="61" spans="1:9" ht="15" customHeight="1" x14ac:dyDescent="0.25">
      <c r="A61" s="60"/>
      <c r="B61" s="59"/>
      <c r="C61" s="58"/>
      <c r="D61" s="58"/>
      <c r="E61" s="57"/>
      <c r="F61" s="58"/>
      <c r="G61" s="48"/>
      <c r="H61" s="32" t="s">
        <v>81</v>
      </c>
      <c r="I61" s="3">
        <f>3+4</f>
        <v>7</v>
      </c>
    </row>
    <row r="62" spans="1:9" ht="15" customHeight="1" x14ac:dyDescent="0.25">
      <c r="A62" s="60"/>
      <c r="B62" s="59"/>
      <c r="C62" s="58"/>
      <c r="D62" s="58"/>
      <c r="E62" s="57"/>
      <c r="F62" s="58"/>
      <c r="G62" s="48"/>
      <c r="H62" s="32" t="s">
        <v>451</v>
      </c>
      <c r="I62" s="3">
        <f>6+2</f>
        <v>8</v>
      </c>
    </row>
    <row r="63" spans="1:9" ht="15" customHeight="1" x14ac:dyDescent="0.25">
      <c r="A63" s="26">
        <v>43194</v>
      </c>
      <c r="B63" s="25">
        <v>0.61156250000000001</v>
      </c>
      <c r="C63" s="19" t="s">
        <v>750</v>
      </c>
      <c r="D63" s="22" t="s">
        <v>751</v>
      </c>
      <c r="E63" s="27">
        <v>180014451</v>
      </c>
      <c r="F63" s="22" t="s">
        <v>43</v>
      </c>
      <c r="G63" s="3">
        <v>2005500</v>
      </c>
      <c r="H63" s="32" t="s">
        <v>9</v>
      </c>
      <c r="I63" s="3">
        <v>30</v>
      </c>
    </row>
    <row r="64" spans="1:9" ht="15" customHeight="1" x14ac:dyDescent="0.25">
      <c r="A64" s="60">
        <v>43194</v>
      </c>
      <c r="B64" s="59">
        <v>0.61156250000000001</v>
      </c>
      <c r="C64" s="58" t="s">
        <v>752</v>
      </c>
      <c r="D64" s="58" t="s">
        <v>753</v>
      </c>
      <c r="E64" s="57">
        <v>180014456</v>
      </c>
      <c r="F64" s="58" t="s">
        <v>545</v>
      </c>
      <c r="G64" s="48">
        <v>714450</v>
      </c>
      <c r="H64" s="32" t="s">
        <v>546</v>
      </c>
      <c r="I64" s="3">
        <f>2+3</f>
        <v>5</v>
      </c>
    </row>
    <row r="65" spans="1:9" ht="15" customHeight="1" x14ac:dyDescent="0.25">
      <c r="A65" s="60"/>
      <c r="B65" s="59"/>
      <c r="C65" s="58"/>
      <c r="D65" s="58"/>
      <c r="E65" s="57"/>
      <c r="F65" s="58"/>
      <c r="G65" s="48"/>
      <c r="H65" s="32" t="s">
        <v>547</v>
      </c>
      <c r="I65" s="3">
        <v>6</v>
      </c>
    </row>
    <row r="66" spans="1:9" ht="15" customHeight="1" x14ac:dyDescent="0.25">
      <c r="A66" s="26">
        <v>43194</v>
      </c>
      <c r="B66" s="25">
        <v>0.61156250000000001</v>
      </c>
      <c r="C66" s="19" t="s">
        <v>754</v>
      </c>
      <c r="D66" s="22" t="s">
        <v>755</v>
      </c>
      <c r="E66" s="27">
        <v>180014458</v>
      </c>
      <c r="F66" s="22" t="s">
        <v>93</v>
      </c>
      <c r="G66" s="3">
        <v>1620000</v>
      </c>
      <c r="H66" s="32" t="s">
        <v>769</v>
      </c>
      <c r="I66" s="3">
        <v>36</v>
      </c>
    </row>
    <row r="67" spans="1:9" ht="15" customHeight="1" x14ac:dyDescent="0.25">
      <c r="A67" s="26">
        <v>43195</v>
      </c>
      <c r="B67" s="25">
        <v>0.65030092592592592</v>
      </c>
      <c r="C67" s="19" t="s">
        <v>779</v>
      </c>
      <c r="D67" s="19" t="s">
        <v>780</v>
      </c>
      <c r="E67" s="27">
        <v>180014472</v>
      </c>
      <c r="F67" s="23" t="s">
        <v>158</v>
      </c>
      <c r="G67" s="3">
        <v>1411050</v>
      </c>
      <c r="H67" s="32" t="s">
        <v>242</v>
      </c>
      <c r="I67" s="3">
        <v>23</v>
      </c>
    </row>
    <row r="68" spans="1:9" ht="15" customHeight="1" x14ac:dyDescent="0.25">
      <c r="A68" s="60">
        <v>43195</v>
      </c>
      <c r="B68" s="59">
        <v>0.65030092592592592</v>
      </c>
      <c r="C68" s="58" t="s">
        <v>782</v>
      </c>
      <c r="D68" s="58" t="s">
        <v>783</v>
      </c>
      <c r="E68" s="57">
        <v>180014491</v>
      </c>
      <c r="F68" s="58" t="s">
        <v>127</v>
      </c>
      <c r="G68" s="48">
        <v>13017400</v>
      </c>
      <c r="H68" s="32" t="s">
        <v>131</v>
      </c>
      <c r="I68" s="3">
        <v>50</v>
      </c>
    </row>
    <row r="69" spans="1:9" ht="15" customHeight="1" x14ac:dyDescent="0.25">
      <c r="A69" s="60"/>
      <c r="B69" s="59"/>
      <c r="C69" s="58"/>
      <c r="D69" s="58"/>
      <c r="E69" s="57"/>
      <c r="F69" s="58"/>
      <c r="G69" s="48"/>
      <c r="H69" s="32" t="s">
        <v>239</v>
      </c>
      <c r="I69" s="3">
        <v>25</v>
      </c>
    </row>
    <row r="70" spans="1:9" ht="15" customHeight="1" x14ac:dyDescent="0.25">
      <c r="A70" s="60"/>
      <c r="B70" s="59"/>
      <c r="C70" s="58"/>
      <c r="D70" s="58"/>
      <c r="E70" s="57"/>
      <c r="F70" s="58"/>
      <c r="G70" s="48"/>
      <c r="H70" s="32" t="s">
        <v>342</v>
      </c>
      <c r="I70" s="3">
        <v>15</v>
      </c>
    </row>
    <row r="71" spans="1:9" ht="15" customHeight="1" x14ac:dyDescent="0.25">
      <c r="A71" s="60"/>
      <c r="B71" s="59"/>
      <c r="C71" s="58"/>
      <c r="D71" s="58"/>
      <c r="E71" s="57"/>
      <c r="F71" s="58"/>
      <c r="G71" s="48"/>
      <c r="H71" s="32" t="s">
        <v>130</v>
      </c>
      <c r="I71" s="3">
        <v>20</v>
      </c>
    </row>
    <row r="72" spans="1:9" ht="15" customHeight="1" x14ac:dyDescent="0.25">
      <c r="A72" s="60"/>
      <c r="B72" s="59"/>
      <c r="C72" s="58"/>
      <c r="D72" s="58"/>
      <c r="E72" s="57"/>
      <c r="F72" s="58"/>
      <c r="G72" s="48"/>
      <c r="H72" s="32" t="s">
        <v>129</v>
      </c>
      <c r="I72" s="3">
        <v>25</v>
      </c>
    </row>
    <row r="73" spans="1:9" ht="15" customHeight="1" x14ac:dyDescent="0.25">
      <c r="A73" s="60"/>
      <c r="B73" s="59"/>
      <c r="C73" s="58"/>
      <c r="D73" s="58"/>
      <c r="E73" s="57"/>
      <c r="F73" s="58"/>
      <c r="G73" s="48"/>
      <c r="H73" s="32" t="s">
        <v>853</v>
      </c>
      <c r="I73" s="3">
        <v>30</v>
      </c>
    </row>
    <row r="74" spans="1:9" ht="15" customHeight="1" x14ac:dyDescent="0.25">
      <c r="A74" s="60"/>
      <c r="B74" s="59"/>
      <c r="C74" s="58"/>
      <c r="D74" s="58"/>
      <c r="E74" s="57"/>
      <c r="F74" s="58"/>
      <c r="G74" s="48"/>
      <c r="H74" s="32" t="s">
        <v>854</v>
      </c>
      <c r="I74" s="3">
        <v>25</v>
      </c>
    </row>
    <row r="75" spans="1:9" ht="15" customHeight="1" x14ac:dyDescent="0.25">
      <c r="A75" s="60"/>
      <c r="B75" s="59"/>
      <c r="C75" s="58"/>
      <c r="D75" s="58"/>
      <c r="E75" s="57"/>
      <c r="F75" s="58"/>
      <c r="G75" s="48"/>
      <c r="H75" s="32" t="s">
        <v>855</v>
      </c>
      <c r="I75" s="3">
        <v>24</v>
      </c>
    </row>
    <row r="76" spans="1:9" ht="15" customHeight="1" x14ac:dyDescent="0.25">
      <c r="A76" s="60"/>
      <c r="B76" s="59"/>
      <c r="C76" s="58"/>
      <c r="D76" s="58"/>
      <c r="E76" s="57"/>
      <c r="F76" s="58"/>
      <c r="G76" s="48"/>
      <c r="H76" s="32" t="s">
        <v>464</v>
      </c>
      <c r="I76" s="3">
        <v>14</v>
      </c>
    </row>
    <row r="77" spans="1:9" ht="15" customHeight="1" x14ac:dyDescent="0.25">
      <c r="A77" s="26">
        <v>43195</v>
      </c>
      <c r="B77" s="25">
        <v>0.65030092592592592</v>
      </c>
      <c r="C77" s="19" t="s">
        <v>784</v>
      </c>
      <c r="D77" s="19" t="s">
        <v>785</v>
      </c>
      <c r="E77" s="27">
        <v>180014473</v>
      </c>
      <c r="F77" s="23" t="s">
        <v>85</v>
      </c>
      <c r="G77" s="3">
        <v>2232300</v>
      </c>
      <c r="H77" s="32" t="s">
        <v>833</v>
      </c>
      <c r="I77" s="3">
        <v>28</v>
      </c>
    </row>
    <row r="78" spans="1:9" ht="15" customHeight="1" x14ac:dyDescent="0.25">
      <c r="A78" s="26">
        <v>43195</v>
      </c>
      <c r="B78" s="25">
        <v>0.65027777777777784</v>
      </c>
      <c r="C78" s="19" t="s">
        <v>786</v>
      </c>
      <c r="D78" s="19" t="s">
        <v>787</v>
      </c>
      <c r="E78" s="27">
        <v>180014490</v>
      </c>
      <c r="F78" s="23" t="s">
        <v>393</v>
      </c>
      <c r="G78" s="3">
        <v>457600</v>
      </c>
      <c r="H78" s="32" t="s">
        <v>394</v>
      </c>
      <c r="I78" s="3">
        <v>8</v>
      </c>
    </row>
    <row r="79" spans="1:9" ht="15" customHeight="1" x14ac:dyDescent="0.25">
      <c r="A79" s="26">
        <v>43195</v>
      </c>
      <c r="B79" s="25">
        <v>0.65027777777777784</v>
      </c>
      <c r="C79" s="19" t="s">
        <v>788</v>
      </c>
      <c r="D79" s="19" t="s">
        <v>789</v>
      </c>
      <c r="E79" s="27">
        <v>180014485</v>
      </c>
      <c r="F79" s="23" t="s">
        <v>372</v>
      </c>
      <c r="G79" s="3">
        <v>1123700</v>
      </c>
      <c r="H79" s="32" t="s">
        <v>848</v>
      </c>
      <c r="I79" s="3">
        <v>18</v>
      </c>
    </row>
    <row r="80" spans="1:9" ht="15" customHeight="1" x14ac:dyDescent="0.25">
      <c r="A80" s="60">
        <v>43195</v>
      </c>
      <c r="B80" s="59">
        <v>0.65027777777777784</v>
      </c>
      <c r="C80" s="58" t="s">
        <v>744</v>
      </c>
      <c r="D80" s="58" t="s">
        <v>790</v>
      </c>
      <c r="E80" s="57">
        <v>180014479</v>
      </c>
      <c r="F80" s="58" t="s">
        <v>438</v>
      </c>
      <c r="G80" s="48">
        <v>1322600</v>
      </c>
      <c r="H80" s="32" t="s">
        <v>771</v>
      </c>
      <c r="I80" s="3">
        <v>5</v>
      </c>
    </row>
    <row r="81" spans="1:9" ht="15" customHeight="1" x14ac:dyDescent="0.25">
      <c r="A81" s="60"/>
      <c r="B81" s="59"/>
      <c r="C81" s="58"/>
      <c r="D81" s="58"/>
      <c r="E81" s="57"/>
      <c r="F81" s="58"/>
      <c r="G81" s="48"/>
      <c r="H81" s="32" t="s">
        <v>439</v>
      </c>
      <c r="I81" s="3">
        <v>12</v>
      </c>
    </row>
    <row r="82" spans="1:9" ht="15" customHeight="1" x14ac:dyDescent="0.25">
      <c r="A82" s="60">
        <v>43195</v>
      </c>
      <c r="B82" s="59">
        <v>0.65027777777777784</v>
      </c>
      <c r="C82" s="58" t="s">
        <v>791</v>
      </c>
      <c r="D82" s="58" t="s">
        <v>792</v>
      </c>
      <c r="E82" s="57">
        <v>180014505</v>
      </c>
      <c r="F82" s="58" t="s">
        <v>50</v>
      </c>
      <c r="G82" s="48">
        <v>22596900</v>
      </c>
      <c r="H82" s="32" t="s">
        <v>112</v>
      </c>
      <c r="I82" s="3">
        <v>16</v>
      </c>
    </row>
    <row r="83" spans="1:9" ht="15" customHeight="1" x14ac:dyDescent="0.25">
      <c r="A83" s="60"/>
      <c r="B83" s="59"/>
      <c r="C83" s="58"/>
      <c r="D83" s="58"/>
      <c r="E83" s="57"/>
      <c r="F83" s="58"/>
      <c r="G83" s="48"/>
      <c r="H83" s="32" t="s">
        <v>22</v>
      </c>
      <c r="I83" s="3">
        <f>26+17</f>
        <v>43</v>
      </c>
    </row>
    <row r="84" spans="1:9" ht="15" customHeight="1" x14ac:dyDescent="0.25">
      <c r="A84" s="60"/>
      <c r="B84" s="59"/>
      <c r="C84" s="58"/>
      <c r="D84" s="58"/>
      <c r="E84" s="57"/>
      <c r="F84" s="58"/>
      <c r="G84" s="48"/>
      <c r="H84" s="32" t="s">
        <v>476</v>
      </c>
      <c r="I84" s="3">
        <f>25+16</f>
        <v>41</v>
      </c>
    </row>
    <row r="85" spans="1:9" ht="15" customHeight="1" x14ac:dyDescent="0.25">
      <c r="A85" s="60"/>
      <c r="B85" s="59"/>
      <c r="C85" s="58"/>
      <c r="D85" s="58"/>
      <c r="E85" s="57"/>
      <c r="F85" s="58"/>
      <c r="G85" s="48"/>
      <c r="H85" s="32" t="s">
        <v>835</v>
      </c>
      <c r="I85" s="3">
        <f>12</f>
        <v>12</v>
      </c>
    </row>
    <row r="86" spans="1:9" ht="15" customHeight="1" x14ac:dyDescent="0.25">
      <c r="A86" s="60"/>
      <c r="B86" s="59"/>
      <c r="C86" s="58"/>
      <c r="D86" s="58"/>
      <c r="E86" s="57"/>
      <c r="F86" s="58"/>
      <c r="G86" s="48"/>
      <c r="H86" s="32" t="s">
        <v>409</v>
      </c>
      <c r="I86" s="3">
        <v>26</v>
      </c>
    </row>
    <row r="87" spans="1:9" ht="15" customHeight="1" x14ac:dyDescent="0.25">
      <c r="A87" s="60"/>
      <c r="B87" s="59"/>
      <c r="C87" s="58"/>
      <c r="D87" s="58"/>
      <c r="E87" s="57"/>
      <c r="F87" s="58"/>
      <c r="G87" s="48"/>
      <c r="H87" s="32" t="s">
        <v>836</v>
      </c>
      <c r="I87" s="3">
        <f>4+6</f>
        <v>10</v>
      </c>
    </row>
    <row r="88" spans="1:9" ht="15" customHeight="1" x14ac:dyDescent="0.25">
      <c r="A88" s="60"/>
      <c r="B88" s="59"/>
      <c r="C88" s="58"/>
      <c r="D88" s="58"/>
      <c r="E88" s="57"/>
      <c r="F88" s="58"/>
      <c r="G88" s="48"/>
      <c r="H88" s="32" t="s">
        <v>837</v>
      </c>
      <c r="I88" s="3">
        <f>2+6+5</f>
        <v>13</v>
      </c>
    </row>
    <row r="89" spans="1:9" ht="15" customHeight="1" x14ac:dyDescent="0.25">
      <c r="A89" s="60"/>
      <c r="B89" s="59"/>
      <c r="C89" s="58"/>
      <c r="D89" s="58"/>
      <c r="E89" s="57"/>
      <c r="F89" s="58"/>
      <c r="G89" s="48"/>
      <c r="H89" s="32" t="s">
        <v>838</v>
      </c>
      <c r="I89" s="3">
        <f>5+13</f>
        <v>18</v>
      </c>
    </row>
    <row r="90" spans="1:9" ht="15" customHeight="1" x14ac:dyDescent="0.25">
      <c r="A90" s="60"/>
      <c r="B90" s="59"/>
      <c r="C90" s="58"/>
      <c r="D90" s="58"/>
      <c r="E90" s="57"/>
      <c r="F90" s="58"/>
      <c r="G90" s="48"/>
      <c r="H90" s="32" t="s">
        <v>114</v>
      </c>
      <c r="I90" s="3">
        <v>13</v>
      </c>
    </row>
    <row r="91" spans="1:9" ht="15" customHeight="1" x14ac:dyDescent="0.25">
      <c r="A91" s="60"/>
      <c r="B91" s="59"/>
      <c r="C91" s="58"/>
      <c r="D91" s="58"/>
      <c r="E91" s="57"/>
      <c r="F91" s="58"/>
      <c r="G91" s="48"/>
      <c r="H91" s="32" t="s">
        <v>839</v>
      </c>
      <c r="I91" s="3">
        <v>16</v>
      </c>
    </row>
    <row r="92" spans="1:9" ht="15" customHeight="1" x14ac:dyDescent="0.25">
      <c r="A92" s="60"/>
      <c r="B92" s="59"/>
      <c r="C92" s="58"/>
      <c r="D92" s="58"/>
      <c r="E92" s="57"/>
      <c r="F92" s="58"/>
      <c r="G92" s="48"/>
      <c r="H92" s="32" t="s">
        <v>840</v>
      </c>
      <c r="I92" s="3">
        <v>24</v>
      </c>
    </row>
    <row r="93" spans="1:9" ht="15" customHeight="1" x14ac:dyDescent="0.25">
      <c r="A93" s="60"/>
      <c r="B93" s="59"/>
      <c r="C93" s="58"/>
      <c r="D93" s="58"/>
      <c r="E93" s="57"/>
      <c r="F93" s="58"/>
      <c r="G93" s="48"/>
      <c r="H93" s="32" t="s">
        <v>841</v>
      </c>
      <c r="I93" s="3">
        <f>23+18</f>
        <v>41</v>
      </c>
    </row>
    <row r="94" spans="1:9" ht="15" customHeight="1" x14ac:dyDescent="0.25">
      <c r="A94" s="60"/>
      <c r="B94" s="59"/>
      <c r="C94" s="58"/>
      <c r="D94" s="58"/>
      <c r="E94" s="57"/>
      <c r="F94" s="58"/>
      <c r="G94" s="48"/>
      <c r="H94" s="32" t="s">
        <v>31</v>
      </c>
      <c r="I94" s="3">
        <f>11+18</f>
        <v>29</v>
      </c>
    </row>
    <row r="95" spans="1:9" ht="15" customHeight="1" x14ac:dyDescent="0.25">
      <c r="A95" s="60">
        <v>43195</v>
      </c>
      <c r="B95" s="59">
        <v>0.65027777777777784</v>
      </c>
      <c r="C95" s="58" t="s">
        <v>793</v>
      </c>
      <c r="D95" s="58" t="s">
        <v>794</v>
      </c>
      <c r="E95" s="57">
        <v>180014492</v>
      </c>
      <c r="F95" s="58" t="s">
        <v>56</v>
      </c>
      <c r="G95" s="48">
        <v>5186650</v>
      </c>
      <c r="H95" s="32" t="s">
        <v>349</v>
      </c>
      <c r="I95" s="3">
        <f>5+7</f>
        <v>12</v>
      </c>
    </row>
    <row r="96" spans="1:9" ht="15" customHeight="1" x14ac:dyDescent="0.25">
      <c r="A96" s="60"/>
      <c r="B96" s="59"/>
      <c r="C96" s="58"/>
      <c r="D96" s="58"/>
      <c r="E96" s="57"/>
      <c r="F96" s="58"/>
      <c r="G96" s="48"/>
      <c r="H96" s="32" t="s">
        <v>39</v>
      </c>
      <c r="I96" s="3">
        <f>15+13+13</f>
        <v>41</v>
      </c>
    </row>
    <row r="97" spans="1:9" ht="15" customHeight="1" x14ac:dyDescent="0.25">
      <c r="A97" s="60"/>
      <c r="B97" s="59"/>
      <c r="C97" s="58"/>
      <c r="D97" s="58"/>
      <c r="E97" s="57"/>
      <c r="F97" s="58"/>
      <c r="G97" s="48"/>
      <c r="H97" s="32" t="s">
        <v>485</v>
      </c>
      <c r="I97" s="3">
        <f>5+6+3</f>
        <v>14</v>
      </c>
    </row>
    <row r="98" spans="1:9" ht="15" customHeight="1" x14ac:dyDescent="0.25">
      <c r="A98" s="26">
        <v>43195</v>
      </c>
      <c r="B98" s="25">
        <v>0.65027777777777784</v>
      </c>
      <c r="C98" s="19" t="s">
        <v>795</v>
      </c>
      <c r="D98" s="19" t="s">
        <v>796</v>
      </c>
      <c r="E98" s="27">
        <v>180014475</v>
      </c>
      <c r="F98" s="23" t="s">
        <v>87</v>
      </c>
      <c r="G98" s="3">
        <v>1506550</v>
      </c>
      <c r="H98" s="32" t="s">
        <v>88</v>
      </c>
      <c r="I98" s="3">
        <v>29</v>
      </c>
    </row>
    <row r="99" spans="1:9" ht="15" customHeight="1" x14ac:dyDescent="0.25">
      <c r="A99" s="26">
        <v>43195</v>
      </c>
      <c r="B99" s="25">
        <v>0.65027777777777784</v>
      </c>
      <c r="C99" s="19" t="s">
        <v>797</v>
      </c>
      <c r="D99" s="19" t="s">
        <v>798</v>
      </c>
      <c r="E99" s="27">
        <v>180014501</v>
      </c>
      <c r="F99" s="23" t="s">
        <v>852</v>
      </c>
      <c r="G99" s="3">
        <v>1244200</v>
      </c>
      <c r="H99" s="32" t="s">
        <v>190</v>
      </c>
      <c r="I99" s="3">
        <v>28</v>
      </c>
    </row>
    <row r="100" spans="1:9" ht="15" customHeight="1" x14ac:dyDescent="0.25">
      <c r="A100" s="60">
        <v>43195</v>
      </c>
      <c r="B100" s="59">
        <v>0.65027777777777784</v>
      </c>
      <c r="C100" s="58" t="s">
        <v>799</v>
      </c>
      <c r="D100" s="58" t="s">
        <v>800</v>
      </c>
      <c r="E100" s="57">
        <v>180014493</v>
      </c>
      <c r="F100" s="58" t="s">
        <v>91</v>
      </c>
      <c r="G100" s="48">
        <v>7733950</v>
      </c>
      <c r="H100" s="32" t="s">
        <v>317</v>
      </c>
      <c r="I100" s="3">
        <v>11</v>
      </c>
    </row>
    <row r="101" spans="1:9" ht="15" customHeight="1" x14ac:dyDescent="0.25">
      <c r="A101" s="60"/>
      <c r="B101" s="59"/>
      <c r="C101" s="58"/>
      <c r="D101" s="58"/>
      <c r="E101" s="57"/>
      <c r="F101" s="58"/>
      <c r="G101" s="48"/>
      <c r="H101" s="32" t="s">
        <v>845</v>
      </c>
      <c r="I101" s="3">
        <v>36</v>
      </c>
    </row>
    <row r="102" spans="1:9" ht="15" customHeight="1" x14ac:dyDescent="0.25">
      <c r="A102" s="60"/>
      <c r="B102" s="59"/>
      <c r="C102" s="58"/>
      <c r="D102" s="58"/>
      <c r="E102" s="57"/>
      <c r="F102" s="58"/>
      <c r="G102" s="48"/>
      <c r="H102" s="32" t="s">
        <v>473</v>
      </c>
      <c r="I102" s="3">
        <v>36</v>
      </c>
    </row>
    <row r="103" spans="1:9" ht="15" customHeight="1" x14ac:dyDescent="0.25">
      <c r="A103" s="60"/>
      <c r="B103" s="59"/>
      <c r="C103" s="58"/>
      <c r="D103" s="58"/>
      <c r="E103" s="57"/>
      <c r="F103" s="58"/>
      <c r="G103" s="48"/>
      <c r="H103" s="32" t="s">
        <v>227</v>
      </c>
      <c r="I103" s="3">
        <v>34</v>
      </c>
    </row>
    <row r="104" spans="1:9" ht="15" customHeight="1" x14ac:dyDescent="0.25">
      <c r="A104" s="60">
        <v>43195</v>
      </c>
      <c r="B104" s="59">
        <v>0.65027777777777784</v>
      </c>
      <c r="C104" s="58" t="s">
        <v>740</v>
      </c>
      <c r="D104" s="58" t="s">
        <v>801</v>
      </c>
      <c r="E104" s="57">
        <v>180014494</v>
      </c>
      <c r="F104" s="58" t="s">
        <v>72</v>
      </c>
      <c r="G104" s="48">
        <v>5011950</v>
      </c>
      <c r="H104" s="32" t="s">
        <v>831</v>
      </c>
      <c r="I104" s="3">
        <v>36</v>
      </c>
    </row>
    <row r="105" spans="1:9" ht="15" customHeight="1" x14ac:dyDescent="0.25">
      <c r="A105" s="60"/>
      <c r="B105" s="59"/>
      <c r="C105" s="58"/>
      <c r="D105" s="58"/>
      <c r="E105" s="57"/>
      <c r="F105" s="58"/>
      <c r="G105" s="48"/>
      <c r="H105" s="32" t="s">
        <v>832</v>
      </c>
      <c r="I105" s="3">
        <v>39</v>
      </c>
    </row>
    <row r="106" spans="1:9" ht="15" customHeight="1" x14ac:dyDescent="0.25">
      <c r="A106" s="26">
        <v>43195</v>
      </c>
      <c r="B106" s="25">
        <v>0.65027777777777784</v>
      </c>
      <c r="C106" s="19" t="s">
        <v>802</v>
      </c>
      <c r="D106" s="19" t="s">
        <v>803</v>
      </c>
      <c r="E106" s="27">
        <v>180014476</v>
      </c>
      <c r="F106" s="23" t="s">
        <v>334</v>
      </c>
      <c r="G106" s="3">
        <v>1137300</v>
      </c>
      <c r="H106" s="32" t="s">
        <v>335</v>
      </c>
      <c r="I106" s="3">
        <v>18</v>
      </c>
    </row>
    <row r="107" spans="1:9" ht="15" customHeight="1" x14ac:dyDescent="0.25">
      <c r="A107" s="26">
        <v>43195</v>
      </c>
      <c r="B107" s="25">
        <v>0.65025462962962965</v>
      </c>
      <c r="C107" s="19" t="s">
        <v>804</v>
      </c>
      <c r="D107" s="19" t="s">
        <v>805</v>
      </c>
      <c r="E107" s="27">
        <v>180014504</v>
      </c>
      <c r="F107" s="23" t="s">
        <v>736</v>
      </c>
      <c r="G107" s="3">
        <v>2077050</v>
      </c>
      <c r="H107" s="32" t="s">
        <v>851</v>
      </c>
      <c r="I107" s="3">
        <v>11</v>
      </c>
    </row>
    <row r="108" spans="1:9" ht="15" customHeight="1" x14ac:dyDescent="0.25">
      <c r="A108" s="26">
        <v>43195</v>
      </c>
      <c r="B108" s="25">
        <v>0.65025462962962965</v>
      </c>
      <c r="C108" s="19" t="s">
        <v>806</v>
      </c>
      <c r="D108" s="19" t="s">
        <v>807</v>
      </c>
      <c r="E108" s="27">
        <v>180014503</v>
      </c>
      <c r="F108" s="23" t="s">
        <v>107</v>
      </c>
      <c r="G108" s="3">
        <v>1571350</v>
      </c>
      <c r="H108" s="32" t="s">
        <v>165</v>
      </c>
      <c r="I108" s="3">
        <v>17</v>
      </c>
    </row>
    <row r="109" spans="1:9" ht="15" customHeight="1" x14ac:dyDescent="0.25">
      <c r="A109" s="26">
        <v>43196</v>
      </c>
      <c r="B109" s="25">
        <v>0.71589120370370374</v>
      </c>
      <c r="C109" s="19" t="s">
        <v>784</v>
      </c>
      <c r="D109" s="19" t="s">
        <v>856</v>
      </c>
      <c r="E109" s="27">
        <v>180014524</v>
      </c>
      <c r="F109" s="19" t="s">
        <v>85</v>
      </c>
      <c r="G109" s="3">
        <v>2908800</v>
      </c>
      <c r="H109" s="32" t="s">
        <v>437</v>
      </c>
      <c r="I109" s="3">
        <v>56</v>
      </c>
    </row>
    <row r="110" spans="1:9" ht="15" customHeight="1" x14ac:dyDescent="0.25">
      <c r="A110" s="60">
        <v>43196</v>
      </c>
      <c r="B110" s="59">
        <v>0.71589120370370374</v>
      </c>
      <c r="C110" s="58" t="s">
        <v>857</v>
      </c>
      <c r="D110" s="58" t="s">
        <v>858</v>
      </c>
      <c r="E110" s="57">
        <v>180014541</v>
      </c>
      <c r="F110" s="58" t="s">
        <v>905</v>
      </c>
      <c r="G110" s="48">
        <v>4593900</v>
      </c>
      <c r="H110" s="32" t="s">
        <v>906</v>
      </c>
      <c r="I110" s="3">
        <f>2+5+6</f>
        <v>13</v>
      </c>
    </row>
    <row r="111" spans="1:9" ht="15" customHeight="1" x14ac:dyDescent="0.25">
      <c r="A111" s="60"/>
      <c r="B111" s="59"/>
      <c r="C111" s="58"/>
      <c r="D111" s="58"/>
      <c r="E111" s="57"/>
      <c r="F111" s="58"/>
      <c r="G111" s="48"/>
      <c r="H111" s="32" t="s">
        <v>907</v>
      </c>
      <c r="I111" s="3">
        <f>12+14+14</f>
        <v>40</v>
      </c>
    </row>
    <row r="112" spans="1:9" ht="15" customHeight="1" x14ac:dyDescent="0.25">
      <c r="A112" s="26">
        <v>43196</v>
      </c>
      <c r="B112" s="25">
        <v>0.71589120370370374</v>
      </c>
      <c r="C112" s="19" t="s">
        <v>859</v>
      </c>
      <c r="D112" s="19" t="s">
        <v>860</v>
      </c>
      <c r="E112" s="27">
        <v>180014537</v>
      </c>
      <c r="F112" s="19" t="s">
        <v>208</v>
      </c>
      <c r="G112" s="3">
        <v>711700</v>
      </c>
      <c r="H112" s="32" t="s">
        <v>209</v>
      </c>
      <c r="I112" s="3">
        <v>19</v>
      </c>
    </row>
    <row r="113" spans="1:9" ht="15" customHeight="1" x14ac:dyDescent="0.25">
      <c r="A113" s="60">
        <v>43196</v>
      </c>
      <c r="B113" s="59">
        <v>0.71589120370370374</v>
      </c>
      <c r="C113" s="58" t="s">
        <v>742</v>
      </c>
      <c r="D113" s="58" t="s">
        <v>861</v>
      </c>
      <c r="E113" s="57" t="s">
        <v>902</v>
      </c>
      <c r="F113" s="58" t="s">
        <v>774</v>
      </c>
      <c r="G113" s="61">
        <v>7995000</v>
      </c>
      <c r="H113" s="32" t="s">
        <v>903</v>
      </c>
      <c r="I113" s="3">
        <v>1450</v>
      </c>
    </row>
    <row r="114" spans="1:9" ht="15" customHeight="1" x14ac:dyDescent="0.25">
      <c r="A114" s="60"/>
      <c r="B114" s="59"/>
      <c r="C114" s="58"/>
      <c r="D114" s="58"/>
      <c r="E114" s="57"/>
      <c r="F114" s="58"/>
      <c r="G114" s="61"/>
      <c r="H114" s="32" t="s">
        <v>904</v>
      </c>
      <c r="I114" s="3">
        <v>1450</v>
      </c>
    </row>
    <row r="115" spans="1:9" ht="15" customHeight="1" x14ac:dyDescent="0.25">
      <c r="A115" s="60"/>
      <c r="B115" s="59"/>
      <c r="C115" s="58"/>
      <c r="D115" s="58"/>
      <c r="E115" s="57"/>
      <c r="F115" s="58"/>
      <c r="G115" s="61"/>
      <c r="H115" s="32" t="s">
        <v>775</v>
      </c>
      <c r="I115" s="3">
        <v>5000</v>
      </c>
    </row>
    <row r="116" spans="1:9" ht="15" customHeight="1" x14ac:dyDescent="0.25">
      <c r="A116" s="26">
        <v>43196</v>
      </c>
      <c r="B116" s="25">
        <v>0.71589120370370374</v>
      </c>
      <c r="C116" s="19" t="s">
        <v>862</v>
      </c>
      <c r="D116" s="19" t="s">
        <v>863</v>
      </c>
      <c r="E116" s="27">
        <v>180014528</v>
      </c>
      <c r="F116" s="19" t="s">
        <v>99</v>
      </c>
      <c r="G116" s="3">
        <v>2415600</v>
      </c>
      <c r="H116" s="32" t="s">
        <v>419</v>
      </c>
      <c r="I116" s="3">
        <v>36</v>
      </c>
    </row>
    <row r="117" spans="1:9" ht="15" customHeight="1" x14ac:dyDescent="0.25">
      <c r="A117" s="26">
        <v>43196</v>
      </c>
      <c r="B117" s="25">
        <v>0.71589120370370374</v>
      </c>
      <c r="C117" s="19" t="s">
        <v>864</v>
      </c>
      <c r="D117" s="19" t="s">
        <v>865</v>
      </c>
      <c r="E117" s="27">
        <v>180014531</v>
      </c>
      <c r="F117" s="19" t="s">
        <v>48</v>
      </c>
      <c r="G117" s="3">
        <v>837800</v>
      </c>
      <c r="H117" s="32" t="s">
        <v>916</v>
      </c>
      <c r="I117" s="3">
        <v>16</v>
      </c>
    </row>
    <row r="118" spans="1:9" ht="15" customHeight="1" x14ac:dyDescent="0.25">
      <c r="A118" s="60">
        <v>43196</v>
      </c>
      <c r="B118" s="59">
        <v>0.71589120370370374</v>
      </c>
      <c r="C118" s="58" t="s">
        <v>866</v>
      </c>
      <c r="D118" s="58" t="s">
        <v>867</v>
      </c>
      <c r="E118" s="57">
        <v>180014538</v>
      </c>
      <c r="F118" s="58" t="s">
        <v>44</v>
      </c>
      <c r="G118" s="48">
        <v>10269300</v>
      </c>
      <c r="H118" s="32" t="s">
        <v>921</v>
      </c>
      <c r="I118" s="3">
        <v>40</v>
      </c>
    </row>
    <row r="119" spans="1:9" ht="15" customHeight="1" x14ac:dyDescent="0.25">
      <c r="A119" s="60"/>
      <c r="B119" s="59"/>
      <c r="C119" s="58"/>
      <c r="D119" s="58"/>
      <c r="E119" s="57"/>
      <c r="F119" s="58"/>
      <c r="G119" s="48"/>
      <c r="H119" s="32" t="s">
        <v>922</v>
      </c>
      <c r="I119" s="3">
        <v>38</v>
      </c>
    </row>
    <row r="120" spans="1:9" ht="15" customHeight="1" x14ac:dyDescent="0.25">
      <c r="A120" s="60"/>
      <c r="B120" s="59"/>
      <c r="C120" s="58"/>
      <c r="D120" s="58"/>
      <c r="E120" s="57"/>
      <c r="F120" s="58"/>
      <c r="G120" s="48"/>
      <c r="H120" s="32" t="s">
        <v>923</v>
      </c>
      <c r="I120" s="3">
        <v>40</v>
      </c>
    </row>
    <row r="121" spans="1:9" ht="15" customHeight="1" x14ac:dyDescent="0.25">
      <c r="A121" s="60"/>
      <c r="B121" s="59"/>
      <c r="C121" s="58"/>
      <c r="D121" s="58"/>
      <c r="E121" s="57"/>
      <c r="F121" s="58"/>
      <c r="G121" s="48"/>
      <c r="H121" s="32" t="s">
        <v>14</v>
      </c>
      <c r="I121" s="3">
        <v>40</v>
      </c>
    </row>
    <row r="122" spans="1:9" ht="15" customHeight="1" x14ac:dyDescent="0.25">
      <c r="A122" s="26">
        <v>43196</v>
      </c>
      <c r="B122" s="25">
        <v>0.71587962962962959</v>
      </c>
      <c r="C122" s="19" t="s">
        <v>868</v>
      </c>
      <c r="D122" s="19" t="s">
        <v>869</v>
      </c>
      <c r="E122" s="27">
        <v>180014536</v>
      </c>
      <c r="F122" s="19" t="s">
        <v>914</v>
      </c>
      <c r="G122" s="3">
        <v>1354800</v>
      </c>
      <c r="H122" s="32" t="s">
        <v>915</v>
      </c>
      <c r="I122" s="3">
        <v>24</v>
      </c>
    </row>
    <row r="123" spans="1:9" ht="15" customHeight="1" x14ac:dyDescent="0.25">
      <c r="A123" s="60">
        <v>43196</v>
      </c>
      <c r="B123" s="59">
        <v>0.71585648148148151</v>
      </c>
      <c r="C123" s="58" t="s">
        <v>870</v>
      </c>
      <c r="D123" s="58" t="s">
        <v>871</v>
      </c>
      <c r="E123" s="57">
        <v>180014518</v>
      </c>
      <c r="F123" s="58" t="s">
        <v>908</v>
      </c>
      <c r="G123" s="48">
        <v>1824750</v>
      </c>
      <c r="H123" s="32" t="s">
        <v>341</v>
      </c>
      <c r="I123" s="3">
        <f>5+5+4</f>
        <v>14</v>
      </c>
    </row>
    <row r="124" spans="1:9" ht="15" customHeight="1" x14ac:dyDescent="0.25">
      <c r="A124" s="60"/>
      <c r="B124" s="59"/>
      <c r="C124" s="58"/>
      <c r="D124" s="58"/>
      <c r="E124" s="57"/>
      <c r="F124" s="58"/>
      <c r="G124" s="48"/>
      <c r="H124" s="32" t="s">
        <v>459</v>
      </c>
      <c r="I124" s="3">
        <f>6+5+6</f>
        <v>17</v>
      </c>
    </row>
    <row r="125" spans="1:9" ht="15" customHeight="1" x14ac:dyDescent="0.25">
      <c r="A125" s="26">
        <v>43196</v>
      </c>
      <c r="B125" s="25">
        <v>0.71585648148148151</v>
      </c>
      <c r="C125" s="19" t="s">
        <v>872</v>
      </c>
      <c r="D125" s="19" t="s">
        <v>873</v>
      </c>
      <c r="E125" s="27">
        <v>180014511</v>
      </c>
      <c r="F125" s="19" t="s">
        <v>377</v>
      </c>
      <c r="G125" s="3">
        <v>761400</v>
      </c>
      <c r="H125" s="32" t="s">
        <v>428</v>
      </c>
      <c r="I125" s="3">
        <v>12</v>
      </c>
    </row>
    <row r="126" spans="1:9" ht="15" customHeight="1" x14ac:dyDescent="0.25">
      <c r="A126" s="60">
        <v>43196</v>
      </c>
      <c r="B126" s="59">
        <v>0.71585648148148151</v>
      </c>
      <c r="C126" s="58" t="s">
        <v>874</v>
      </c>
      <c r="D126" s="58" t="s">
        <v>875</v>
      </c>
      <c r="E126" s="57">
        <v>180014508</v>
      </c>
      <c r="F126" s="58" t="s">
        <v>116</v>
      </c>
      <c r="G126" s="48">
        <v>9161700</v>
      </c>
      <c r="H126" s="32" t="s">
        <v>117</v>
      </c>
      <c r="I126" s="3">
        <v>42</v>
      </c>
    </row>
    <row r="127" spans="1:9" ht="15" customHeight="1" x14ac:dyDescent="0.25">
      <c r="A127" s="60"/>
      <c r="B127" s="59"/>
      <c r="C127" s="58"/>
      <c r="D127" s="58"/>
      <c r="E127" s="57"/>
      <c r="F127" s="58"/>
      <c r="G127" s="48"/>
      <c r="H127" s="32" t="s">
        <v>118</v>
      </c>
      <c r="I127" s="3">
        <v>4</v>
      </c>
    </row>
    <row r="128" spans="1:9" ht="15" customHeight="1" x14ac:dyDescent="0.25">
      <c r="A128" s="26">
        <v>43196</v>
      </c>
      <c r="B128" s="25">
        <v>0.71585648148148151</v>
      </c>
      <c r="C128" s="19" t="s">
        <v>876</v>
      </c>
      <c r="D128" s="19" t="s">
        <v>877</v>
      </c>
      <c r="E128" s="27">
        <v>180014516</v>
      </c>
      <c r="F128" s="19" t="s">
        <v>911</v>
      </c>
      <c r="G128" s="3">
        <v>954000</v>
      </c>
      <c r="H128" s="32" t="s">
        <v>912</v>
      </c>
      <c r="I128" s="3">
        <v>15</v>
      </c>
    </row>
    <row r="129" spans="1:9" ht="15" customHeight="1" x14ac:dyDescent="0.25">
      <c r="A129" s="60">
        <v>43196</v>
      </c>
      <c r="B129" s="59">
        <v>0.71585648148148151</v>
      </c>
      <c r="C129" s="58" t="s">
        <v>878</v>
      </c>
      <c r="D129" s="58" t="s">
        <v>879</v>
      </c>
      <c r="E129" s="57">
        <v>180014519</v>
      </c>
      <c r="F129" s="58" t="s">
        <v>199</v>
      </c>
      <c r="G129" s="48">
        <v>2307950</v>
      </c>
      <c r="H129" s="32" t="s">
        <v>200</v>
      </c>
      <c r="I129" s="3">
        <f>5+6+3</f>
        <v>14</v>
      </c>
    </row>
    <row r="130" spans="1:9" ht="15" customHeight="1" x14ac:dyDescent="0.25">
      <c r="A130" s="60"/>
      <c r="B130" s="59"/>
      <c r="C130" s="58"/>
      <c r="D130" s="58"/>
      <c r="E130" s="57"/>
      <c r="F130" s="58"/>
      <c r="G130" s="48"/>
      <c r="H130" s="32" t="s">
        <v>299</v>
      </c>
      <c r="I130" s="3">
        <f>3+8+6+6</f>
        <v>23</v>
      </c>
    </row>
    <row r="131" spans="1:9" ht="15" customHeight="1" x14ac:dyDescent="0.25">
      <c r="A131" s="26">
        <v>43196</v>
      </c>
      <c r="B131" s="25">
        <v>0.71585648148148151</v>
      </c>
      <c r="C131" s="19" t="s">
        <v>880</v>
      </c>
      <c r="D131" s="19" t="s">
        <v>881</v>
      </c>
      <c r="E131" s="27">
        <v>180014535</v>
      </c>
      <c r="F131" s="19" t="s">
        <v>231</v>
      </c>
      <c r="G131" s="3">
        <v>3381150</v>
      </c>
      <c r="H131" s="32" t="s">
        <v>71</v>
      </c>
      <c r="I131" s="3">
        <v>35</v>
      </c>
    </row>
    <row r="132" spans="1:9" ht="15" customHeight="1" x14ac:dyDescent="0.25">
      <c r="A132" s="26">
        <v>43196</v>
      </c>
      <c r="B132" s="25">
        <v>0.71585648148148151</v>
      </c>
      <c r="C132" s="19" t="s">
        <v>882</v>
      </c>
      <c r="D132" s="19" t="s">
        <v>883</v>
      </c>
      <c r="E132" s="27">
        <v>180014530</v>
      </c>
      <c r="F132" s="19" t="s">
        <v>917</v>
      </c>
      <c r="G132" s="3">
        <v>2593800</v>
      </c>
      <c r="H132" s="32" t="s">
        <v>918</v>
      </c>
      <c r="I132" s="3">
        <v>36</v>
      </c>
    </row>
    <row r="133" spans="1:9" ht="15" customHeight="1" x14ac:dyDescent="0.25">
      <c r="A133" s="26">
        <v>43196</v>
      </c>
      <c r="B133" s="25">
        <v>0.71585648148148151</v>
      </c>
      <c r="C133" s="19" t="s">
        <v>884</v>
      </c>
      <c r="D133" s="19" t="s">
        <v>885</v>
      </c>
      <c r="E133" s="27">
        <v>180014513</v>
      </c>
      <c r="F133" s="19" t="s">
        <v>143</v>
      </c>
      <c r="G133" s="3">
        <v>1108800</v>
      </c>
      <c r="H133" s="32" t="s">
        <v>144</v>
      </c>
      <c r="I133" s="3">
        <v>14</v>
      </c>
    </row>
    <row r="134" spans="1:9" ht="15" customHeight="1" x14ac:dyDescent="0.25">
      <c r="A134" s="26">
        <v>43196</v>
      </c>
      <c r="B134" s="25">
        <v>0.71585648148148151</v>
      </c>
      <c r="C134" s="19" t="s">
        <v>886</v>
      </c>
      <c r="D134" s="19" t="s">
        <v>634</v>
      </c>
      <c r="E134" s="27">
        <v>180014515</v>
      </c>
      <c r="F134" s="19" t="s">
        <v>909</v>
      </c>
      <c r="G134" s="3">
        <v>662400</v>
      </c>
      <c r="H134" s="32" t="s">
        <v>910</v>
      </c>
      <c r="I134" s="3">
        <v>12</v>
      </c>
    </row>
    <row r="135" spans="1:9" ht="15" customHeight="1" x14ac:dyDescent="0.25">
      <c r="A135" s="26">
        <v>43196</v>
      </c>
      <c r="B135" s="25">
        <v>0.71585648148148151</v>
      </c>
      <c r="C135" s="19" t="s">
        <v>887</v>
      </c>
      <c r="D135" s="19" t="s">
        <v>888</v>
      </c>
      <c r="E135" s="27">
        <v>180014522</v>
      </c>
      <c r="F135" s="19" t="s">
        <v>107</v>
      </c>
      <c r="G135" s="3">
        <v>2748600</v>
      </c>
      <c r="H135" s="32" t="s">
        <v>108</v>
      </c>
      <c r="I135" s="3">
        <v>36</v>
      </c>
    </row>
    <row r="136" spans="1:9" ht="15" customHeight="1" x14ac:dyDescent="0.25">
      <c r="A136" s="29">
        <v>43197</v>
      </c>
      <c r="B136" s="28">
        <v>0.67033564814814817</v>
      </c>
      <c r="C136" s="19" t="s">
        <v>754</v>
      </c>
      <c r="D136" s="19" t="s">
        <v>926</v>
      </c>
      <c r="E136" s="31">
        <v>180014565</v>
      </c>
      <c r="F136" s="30" t="s">
        <v>93</v>
      </c>
      <c r="G136" s="3">
        <v>3795000</v>
      </c>
      <c r="H136" s="32" t="s">
        <v>682</v>
      </c>
      <c r="I136" s="3">
        <v>66</v>
      </c>
    </row>
    <row r="137" spans="1:9" ht="15" customHeight="1" x14ac:dyDescent="0.25">
      <c r="A137" s="29">
        <v>43197</v>
      </c>
      <c r="B137" s="28">
        <v>0.67003472222222227</v>
      </c>
      <c r="C137" s="19" t="s">
        <v>927</v>
      </c>
      <c r="D137" s="19" t="s">
        <v>928</v>
      </c>
      <c r="E137" s="31">
        <v>180014562</v>
      </c>
      <c r="F137" s="30" t="s">
        <v>964</v>
      </c>
      <c r="G137" s="3">
        <v>1807650</v>
      </c>
      <c r="H137" s="32" t="s">
        <v>965</v>
      </c>
      <c r="I137" s="3">
        <v>27</v>
      </c>
    </row>
    <row r="138" spans="1:9" ht="15" customHeight="1" x14ac:dyDescent="0.25">
      <c r="A138" s="29">
        <v>43197</v>
      </c>
      <c r="B138" s="28">
        <v>0.67003472222222227</v>
      </c>
      <c r="C138" s="19" t="s">
        <v>929</v>
      </c>
      <c r="D138" s="19" t="s">
        <v>930</v>
      </c>
      <c r="E138" s="31">
        <v>180014563</v>
      </c>
      <c r="F138" s="30" t="s">
        <v>300</v>
      </c>
      <c r="G138" s="3">
        <v>636000</v>
      </c>
      <c r="H138" s="32" t="s">
        <v>975</v>
      </c>
      <c r="I138" s="3">
        <v>12</v>
      </c>
    </row>
    <row r="139" spans="1:9" ht="15" customHeight="1" x14ac:dyDescent="0.25">
      <c r="A139" s="29">
        <v>43197</v>
      </c>
      <c r="B139" s="28">
        <v>0.67003472222222227</v>
      </c>
      <c r="C139" s="19" t="s">
        <v>931</v>
      </c>
      <c r="D139" s="19" t="s">
        <v>932</v>
      </c>
      <c r="E139" s="31">
        <v>180019946</v>
      </c>
      <c r="F139" s="30" t="s">
        <v>263</v>
      </c>
      <c r="G139" s="3">
        <v>500000</v>
      </c>
      <c r="H139" s="32" t="s">
        <v>290</v>
      </c>
      <c r="I139" s="3">
        <v>1</v>
      </c>
    </row>
    <row r="140" spans="1:9" ht="15" customHeight="1" x14ac:dyDescent="0.25">
      <c r="A140" s="29">
        <v>43197</v>
      </c>
      <c r="B140" s="28">
        <v>0.67003472222222227</v>
      </c>
      <c r="C140" s="19" t="s">
        <v>880</v>
      </c>
      <c r="D140" s="19" t="s">
        <v>933</v>
      </c>
      <c r="E140" s="31"/>
      <c r="F140" s="30"/>
    </row>
    <row r="141" spans="1:9" ht="15" customHeight="1" x14ac:dyDescent="0.25">
      <c r="A141" s="29">
        <v>43197</v>
      </c>
      <c r="B141" s="28">
        <v>0.67001157407407408</v>
      </c>
      <c r="C141" s="19" t="s">
        <v>934</v>
      </c>
      <c r="D141" s="19" t="s">
        <v>935</v>
      </c>
      <c r="E141" s="31">
        <v>180014554</v>
      </c>
      <c r="F141" s="30" t="s">
        <v>106</v>
      </c>
      <c r="G141" s="3">
        <v>1406900</v>
      </c>
      <c r="H141" s="32" t="s">
        <v>105</v>
      </c>
      <c r="I141" s="3">
        <v>22</v>
      </c>
    </row>
    <row r="142" spans="1:9" ht="15" customHeight="1" x14ac:dyDescent="0.25">
      <c r="A142" s="60">
        <v>43197</v>
      </c>
      <c r="B142" s="59">
        <v>0.67001157407407408</v>
      </c>
      <c r="C142" s="58" t="s">
        <v>793</v>
      </c>
      <c r="D142" s="58" t="s">
        <v>936</v>
      </c>
      <c r="E142" s="57">
        <v>180014564</v>
      </c>
      <c r="F142" s="58" t="s">
        <v>56</v>
      </c>
      <c r="G142" s="48">
        <v>5173800</v>
      </c>
      <c r="H142" s="32" t="s">
        <v>969</v>
      </c>
      <c r="I142" s="3">
        <v>4</v>
      </c>
    </row>
    <row r="143" spans="1:9" ht="15" customHeight="1" x14ac:dyDescent="0.25">
      <c r="A143" s="60"/>
      <c r="B143" s="59"/>
      <c r="C143" s="58"/>
      <c r="D143" s="58"/>
      <c r="E143" s="57"/>
      <c r="F143" s="58"/>
      <c r="G143" s="48"/>
      <c r="H143" s="32" t="s">
        <v>970</v>
      </c>
      <c r="I143" s="3">
        <v>8</v>
      </c>
    </row>
    <row r="144" spans="1:9" ht="15" customHeight="1" x14ac:dyDescent="0.25">
      <c r="A144" s="60"/>
      <c r="B144" s="59"/>
      <c r="C144" s="58"/>
      <c r="D144" s="58"/>
      <c r="E144" s="57"/>
      <c r="F144" s="58"/>
      <c r="G144" s="48"/>
      <c r="H144" s="32" t="s">
        <v>971</v>
      </c>
      <c r="I144" s="3">
        <v>4</v>
      </c>
    </row>
    <row r="145" spans="1:9" ht="15" customHeight="1" x14ac:dyDescent="0.25">
      <c r="A145" s="60"/>
      <c r="B145" s="59"/>
      <c r="C145" s="58"/>
      <c r="D145" s="58"/>
      <c r="E145" s="57"/>
      <c r="F145" s="58"/>
      <c r="G145" s="48"/>
      <c r="H145" s="32" t="s">
        <v>972</v>
      </c>
      <c r="I145" s="3">
        <v>4</v>
      </c>
    </row>
    <row r="146" spans="1:9" ht="15" customHeight="1" x14ac:dyDescent="0.25">
      <c r="A146" s="60"/>
      <c r="B146" s="59"/>
      <c r="C146" s="58"/>
      <c r="D146" s="58"/>
      <c r="E146" s="57"/>
      <c r="F146" s="58"/>
      <c r="G146" s="48"/>
      <c r="H146" s="32" t="s">
        <v>145</v>
      </c>
      <c r="I146" s="3">
        <v>40</v>
      </c>
    </row>
    <row r="147" spans="1:9" ht="15" customHeight="1" x14ac:dyDescent="0.25">
      <c r="A147" s="60"/>
      <c r="B147" s="59"/>
      <c r="C147" s="58"/>
      <c r="D147" s="58"/>
      <c r="E147" s="57"/>
      <c r="F147" s="58"/>
      <c r="G147" s="48"/>
      <c r="H147" s="32" t="s">
        <v>508</v>
      </c>
      <c r="I147" s="3">
        <f>5+7+6</f>
        <v>18</v>
      </c>
    </row>
    <row r="148" spans="1:9" ht="15" customHeight="1" x14ac:dyDescent="0.25">
      <c r="A148" s="29">
        <v>43197</v>
      </c>
      <c r="B148" s="28">
        <v>0.67001157407407408</v>
      </c>
      <c r="C148" s="19" t="s">
        <v>788</v>
      </c>
      <c r="D148" s="19" t="s">
        <v>937</v>
      </c>
      <c r="E148" s="31">
        <v>180014552</v>
      </c>
      <c r="F148" s="30" t="s">
        <v>372</v>
      </c>
      <c r="G148" s="3">
        <v>863250</v>
      </c>
      <c r="H148" s="32" t="s">
        <v>541</v>
      </c>
      <c r="I148" s="3">
        <v>13</v>
      </c>
    </row>
    <row r="149" spans="1:9" ht="15" customHeight="1" x14ac:dyDescent="0.25">
      <c r="A149" s="29">
        <v>43197</v>
      </c>
      <c r="B149" s="28">
        <v>0.67001157407407408</v>
      </c>
      <c r="C149" s="19" t="s">
        <v>938</v>
      </c>
      <c r="D149" s="19" t="s">
        <v>939</v>
      </c>
      <c r="E149" s="31">
        <v>180014548</v>
      </c>
      <c r="F149" s="30" t="s">
        <v>961</v>
      </c>
      <c r="G149" s="3">
        <v>2088000</v>
      </c>
      <c r="H149" s="32" t="s">
        <v>962</v>
      </c>
      <c r="I149" s="3">
        <v>36</v>
      </c>
    </row>
    <row r="150" spans="1:9" ht="15" customHeight="1" x14ac:dyDescent="0.25">
      <c r="A150" s="60">
        <v>43197</v>
      </c>
      <c r="B150" s="59">
        <v>0.67001157407407408</v>
      </c>
      <c r="C150" s="58" t="s">
        <v>940</v>
      </c>
      <c r="D150" s="58" t="s">
        <v>941</v>
      </c>
      <c r="E150" s="57">
        <v>180014547</v>
      </c>
      <c r="F150" s="58" t="s">
        <v>332</v>
      </c>
      <c r="G150" s="61">
        <v>1221800</v>
      </c>
      <c r="H150" s="32" t="s">
        <v>963</v>
      </c>
      <c r="I150" s="3">
        <v>4</v>
      </c>
    </row>
    <row r="151" spans="1:9" ht="15" customHeight="1" x14ac:dyDescent="0.25">
      <c r="A151" s="60"/>
      <c r="B151" s="59"/>
      <c r="C151" s="58"/>
      <c r="D151" s="58"/>
      <c r="E151" s="57"/>
      <c r="F151" s="58"/>
      <c r="G151" s="61"/>
      <c r="H151" s="32" t="s">
        <v>333</v>
      </c>
      <c r="I151" s="3">
        <v>12</v>
      </c>
    </row>
    <row r="152" spans="1:9" ht="15" customHeight="1" x14ac:dyDescent="0.25">
      <c r="A152" s="29">
        <v>43197</v>
      </c>
      <c r="B152" s="28">
        <v>0.66999999999999993</v>
      </c>
      <c r="C152" s="19" t="s">
        <v>750</v>
      </c>
      <c r="D152" s="19" t="s">
        <v>942</v>
      </c>
      <c r="E152" s="31">
        <v>180014550</v>
      </c>
      <c r="F152" s="30" t="s">
        <v>43</v>
      </c>
      <c r="G152" s="3">
        <v>1213150</v>
      </c>
      <c r="H152" s="32" t="s">
        <v>302</v>
      </c>
      <c r="I152" s="3">
        <v>19</v>
      </c>
    </row>
    <row r="153" spans="1:9" ht="15" customHeight="1" x14ac:dyDescent="0.25">
      <c r="A153" s="29">
        <v>43197</v>
      </c>
      <c r="B153" s="28">
        <v>0.66999999999999993</v>
      </c>
      <c r="C153" s="19" t="s">
        <v>943</v>
      </c>
      <c r="D153" s="19" t="s">
        <v>944</v>
      </c>
      <c r="E153" s="31">
        <v>180014551</v>
      </c>
      <c r="F153" s="30" t="s">
        <v>68</v>
      </c>
      <c r="G153" s="3">
        <v>910500</v>
      </c>
      <c r="H153" s="32" t="s">
        <v>392</v>
      </c>
      <c r="I153" s="3">
        <v>13</v>
      </c>
    </row>
    <row r="154" spans="1:9" ht="15" customHeight="1" x14ac:dyDescent="0.25">
      <c r="A154" s="29">
        <v>43197</v>
      </c>
      <c r="B154" s="28">
        <v>0.66999999999999993</v>
      </c>
      <c r="C154" s="19" t="s">
        <v>945</v>
      </c>
      <c r="D154" s="19" t="s">
        <v>946</v>
      </c>
      <c r="E154" s="31">
        <v>180014543</v>
      </c>
      <c r="F154" s="30" t="s">
        <v>49</v>
      </c>
      <c r="G154" s="3">
        <v>1388500</v>
      </c>
      <c r="H154" s="32" t="s">
        <v>62</v>
      </c>
      <c r="I154" s="3">
        <v>30</v>
      </c>
    </row>
    <row r="155" spans="1:9" ht="15" customHeight="1" x14ac:dyDescent="0.25">
      <c r="A155" s="29">
        <v>43197</v>
      </c>
      <c r="B155" s="28">
        <v>0.66999999999999993</v>
      </c>
      <c r="C155" s="19" t="s">
        <v>947</v>
      </c>
      <c r="D155" s="19" t="s">
        <v>948</v>
      </c>
      <c r="E155" s="31">
        <v>180014560</v>
      </c>
      <c r="F155" s="30" t="s">
        <v>966</v>
      </c>
      <c r="G155" s="3">
        <v>628000</v>
      </c>
      <c r="H155" s="32" t="s">
        <v>967</v>
      </c>
      <c r="I155" s="3">
        <v>10</v>
      </c>
    </row>
    <row r="156" spans="1:9" ht="15" customHeight="1" x14ac:dyDescent="0.25">
      <c r="A156" s="60">
        <v>43197</v>
      </c>
      <c r="B156" s="59">
        <v>0.66999999999999993</v>
      </c>
      <c r="C156" s="58" t="s">
        <v>949</v>
      </c>
      <c r="D156" s="58" t="s">
        <v>950</v>
      </c>
      <c r="E156" s="57">
        <v>180014561</v>
      </c>
      <c r="F156" s="58" t="s">
        <v>136</v>
      </c>
      <c r="G156" s="61">
        <v>2321400</v>
      </c>
      <c r="H156" s="32" t="s">
        <v>137</v>
      </c>
      <c r="I156" s="3">
        <f>3+6+6</f>
        <v>15</v>
      </c>
    </row>
    <row r="157" spans="1:9" ht="15" customHeight="1" x14ac:dyDescent="0.25">
      <c r="A157" s="60"/>
      <c r="B157" s="59"/>
      <c r="C157" s="58"/>
      <c r="D157" s="58"/>
      <c r="E157" s="57"/>
      <c r="F157" s="58"/>
      <c r="G157" s="61"/>
      <c r="H157" s="32" t="s">
        <v>960</v>
      </c>
      <c r="I157" s="3">
        <f>5+5+5</f>
        <v>15</v>
      </c>
    </row>
    <row r="158" spans="1:9" ht="15" customHeight="1" x14ac:dyDescent="0.25">
      <c r="A158" s="33">
        <v>43199</v>
      </c>
      <c r="B158" s="34">
        <v>0.67361111111111116</v>
      </c>
      <c r="C158" s="19" t="s">
        <v>945</v>
      </c>
      <c r="D158" s="19" t="s">
        <v>976</v>
      </c>
      <c r="E158" s="36">
        <v>180014570</v>
      </c>
      <c r="F158" s="35" t="s">
        <v>49</v>
      </c>
      <c r="G158" s="3">
        <v>2046600</v>
      </c>
      <c r="H158" s="32" t="s">
        <v>62</v>
      </c>
      <c r="I158" s="3">
        <v>41</v>
      </c>
    </row>
    <row r="159" spans="1:9" ht="15" customHeight="1" x14ac:dyDescent="0.25">
      <c r="A159" s="33">
        <v>43199</v>
      </c>
      <c r="B159" s="34">
        <v>0.67361111111111116</v>
      </c>
      <c r="C159" s="19" t="s">
        <v>977</v>
      </c>
      <c r="D159" s="19" t="s">
        <v>978</v>
      </c>
      <c r="E159" s="36">
        <v>180014574</v>
      </c>
      <c r="F159" s="35" t="s">
        <v>679</v>
      </c>
      <c r="G159" s="3">
        <v>773400</v>
      </c>
      <c r="H159" s="32" t="s">
        <v>680</v>
      </c>
      <c r="I159" s="3">
        <v>12</v>
      </c>
    </row>
    <row r="160" spans="1:9" ht="15" customHeight="1" x14ac:dyDescent="0.25">
      <c r="A160" s="60">
        <v>43199</v>
      </c>
      <c r="B160" s="59">
        <v>0.67361111111111116</v>
      </c>
      <c r="C160" s="58" t="s">
        <v>784</v>
      </c>
      <c r="D160" s="58" t="s">
        <v>979</v>
      </c>
      <c r="E160" s="57">
        <v>180014587</v>
      </c>
      <c r="F160" s="58" t="s">
        <v>85</v>
      </c>
      <c r="G160" s="48">
        <v>5864300</v>
      </c>
      <c r="H160" s="32" t="s">
        <v>86</v>
      </c>
      <c r="I160" s="3">
        <v>12</v>
      </c>
    </row>
    <row r="161" spans="1:9" ht="15" customHeight="1" x14ac:dyDescent="0.25">
      <c r="A161" s="60"/>
      <c r="B161" s="59"/>
      <c r="C161" s="58"/>
      <c r="D161" s="58"/>
      <c r="E161" s="57"/>
      <c r="F161" s="58"/>
      <c r="G161" s="48"/>
      <c r="H161" s="32" t="s">
        <v>278</v>
      </c>
      <c r="I161" s="3">
        <f>12+12+13+13</f>
        <v>50</v>
      </c>
    </row>
    <row r="162" spans="1:9" ht="15" customHeight="1" x14ac:dyDescent="0.25">
      <c r="A162" s="60"/>
      <c r="B162" s="59"/>
      <c r="C162" s="58"/>
      <c r="D162" s="58"/>
      <c r="E162" s="57"/>
      <c r="F162" s="58"/>
      <c r="G162" s="48"/>
      <c r="H162" s="32" t="s">
        <v>437</v>
      </c>
      <c r="I162" s="3">
        <f>10+1+5+1+1</f>
        <v>18</v>
      </c>
    </row>
    <row r="163" spans="1:9" ht="15" customHeight="1" x14ac:dyDescent="0.25">
      <c r="A163" s="60"/>
      <c r="B163" s="59"/>
      <c r="C163" s="58"/>
      <c r="D163" s="58"/>
      <c r="E163" s="57"/>
      <c r="F163" s="58"/>
      <c r="G163" s="48"/>
      <c r="H163" s="32" t="s">
        <v>1004</v>
      </c>
      <c r="I163" s="3">
        <f>6+2+3+13</f>
        <v>24</v>
      </c>
    </row>
    <row r="164" spans="1:9" ht="15" customHeight="1" x14ac:dyDescent="0.25">
      <c r="A164" s="60">
        <v>43199</v>
      </c>
      <c r="B164" s="59">
        <v>0.67358796296296297</v>
      </c>
      <c r="C164" s="58" t="s">
        <v>980</v>
      </c>
      <c r="D164" s="58" t="s">
        <v>981</v>
      </c>
      <c r="E164" s="57" t="s">
        <v>999</v>
      </c>
      <c r="F164" s="58" t="s">
        <v>730</v>
      </c>
      <c r="G164" s="48">
        <v>8722500</v>
      </c>
      <c r="H164" s="32" t="s">
        <v>426</v>
      </c>
      <c r="I164" s="3">
        <v>1850</v>
      </c>
    </row>
    <row r="165" spans="1:9" ht="15" customHeight="1" x14ac:dyDescent="0.25">
      <c r="A165" s="60"/>
      <c r="B165" s="59"/>
      <c r="C165" s="58"/>
      <c r="D165" s="58"/>
      <c r="E165" s="57"/>
      <c r="F165" s="58"/>
      <c r="G165" s="48"/>
      <c r="H165" s="32" t="s">
        <v>226</v>
      </c>
      <c r="I165" s="3">
        <v>1000</v>
      </c>
    </row>
    <row r="166" spans="1:9" ht="15" customHeight="1" x14ac:dyDescent="0.25">
      <c r="A166" s="33">
        <v>43199</v>
      </c>
      <c r="B166" s="34">
        <v>0.67356481481481489</v>
      </c>
      <c r="C166" s="19" t="s">
        <v>802</v>
      </c>
      <c r="D166" s="19" t="s">
        <v>982</v>
      </c>
      <c r="E166" s="36">
        <v>180014572</v>
      </c>
      <c r="F166" s="35" t="s">
        <v>334</v>
      </c>
      <c r="G166" s="3">
        <v>772200</v>
      </c>
      <c r="H166" s="32" t="s">
        <v>1000</v>
      </c>
      <c r="I166" s="3">
        <v>12</v>
      </c>
    </row>
    <row r="167" spans="1:9" ht="15" customHeight="1" x14ac:dyDescent="0.25">
      <c r="A167" s="60">
        <v>43199</v>
      </c>
      <c r="B167" s="59">
        <v>0.67356481481481489</v>
      </c>
      <c r="C167" s="58" t="s">
        <v>983</v>
      </c>
      <c r="D167" s="58" t="s">
        <v>984</v>
      </c>
      <c r="E167" s="57">
        <v>180014575</v>
      </c>
      <c r="F167" s="58" t="s">
        <v>1002</v>
      </c>
      <c r="G167" s="48">
        <v>2341850</v>
      </c>
      <c r="H167" s="32" t="s">
        <v>207</v>
      </c>
      <c r="I167" s="3">
        <f>7+4+6+6</f>
        <v>23</v>
      </c>
    </row>
    <row r="168" spans="1:9" ht="15" customHeight="1" x14ac:dyDescent="0.25">
      <c r="A168" s="60"/>
      <c r="B168" s="59"/>
      <c r="C168" s="58"/>
      <c r="D168" s="58"/>
      <c r="E168" s="57"/>
      <c r="F168" s="58"/>
      <c r="G168" s="48"/>
      <c r="H168" s="32" t="s">
        <v>1003</v>
      </c>
      <c r="I168" s="3">
        <f>5+7</f>
        <v>12</v>
      </c>
    </row>
    <row r="169" spans="1:9" ht="15" customHeight="1" x14ac:dyDescent="0.25">
      <c r="A169" s="33">
        <v>43199</v>
      </c>
      <c r="B169" s="34">
        <v>0.67356481481481489</v>
      </c>
      <c r="C169" s="19" t="s">
        <v>880</v>
      </c>
      <c r="D169" s="19" t="s">
        <v>985</v>
      </c>
      <c r="E169" s="36">
        <v>180014578</v>
      </c>
      <c r="F169" s="35" t="s">
        <v>231</v>
      </c>
      <c r="G169" s="3">
        <v>6080000</v>
      </c>
      <c r="H169" s="32" t="s">
        <v>232</v>
      </c>
      <c r="I169" s="3">
        <v>64</v>
      </c>
    </row>
    <row r="170" spans="1:9" ht="15" customHeight="1" x14ac:dyDescent="0.25">
      <c r="A170" s="60">
        <v>43199</v>
      </c>
      <c r="B170" s="59">
        <v>0.67355324074074074</v>
      </c>
      <c r="C170" s="58" t="s">
        <v>782</v>
      </c>
      <c r="D170" s="58" t="s">
        <v>986</v>
      </c>
      <c r="E170" s="57">
        <v>180014567</v>
      </c>
      <c r="F170" s="58" t="s">
        <v>127</v>
      </c>
      <c r="G170" s="48">
        <v>7054800</v>
      </c>
      <c r="H170" s="32" t="s">
        <v>1001</v>
      </c>
      <c r="I170" s="3">
        <v>28</v>
      </c>
    </row>
    <row r="171" spans="1:9" ht="15" customHeight="1" x14ac:dyDescent="0.25">
      <c r="A171" s="60"/>
      <c r="B171" s="59"/>
      <c r="C171" s="58"/>
      <c r="D171" s="58"/>
      <c r="E171" s="57"/>
      <c r="F171" s="58"/>
      <c r="G171" s="48"/>
      <c r="H171" s="32" t="s">
        <v>343</v>
      </c>
      <c r="I171" s="3">
        <v>10</v>
      </c>
    </row>
    <row r="172" spans="1:9" ht="15" customHeight="1" x14ac:dyDescent="0.25">
      <c r="A172" s="60"/>
      <c r="B172" s="59"/>
      <c r="C172" s="58"/>
      <c r="D172" s="58"/>
      <c r="E172" s="57"/>
      <c r="F172" s="58"/>
      <c r="G172" s="48"/>
      <c r="H172" s="32" t="s">
        <v>488</v>
      </c>
      <c r="I172" s="3">
        <v>40</v>
      </c>
    </row>
    <row r="173" spans="1:9" ht="15" customHeight="1" x14ac:dyDescent="0.25">
      <c r="A173" s="60"/>
      <c r="B173" s="59"/>
      <c r="C173" s="58"/>
      <c r="D173" s="58"/>
      <c r="E173" s="57"/>
      <c r="F173" s="58"/>
      <c r="G173" s="48"/>
      <c r="H173" s="32" t="s">
        <v>129</v>
      </c>
      <c r="I173" s="3">
        <v>25</v>
      </c>
    </row>
    <row r="174" spans="1:9" ht="15" customHeight="1" x14ac:dyDescent="0.25">
      <c r="A174" s="60"/>
      <c r="B174" s="59"/>
      <c r="C174" s="58"/>
      <c r="D174" s="58"/>
      <c r="E174" s="57"/>
      <c r="F174" s="58"/>
      <c r="G174" s="48"/>
      <c r="H174" s="32" t="s">
        <v>342</v>
      </c>
      <c r="I174" s="3">
        <v>25</v>
      </c>
    </row>
    <row r="175" spans="1:9" ht="15" customHeight="1" x14ac:dyDescent="0.25">
      <c r="A175" s="60">
        <v>43199</v>
      </c>
      <c r="B175" s="59">
        <v>0.67354166666666659</v>
      </c>
      <c r="C175" s="58" t="s">
        <v>857</v>
      </c>
      <c r="D175" s="58" t="s">
        <v>987</v>
      </c>
      <c r="E175" s="57">
        <v>180014588</v>
      </c>
      <c r="F175" s="58" t="s">
        <v>905</v>
      </c>
      <c r="G175" s="48">
        <v>4998600</v>
      </c>
      <c r="H175" s="32" t="s">
        <v>996</v>
      </c>
      <c r="I175" s="3">
        <v>36</v>
      </c>
    </row>
    <row r="176" spans="1:9" ht="15" customHeight="1" x14ac:dyDescent="0.25">
      <c r="A176" s="60"/>
      <c r="B176" s="59"/>
      <c r="C176" s="58"/>
      <c r="D176" s="58"/>
      <c r="E176" s="57"/>
      <c r="F176" s="58"/>
      <c r="G176" s="48"/>
      <c r="H176" s="32" t="s">
        <v>997</v>
      </c>
      <c r="I176" s="3">
        <v>26</v>
      </c>
    </row>
    <row r="177" spans="1:9" ht="15" customHeight="1" x14ac:dyDescent="0.25">
      <c r="A177" s="33">
        <v>43199</v>
      </c>
      <c r="B177" s="34">
        <v>0.67354166666666659</v>
      </c>
      <c r="C177" s="19" t="s">
        <v>988</v>
      </c>
      <c r="D177" s="19" t="s">
        <v>989</v>
      </c>
      <c r="E177" s="36">
        <v>180014568</v>
      </c>
      <c r="F177" s="35" t="s">
        <v>52</v>
      </c>
      <c r="G177" s="3">
        <v>640500</v>
      </c>
      <c r="H177" s="32" t="s">
        <v>998</v>
      </c>
      <c r="I177" s="3">
        <v>15</v>
      </c>
    </row>
    <row r="178" spans="1:9" ht="15" customHeight="1" x14ac:dyDescent="0.25">
      <c r="A178" s="33">
        <v>43199</v>
      </c>
      <c r="B178" s="34">
        <v>0.67354166666666659</v>
      </c>
      <c r="C178" s="19" t="s">
        <v>990</v>
      </c>
      <c r="D178" s="19" t="s">
        <v>991</v>
      </c>
      <c r="E178" s="36">
        <v>180014566</v>
      </c>
      <c r="F178" s="35" t="s">
        <v>134</v>
      </c>
      <c r="G178" s="3">
        <v>974400</v>
      </c>
      <c r="H178" s="32" t="s">
        <v>386</v>
      </c>
      <c r="I178" s="3">
        <v>12</v>
      </c>
    </row>
    <row r="179" spans="1:9" ht="15" customHeight="1" x14ac:dyDescent="0.25">
      <c r="A179" s="33">
        <v>43199</v>
      </c>
      <c r="B179" s="34">
        <v>0.67354166666666659</v>
      </c>
      <c r="C179" s="19" t="s">
        <v>992</v>
      </c>
      <c r="D179" s="19" t="s">
        <v>993</v>
      </c>
      <c r="E179" s="36">
        <v>180014581</v>
      </c>
      <c r="F179" s="35" t="s">
        <v>389</v>
      </c>
      <c r="G179" s="3">
        <v>2225450</v>
      </c>
      <c r="H179" s="32" t="s">
        <v>390</v>
      </c>
      <c r="I179" s="3">
        <v>42</v>
      </c>
    </row>
    <row r="180" spans="1:9" ht="15" customHeight="1" x14ac:dyDescent="0.25">
      <c r="A180" s="33">
        <v>43199</v>
      </c>
      <c r="B180" s="34">
        <v>0.67354166666666659</v>
      </c>
      <c r="C180" s="19" t="s">
        <v>929</v>
      </c>
      <c r="D180" s="19" t="s">
        <v>994</v>
      </c>
      <c r="E180" s="36">
        <v>180014576</v>
      </c>
      <c r="F180" s="35" t="s">
        <v>300</v>
      </c>
      <c r="G180" s="3">
        <v>622200</v>
      </c>
      <c r="H180" s="32" t="s">
        <v>975</v>
      </c>
      <c r="I180" s="3">
        <v>12</v>
      </c>
    </row>
    <row r="181" spans="1:9" ht="15" customHeight="1" x14ac:dyDescent="0.25">
      <c r="A181" s="33">
        <v>43199</v>
      </c>
      <c r="B181" s="34">
        <v>0.67354166666666659</v>
      </c>
      <c r="C181" s="19" t="s">
        <v>940</v>
      </c>
      <c r="D181" s="19" t="s">
        <v>995</v>
      </c>
      <c r="E181" s="36">
        <v>180014582</v>
      </c>
      <c r="F181" s="35" t="s">
        <v>332</v>
      </c>
      <c r="G181" s="3">
        <v>787000</v>
      </c>
      <c r="H181" s="32" t="s">
        <v>963</v>
      </c>
      <c r="I181" s="3">
        <v>10</v>
      </c>
    </row>
    <row r="182" spans="1:9" ht="15" customHeight="1" x14ac:dyDescent="0.25">
      <c r="A182" s="43">
        <v>43200</v>
      </c>
      <c r="B182" s="42">
        <v>0.68074074074074076</v>
      </c>
      <c r="C182" s="40" t="s">
        <v>1005</v>
      </c>
      <c r="D182" s="40" t="s">
        <v>1006</v>
      </c>
      <c r="E182" s="41" t="s">
        <v>1049</v>
      </c>
      <c r="F182" s="40" t="s">
        <v>774</v>
      </c>
      <c r="G182" s="3">
        <v>1500000</v>
      </c>
      <c r="H182" s="32" t="s">
        <v>1050</v>
      </c>
      <c r="I182" s="3">
        <v>12000</v>
      </c>
    </row>
    <row r="183" spans="1:9" ht="15" customHeight="1" x14ac:dyDescent="0.25">
      <c r="A183" s="43">
        <v>43200</v>
      </c>
      <c r="B183" s="42">
        <v>0.68043981481481486</v>
      </c>
      <c r="C183" s="40" t="s">
        <v>699</v>
      </c>
      <c r="D183" s="40" t="s">
        <v>1007</v>
      </c>
      <c r="E183" s="41">
        <v>180014608</v>
      </c>
      <c r="F183" s="40" t="s">
        <v>99</v>
      </c>
      <c r="G183" s="3">
        <v>2395200</v>
      </c>
      <c r="H183" s="32" t="s">
        <v>583</v>
      </c>
      <c r="I183" s="3">
        <v>24</v>
      </c>
    </row>
    <row r="184" spans="1:9" ht="15" customHeight="1" x14ac:dyDescent="0.25">
      <c r="A184" s="43">
        <v>43200</v>
      </c>
      <c r="B184" s="42">
        <v>0.68043981481481486</v>
      </c>
      <c r="C184" s="40" t="s">
        <v>1008</v>
      </c>
      <c r="D184" s="40" t="s">
        <v>1009</v>
      </c>
      <c r="E184" s="41">
        <v>180014609</v>
      </c>
      <c r="F184" s="40" t="s">
        <v>370</v>
      </c>
      <c r="G184" s="3">
        <v>722150</v>
      </c>
      <c r="H184" s="32" t="s">
        <v>668</v>
      </c>
      <c r="I184" s="3">
        <v>11</v>
      </c>
    </row>
    <row r="185" spans="1:9" ht="15" customHeight="1" x14ac:dyDescent="0.25">
      <c r="A185" s="43">
        <v>43200</v>
      </c>
      <c r="B185" s="42">
        <v>0.68043981481481486</v>
      </c>
      <c r="C185" s="40" t="s">
        <v>1010</v>
      </c>
      <c r="D185" s="40" t="s">
        <v>1011</v>
      </c>
      <c r="E185" s="41">
        <v>180014613</v>
      </c>
      <c r="F185" s="40" t="s">
        <v>91</v>
      </c>
      <c r="G185" s="3">
        <v>2405800</v>
      </c>
      <c r="H185" s="32" t="s">
        <v>1053</v>
      </c>
      <c r="I185" s="3">
        <v>36</v>
      </c>
    </row>
    <row r="186" spans="1:9" ht="15" customHeight="1" x14ac:dyDescent="0.25">
      <c r="A186" s="43">
        <v>43200</v>
      </c>
      <c r="B186" s="42">
        <v>0.68043981481481486</v>
      </c>
      <c r="C186" s="40" t="s">
        <v>1012</v>
      </c>
      <c r="D186" s="40" t="s">
        <v>1013</v>
      </c>
      <c r="E186" s="41">
        <v>180014590</v>
      </c>
      <c r="F186" s="40" t="s">
        <v>72</v>
      </c>
      <c r="G186" s="3">
        <v>2916500</v>
      </c>
      <c r="H186" s="32" t="s">
        <v>238</v>
      </c>
      <c r="I186" s="3">
        <v>38</v>
      </c>
    </row>
    <row r="187" spans="1:9" ht="15" customHeight="1" x14ac:dyDescent="0.25">
      <c r="A187" s="60">
        <v>43200</v>
      </c>
      <c r="B187" s="59">
        <v>0.68041666666666656</v>
      </c>
      <c r="C187" s="58" t="s">
        <v>1014</v>
      </c>
      <c r="D187" s="58" t="s">
        <v>1015</v>
      </c>
      <c r="E187" s="57">
        <v>180014604</v>
      </c>
      <c r="F187" s="58" t="s">
        <v>89</v>
      </c>
      <c r="G187" s="48">
        <v>1811000</v>
      </c>
      <c r="H187" s="32" t="s">
        <v>90</v>
      </c>
      <c r="I187" s="3">
        <v>35</v>
      </c>
    </row>
    <row r="188" spans="1:9" ht="15" customHeight="1" x14ac:dyDescent="0.25">
      <c r="A188" s="60"/>
      <c r="B188" s="59"/>
      <c r="C188" s="58"/>
      <c r="D188" s="58"/>
      <c r="E188" s="57"/>
      <c r="F188" s="58"/>
      <c r="G188" s="48"/>
      <c r="H188" s="38" t="s">
        <v>237</v>
      </c>
      <c r="I188" s="3">
        <v>36</v>
      </c>
    </row>
    <row r="189" spans="1:9" ht="15" customHeight="1" x14ac:dyDescent="0.25">
      <c r="A189" s="43">
        <v>43200</v>
      </c>
      <c r="B189" s="42">
        <v>0.68041666666666656</v>
      </c>
      <c r="C189" s="40" t="s">
        <v>1016</v>
      </c>
      <c r="D189" s="40" t="s">
        <v>1017</v>
      </c>
      <c r="E189" s="41">
        <v>180014594</v>
      </c>
      <c r="F189" s="40" t="s">
        <v>534</v>
      </c>
      <c r="G189" s="3">
        <v>808000</v>
      </c>
      <c r="H189" s="32" t="s">
        <v>535</v>
      </c>
      <c r="I189" s="3">
        <v>12</v>
      </c>
    </row>
    <row r="190" spans="1:9" ht="15" customHeight="1" x14ac:dyDescent="0.25">
      <c r="A190" s="43">
        <v>43200</v>
      </c>
      <c r="B190" s="42">
        <v>0.68041666666666656</v>
      </c>
      <c r="C190" s="40" t="s">
        <v>1018</v>
      </c>
      <c r="D190" s="40" t="s">
        <v>1019</v>
      </c>
      <c r="E190" s="41">
        <v>180014620</v>
      </c>
      <c r="F190" s="40" t="s">
        <v>119</v>
      </c>
      <c r="G190" s="3">
        <v>2253300</v>
      </c>
      <c r="H190" s="32" t="s">
        <v>120</v>
      </c>
      <c r="I190" s="3">
        <v>48</v>
      </c>
    </row>
    <row r="191" spans="1:9" ht="15" customHeight="1" x14ac:dyDescent="0.25">
      <c r="A191" s="43">
        <v>43200</v>
      </c>
      <c r="B191" s="42">
        <v>0.68041666666666656</v>
      </c>
      <c r="C191" s="40" t="s">
        <v>1020</v>
      </c>
      <c r="D191" s="40" t="s">
        <v>1021</v>
      </c>
      <c r="E191" s="41">
        <v>180014605</v>
      </c>
      <c r="F191" s="40" t="s">
        <v>272</v>
      </c>
      <c r="G191" s="3">
        <v>4716800</v>
      </c>
      <c r="H191" s="32" t="s">
        <v>1056</v>
      </c>
      <c r="I191" s="3">
        <v>200</v>
      </c>
    </row>
    <row r="192" spans="1:9" ht="15" customHeight="1" x14ac:dyDescent="0.25">
      <c r="A192" s="60">
        <v>43200</v>
      </c>
      <c r="B192" s="59">
        <v>0.68041666666666656</v>
      </c>
      <c r="C192" s="58" t="s">
        <v>1022</v>
      </c>
      <c r="D192" s="58" t="s">
        <v>1023</v>
      </c>
      <c r="E192" s="57">
        <v>180014598</v>
      </c>
      <c r="F192" s="58" t="s">
        <v>44</v>
      </c>
      <c r="G192" s="48">
        <v>6527350</v>
      </c>
      <c r="H192" s="32" t="s">
        <v>10</v>
      </c>
      <c r="I192" s="3">
        <v>71</v>
      </c>
    </row>
    <row r="193" spans="1:9" ht="15" customHeight="1" x14ac:dyDescent="0.25">
      <c r="A193" s="60"/>
      <c r="B193" s="59"/>
      <c r="C193" s="58"/>
      <c r="D193" s="58"/>
      <c r="E193" s="57"/>
      <c r="F193" s="58"/>
      <c r="G193" s="48"/>
      <c r="H193" s="38" t="s">
        <v>1052</v>
      </c>
      <c r="I193" s="3">
        <v>40</v>
      </c>
    </row>
    <row r="194" spans="1:9" ht="15" customHeight="1" x14ac:dyDescent="0.25">
      <c r="A194" s="43">
        <v>43200</v>
      </c>
      <c r="B194" s="42">
        <v>0.68041666666666656</v>
      </c>
      <c r="C194" s="40" t="s">
        <v>1024</v>
      </c>
      <c r="D194" s="40" t="s">
        <v>1025</v>
      </c>
      <c r="E194" s="41">
        <v>180014599</v>
      </c>
      <c r="F194" s="40" t="s">
        <v>172</v>
      </c>
      <c r="G194" s="3">
        <v>621750</v>
      </c>
      <c r="H194" s="32" t="s">
        <v>173</v>
      </c>
      <c r="I194" s="3">
        <v>11</v>
      </c>
    </row>
    <row r="195" spans="1:9" ht="15" customHeight="1" x14ac:dyDescent="0.25">
      <c r="A195" s="43">
        <v>43200</v>
      </c>
      <c r="B195" s="42">
        <v>0.68041666666666656</v>
      </c>
      <c r="C195" s="40" t="s">
        <v>1026</v>
      </c>
      <c r="D195" s="40" t="s">
        <v>1027</v>
      </c>
      <c r="E195" s="41">
        <v>180014607</v>
      </c>
      <c r="F195" s="40" t="s">
        <v>447</v>
      </c>
      <c r="G195" s="3">
        <v>783000</v>
      </c>
      <c r="H195" s="32" t="s">
        <v>448</v>
      </c>
      <c r="I195" s="3">
        <v>36</v>
      </c>
    </row>
    <row r="196" spans="1:9" ht="15" customHeight="1" x14ac:dyDescent="0.25">
      <c r="A196" s="43">
        <v>43200</v>
      </c>
      <c r="B196" s="42">
        <v>0.68041666666666656</v>
      </c>
      <c r="C196" s="40" t="s">
        <v>1028</v>
      </c>
      <c r="D196" s="40" t="s">
        <v>1029</v>
      </c>
      <c r="E196" s="41">
        <v>180014595</v>
      </c>
      <c r="F196" s="40" t="s">
        <v>93</v>
      </c>
      <c r="G196" s="3">
        <v>4501200</v>
      </c>
      <c r="H196" s="32" t="s">
        <v>682</v>
      </c>
      <c r="I196" s="3">
        <v>78</v>
      </c>
    </row>
    <row r="197" spans="1:9" ht="15" customHeight="1" x14ac:dyDescent="0.25">
      <c r="A197" s="60">
        <v>43200</v>
      </c>
      <c r="B197" s="59">
        <v>0.68041666666666656</v>
      </c>
      <c r="C197" s="58" t="s">
        <v>709</v>
      </c>
      <c r="D197" s="58" t="s">
        <v>1030</v>
      </c>
      <c r="E197" s="57">
        <v>180014597</v>
      </c>
      <c r="F197" s="58" t="s">
        <v>231</v>
      </c>
      <c r="G197" s="48">
        <v>7136400</v>
      </c>
      <c r="H197" s="32" t="s">
        <v>232</v>
      </c>
      <c r="I197" s="3">
        <v>49</v>
      </c>
    </row>
    <row r="198" spans="1:9" ht="15" customHeight="1" x14ac:dyDescent="0.25">
      <c r="A198" s="60"/>
      <c r="B198" s="59"/>
      <c r="C198" s="58"/>
      <c r="D198" s="58"/>
      <c r="E198" s="57"/>
      <c r="F198" s="58"/>
      <c r="G198" s="48"/>
      <c r="H198" s="38" t="s">
        <v>1048</v>
      </c>
      <c r="I198" s="3">
        <v>36</v>
      </c>
    </row>
    <row r="199" spans="1:9" ht="15" customHeight="1" x14ac:dyDescent="0.25">
      <c r="A199" s="60">
        <v>43200</v>
      </c>
      <c r="B199" s="59">
        <v>0.68039351851851848</v>
      </c>
      <c r="C199" s="58" t="s">
        <v>1031</v>
      </c>
      <c r="D199" s="58" t="s">
        <v>1032</v>
      </c>
      <c r="E199" s="57">
        <v>180014611</v>
      </c>
      <c r="F199" s="58" t="s">
        <v>372</v>
      </c>
      <c r="G199" s="48">
        <v>1377150</v>
      </c>
      <c r="H199" s="32" t="s">
        <v>541</v>
      </c>
      <c r="I199" s="3">
        <f>4+5+2</f>
        <v>11</v>
      </c>
    </row>
    <row r="200" spans="1:9" ht="15" customHeight="1" x14ac:dyDescent="0.25">
      <c r="A200" s="60"/>
      <c r="B200" s="59"/>
      <c r="C200" s="58"/>
      <c r="D200" s="58"/>
      <c r="E200" s="57"/>
      <c r="F200" s="58"/>
      <c r="G200" s="48"/>
      <c r="H200" s="32" t="s">
        <v>1055</v>
      </c>
      <c r="I200" s="3">
        <f>6+6</f>
        <v>12</v>
      </c>
    </row>
  </sheetData>
  <mergeCells count="260">
    <mergeCell ref="A199:A200"/>
    <mergeCell ref="B199:B200"/>
    <mergeCell ref="C199:C200"/>
    <mergeCell ref="D199:D200"/>
    <mergeCell ref="E199:E200"/>
    <mergeCell ref="F199:F200"/>
    <mergeCell ref="G199:G200"/>
    <mergeCell ref="G187:G188"/>
    <mergeCell ref="F187:F188"/>
    <mergeCell ref="E187:E188"/>
    <mergeCell ref="D187:D188"/>
    <mergeCell ref="C187:C188"/>
    <mergeCell ref="B187:B188"/>
    <mergeCell ref="A187:A188"/>
    <mergeCell ref="F197:F198"/>
    <mergeCell ref="E197:E198"/>
    <mergeCell ref="D197:D198"/>
    <mergeCell ref="C197:C198"/>
    <mergeCell ref="B197:B198"/>
    <mergeCell ref="A197:A198"/>
    <mergeCell ref="G197:G198"/>
    <mergeCell ref="G192:G193"/>
    <mergeCell ref="F192:F193"/>
    <mergeCell ref="E192:E193"/>
    <mergeCell ref="D192:D193"/>
    <mergeCell ref="C192:C193"/>
    <mergeCell ref="B192:B193"/>
    <mergeCell ref="A192:A193"/>
    <mergeCell ref="G142:G147"/>
    <mergeCell ref="F142:F147"/>
    <mergeCell ref="E142:E147"/>
    <mergeCell ref="D142:D147"/>
    <mergeCell ref="C142:C147"/>
    <mergeCell ref="B142:B147"/>
    <mergeCell ref="A142:A147"/>
    <mergeCell ref="G156:G157"/>
    <mergeCell ref="F156:F157"/>
    <mergeCell ref="E156:E157"/>
    <mergeCell ref="D156:D157"/>
    <mergeCell ref="C156:C157"/>
    <mergeCell ref="B156:B157"/>
    <mergeCell ref="A156:A157"/>
    <mergeCell ref="G150:G151"/>
    <mergeCell ref="F150:F151"/>
    <mergeCell ref="E150:E151"/>
    <mergeCell ref="D150:D151"/>
    <mergeCell ref="C150:C151"/>
    <mergeCell ref="B150:B151"/>
    <mergeCell ref="A150:A151"/>
    <mergeCell ref="B68:B76"/>
    <mergeCell ref="A68:A76"/>
    <mergeCell ref="G68:G76"/>
    <mergeCell ref="F68:F76"/>
    <mergeCell ref="E68:E76"/>
    <mergeCell ref="D68:D76"/>
    <mergeCell ref="C68:C76"/>
    <mergeCell ref="B80:B81"/>
    <mergeCell ref="A80:A81"/>
    <mergeCell ref="G80:G81"/>
    <mergeCell ref="F80:F81"/>
    <mergeCell ref="E80:E81"/>
    <mergeCell ref="D80:D81"/>
    <mergeCell ref="C80:C81"/>
    <mergeCell ref="A100:A103"/>
    <mergeCell ref="B100:B103"/>
    <mergeCell ref="C100:C103"/>
    <mergeCell ref="D100:D103"/>
    <mergeCell ref="F95:F97"/>
    <mergeCell ref="E95:E97"/>
    <mergeCell ref="D95:D97"/>
    <mergeCell ref="C95:C97"/>
    <mergeCell ref="B95:B97"/>
    <mergeCell ref="A95:A97"/>
    <mergeCell ref="G82:G94"/>
    <mergeCell ref="F82:F94"/>
    <mergeCell ref="E82:E94"/>
    <mergeCell ref="D82:D94"/>
    <mergeCell ref="C82:C94"/>
    <mergeCell ref="B82:B94"/>
    <mergeCell ref="G100:G103"/>
    <mergeCell ref="G95:G97"/>
    <mergeCell ref="G104:G105"/>
    <mergeCell ref="F104:F105"/>
    <mergeCell ref="E104:E105"/>
    <mergeCell ref="D104:D105"/>
    <mergeCell ref="C104:C105"/>
    <mergeCell ref="E100:E103"/>
    <mergeCell ref="F100:F103"/>
    <mergeCell ref="F36:F37"/>
    <mergeCell ref="E36:E37"/>
    <mergeCell ref="D36:D37"/>
    <mergeCell ref="C36:C37"/>
    <mergeCell ref="B36:B37"/>
    <mergeCell ref="A36:A37"/>
    <mergeCell ref="G34:G35"/>
    <mergeCell ref="F34:F35"/>
    <mergeCell ref="E34:E35"/>
    <mergeCell ref="D34:D35"/>
    <mergeCell ref="C34:C35"/>
    <mergeCell ref="D22:D23"/>
    <mergeCell ref="C22:C23"/>
    <mergeCell ref="A16:A19"/>
    <mergeCell ref="C2:C3"/>
    <mergeCell ref="B2:B3"/>
    <mergeCell ref="A2:A3"/>
    <mergeCell ref="G4:G5"/>
    <mergeCell ref="G16:G19"/>
    <mergeCell ref="F16:F19"/>
    <mergeCell ref="E16:E19"/>
    <mergeCell ref="D16:D19"/>
    <mergeCell ref="C16:C19"/>
    <mergeCell ref="B16:B19"/>
    <mergeCell ref="A4:A5"/>
    <mergeCell ref="F4:F5"/>
    <mergeCell ref="E4:E5"/>
    <mergeCell ref="D4:D5"/>
    <mergeCell ref="C4:C5"/>
    <mergeCell ref="B4:B5"/>
    <mergeCell ref="G57:G58"/>
    <mergeCell ref="F57:F58"/>
    <mergeCell ref="E57:E58"/>
    <mergeCell ref="D57:D58"/>
    <mergeCell ref="C57:C58"/>
    <mergeCell ref="B57:B58"/>
    <mergeCell ref="A57:A58"/>
    <mergeCell ref="H2:I2"/>
    <mergeCell ref="G2:G3"/>
    <mergeCell ref="F2:F3"/>
    <mergeCell ref="E2:E3"/>
    <mergeCell ref="D2:D3"/>
    <mergeCell ref="B22:B23"/>
    <mergeCell ref="A22:A23"/>
    <mergeCell ref="G12:G13"/>
    <mergeCell ref="F12:F13"/>
    <mergeCell ref="A12:A13"/>
    <mergeCell ref="B12:B13"/>
    <mergeCell ref="C12:C13"/>
    <mergeCell ref="D12:D13"/>
    <mergeCell ref="E12:E13"/>
    <mergeCell ref="G22:G23"/>
    <mergeCell ref="F22:F23"/>
    <mergeCell ref="E22:E23"/>
    <mergeCell ref="B54:B55"/>
    <mergeCell ref="A54:A55"/>
    <mergeCell ref="G54:G55"/>
    <mergeCell ref="F54:F55"/>
    <mergeCell ref="E54:E55"/>
    <mergeCell ref="D54:D55"/>
    <mergeCell ref="C54:C55"/>
    <mergeCell ref="G24:G25"/>
    <mergeCell ref="A24:A25"/>
    <mergeCell ref="B24:B25"/>
    <mergeCell ref="C24:C25"/>
    <mergeCell ref="D24:D25"/>
    <mergeCell ref="E24:E25"/>
    <mergeCell ref="F24:F25"/>
    <mergeCell ref="B48:B50"/>
    <mergeCell ref="A48:A50"/>
    <mergeCell ref="G48:G50"/>
    <mergeCell ref="F48:F50"/>
    <mergeCell ref="E48:E50"/>
    <mergeCell ref="D48:D50"/>
    <mergeCell ref="C48:C50"/>
    <mergeCell ref="B34:B35"/>
    <mergeCell ref="A34:A35"/>
    <mergeCell ref="G36:G37"/>
    <mergeCell ref="G110:G111"/>
    <mergeCell ref="F110:F111"/>
    <mergeCell ref="E110:E111"/>
    <mergeCell ref="D110:D111"/>
    <mergeCell ref="C110:C111"/>
    <mergeCell ref="B110:B111"/>
    <mergeCell ref="A110:A111"/>
    <mergeCell ref="G60:G62"/>
    <mergeCell ref="F60:F62"/>
    <mergeCell ref="E60:E62"/>
    <mergeCell ref="D60:D62"/>
    <mergeCell ref="G64:G65"/>
    <mergeCell ref="F64:F65"/>
    <mergeCell ref="A64:A65"/>
    <mergeCell ref="B64:B65"/>
    <mergeCell ref="C64:C65"/>
    <mergeCell ref="D64:D65"/>
    <mergeCell ref="E64:E65"/>
    <mergeCell ref="C60:C62"/>
    <mergeCell ref="B60:B62"/>
    <mergeCell ref="A60:A62"/>
    <mergeCell ref="B104:B105"/>
    <mergeCell ref="A104:A105"/>
    <mergeCell ref="A82:A94"/>
    <mergeCell ref="G113:G115"/>
    <mergeCell ref="F113:F115"/>
    <mergeCell ref="E113:E115"/>
    <mergeCell ref="D113:D115"/>
    <mergeCell ref="C113:C115"/>
    <mergeCell ref="B113:B115"/>
    <mergeCell ref="A113:A115"/>
    <mergeCell ref="A118:A121"/>
    <mergeCell ref="B118:B121"/>
    <mergeCell ref="C118:C121"/>
    <mergeCell ref="D118:D121"/>
    <mergeCell ref="E118:E121"/>
    <mergeCell ref="F118:F121"/>
    <mergeCell ref="G118:G121"/>
    <mergeCell ref="G129:G130"/>
    <mergeCell ref="E129:E130"/>
    <mergeCell ref="F129:F130"/>
    <mergeCell ref="D129:D130"/>
    <mergeCell ref="C129:C130"/>
    <mergeCell ref="B129:B130"/>
    <mergeCell ref="A129:A130"/>
    <mergeCell ref="A123:A124"/>
    <mergeCell ref="B123:B124"/>
    <mergeCell ref="C123:C124"/>
    <mergeCell ref="D123:D124"/>
    <mergeCell ref="E123:E124"/>
    <mergeCell ref="F123:F124"/>
    <mergeCell ref="G123:G124"/>
    <mergeCell ref="G126:G127"/>
    <mergeCell ref="F126:F127"/>
    <mergeCell ref="E126:E127"/>
    <mergeCell ref="D126:D127"/>
    <mergeCell ref="C126:C127"/>
    <mergeCell ref="B126:B127"/>
    <mergeCell ref="A126:A127"/>
    <mergeCell ref="G175:G176"/>
    <mergeCell ref="F175:F176"/>
    <mergeCell ref="E175:E176"/>
    <mergeCell ref="D175:D176"/>
    <mergeCell ref="C175:C176"/>
    <mergeCell ref="B175:B176"/>
    <mergeCell ref="A175:A176"/>
    <mergeCell ref="G164:G165"/>
    <mergeCell ref="F164:F165"/>
    <mergeCell ref="E164:E165"/>
    <mergeCell ref="D164:D165"/>
    <mergeCell ref="C164:C165"/>
    <mergeCell ref="B164:B165"/>
    <mergeCell ref="A164:A165"/>
    <mergeCell ref="A170:A174"/>
    <mergeCell ref="B170:B174"/>
    <mergeCell ref="C170:C174"/>
    <mergeCell ref="D170:D174"/>
    <mergeCell ref="E170:E174"/>
    <mergeCell ref="F170:F174"/>
    <mergeCell ref="G170:G174"/>
    <mergeCell ref="G167:G168"/>
    <mergeCell ref="F167:F168"/>
    <mergeCell ref="E167:E168"/>
    <mergeCell ref="D167:D168"/>
    <mergeCell ref="C167:C168"/>
    <mergeCell ref="B167:B168"/>
    <mergeCell ref="A167:A168"/>
    <mergeCell ref="G160:G163"/>
    <mergeCell ref="F160:F163"/>
    <mergeCell ref="E160:E163"/>
    <mergeCell ref="D160:D163"/>
    <mergeCell ref="C160:C163"/>
    <mergeCell ref="B160:B163"/>
    <mergeCell ref="A160:A16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65"/>
  <sheetViews>
    <sheetView tabSelected="1" workbookViewId="0">
      <pane ySplit="3" topLeftCell="A47" activePane="bottomLeft" state="frozen"/>
      <selection pane="bottomLeft" activeCell="H64" sqref="H64:H65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0" customWidth="1"/>
    <col min="5" max="5" width="21.140625" style="11" customWidth="1"/>
    <col min="6" max="6" width="11.85546875" style="12" customWidth="1"/>
    <col min="7" max="7" width="12.28515625" style="12" customWidth="1"/>
    <col min="8" max="8" width="11.7109375" style="13" customWidth="1"/>
  </cols>
  <sheetData>
    <row r="2" spans="1:8" ht="28.5" customHeight="1" x14ac:dyDescent="0.25">
      <c r="A2" s="52" t="s">
        <v>663</v>
      </c>
      <c r="B2" s="52" t="s">
        <v>664</v>
      </c>
      <c r="C2" s="52" t="s">
        <v>647</v>
      </c>
      <c r="D2" s="62" t="s">
        <v>648</v>
      </c>
      <c r="E2" s="62" t="s">
        <v>649</v>
      </c>
      <c r="F2" s="63" t="s">
        <v>650</v>
      </c>
      <c r="G2" s="63" t="s">
        <v>2</v>
      </c>
      <c r="H2" s="63"/>
    </row>
    <row r="3" spans="1:8" ht="15" customHeight="1" x14ac:dyDescent="0.25">
      <c r="A3" s="52"/>
      <c r="B3" s="52"/>
      <c r="C3" s="52"/>
      <c r="D3" s="62"/>
      <c r="E3" s="62"/>
      <c r="F3" s="63"/>
      <c r="G3" s="12" t="s">
        <v>665</v>
      </c>
      <c r="H3" s="13" t="s">
        <v>4</v>
      </c>
    </row>
    <row r="4" spans="1:8" ht="15" customHeight="1" x14ac:dyDescent="0.25">
      <c r="A4" s="66">
        <v>43192</v>
      </c>
      <c r="B4" s="15" t="s">
        <v>651</v>
      </c>
      <c r="C4" s="67" t="s">
        <v>653</v>
      </c>
      <c r="D4" s="64">
        <v>180014422</v>
      </c>
      <c r="E4" s="56" t="s">
        <v>99</v>
      </c>
      <c r="F4" s="48">
        <v>1858500</v>
      </c>
      <c r="G4" s="48" t="s">
        <v>468</v>
      </c>
      <c r="H4" s="48">
        <v>23</v>
      </c>
    </row>
    <row r="5" spans="1:8" ht="15" customHeight="1" x14ac:dyDescent="0.25">
      <c r="A5" s="66"/>
      <c r="B5" s="15" t="s">
        <v>652</v>
      </c>
      <c r="C5" s="67"/>
      <c r="D5" s="64"/>
      <c r="E5" s="56"/>
      <c r="F5" s="48"/>
      <c r="G5" s="48"/>
      <c r="H5" s="48"/>
    </row>
    <row r="6" spans="1:8" ht="15" customHeight="1" x14ac:dyDescent="0.25">
      <c r="A6" s="66">
        <v>43192</v>
      </c>
      <c r="B6" s="15" t="s">
        <v>654</v>
      </c>
      <c r="C6" s="67" t="s">
        <v>656</v>
      </c>
      <c r="D6" s="64">
        <v>180014411</v>
      </c>
      <c r="E6" s="56" t="s">
        <v>685</v>
      </c>
      <c r="F6" s="48">
        <v>2831400</v>
      </c>
      <c r="G6" s="48" t="s">
        <v>686</v>
      </c>
      <c r="H6" s="48">
        <v>36</v>
      </c>
    </row>
    <row r="7" spans="1:8" ht="15" customHeight="1" x14ac:dyDescent="0.25">
      <c r="A7" s="66"/>
      <c r="B7" s="15" t="s">
        <v>655</v>
      </c>
      <c r="C7" s="67"/>
      <c r="D7" s="64"/>
      <c r="E7" s="56"/>
      <c r="F7" s="48"/>
      <c r="G7" s="48"/>
      <c r="H7" s="48"/>
    </row>
    <row r="8" spans="1:8" ht="15" customHeight="1" x14ac:dyDescent="0.25">
      <c r="A8" s="66">
        <v>43192</v>
      </c>
      <c r="B8" s="15" t="s">
        <v>657</v>
      </c>
      <c r="C8" s="67" t="s">
        <v>659</v>
      </c>
      <c r="D8" s="64">
        <v>180014400</v>
      </c>
      <c r="E8" s="56" t="s">
        <v>185</v>
      </c>
      <c r="F8" s="48">
        <v>708000</v>
      </c>
      <c r="G8" s="48" t="s">
        <v>187</v>
      </c>
      <c r="H8" s="48">
        <v>15</v>
      </c>
    </row>
    <row r="9" spans="1:8" ht="15" customHeight="1" x14ac:dyDescent="0.25">
      <c r="A9" s="66"/>
      <c r="B9" s="15" t="s">
        <v>658</v>
      </c>
      <c r="C9" s="67"/>
      <c r="D9" s="64"/>
      <c r="E9" s="56"/>
      <c r="F9" s="48"/>
      <c r="G9" s="48"/>
      <c r="H9" s="48"/>
    </row>
    <row r="10" spans="1:8" ht="15" customHeight="1" x14ac:dyDescent="0.25">
      <c r="A10" s="66">
        <v>43192</v>
      </c>
      <c r="B10" s="15" t="s">
        <v>660</v>
      </c>
      <c r="C10" s="67" t="s">
        <v>662</v>
      </c>
      <c r="D10" s="64">
        <v>180014408</v>
      </c>
      <c r="E10" s="56" t="s">
        <v>151</v>
      </c>
      <c r="F10" s="48">
        <v>2339400</v>
      </c>
      <c r="G10" s="48" t="s">
        <v>178</v>
      </c>
      <c r="H10" s="48">
        <v>40</v>
      </c>
    </row>
    <row r="11" spans="1:8" ht="15" customHeight="1" x14ac:dyDescent="0.25">
      <c r="A11" s="66"/>
      <c r="B11" s="15" t="s">
        <v>661</v>
      </c>
      <c r="C11" s="67"/>
      <c r="D11" s="64"/>
      <c r="E11" s="56"/>
      <c r="F11" s="48"/>
      <c r="G11" s="48"/>
      <c r="H11" s="48"/>
    </row>
    <row r="12" spans="1:8" ht="15" customHeight="1" x14ac:dyDescent="0.25">
      <c r="A12" s="66">
        <v>43193</v>
      </c>
      <c r="B12" s="15" t="s">
        <v>719</v>
      </c>
      <c r="C12" s="67" t="s">
        <v>721</v>
      </c>
      <c r="D12" s="46">
        <v>180014444</v>
      </c>
      <c r="E12" s="47" t="s">
        <v>727</v>
      </c>
      <c r="F12" s="48">
        <v>4494350</v>
      </c>
      <c r="G12" s="48" t="s">
        <v>728</v>
      </c>
      <c r="H12" s="48">
        <v>39</v>
      </c>
    </row>
    <row r="13" spans="1:8" ht="15" customHeight="1" x14ac:dyDescent="0.25">
      <c r="A13" s="66"/>
      <c r="B13" s="15" t="s">
        <v>720</v>
      </c>
      <c r="C13" s="67"/>
      <c r="D13" s="46"/>
      <c r="E13" s="47"/>
      <c r="F13" s="48"/>
      <c r="G13" s="48"/>
      <c r="H13" s="48"/>
    </row>
    <row r="14" spans="1:8" ht="15" customHeight="1" x14ac:dyDescent="0.25">
      <c r="A14" s="66">
        <v>43193</v>
      </c>
      <c r="B14" s="15" t="s">
        <v>722</v>
      </c>
      <c r="C14" s="67" t="s">
        <v>724</v>
      </c>
      <c r="D14" s="46">
        <v>180014426</v>
      </c>
      <c r="E14" s="47" t="s">
        <v>215</v>
      </c>
      <c r="F14" s="48">
        <v>2290000</v>
      </c>
      <c r="G14" s="48" t="s">
        <v>216</v>
      </c>
      <c r="H14" s="48">
        <v>100</v>
      </c>
    </row>
    <row r="15" spans="1:8" ht="15" customHeight="1" x14ac:dyDescent="0.25">
      <c r="A15" s="66"/>
      <c r="B15" s="15" t="s">
        <v>723</v>
      </c>
      <c r="C15" s="67"/>
      <c r="D15" s="46"/>
      <c r="E15" s="47"/>
      <c r="F15" s="48"/>
      <c r="G15" s="48"/>
      <c r="H15" s="48"/>
    </row>
    <row r="16" spans="1:8" ht="15" customHeight="1" x14ac:dyDescent="0.25">
      <c r="A16" s="66">
        <v>43194</v>
      </c>
      <c r="B16" s="15" t="s">
        <v>756</v>
      </c>
      <c r="C16" s="67" t="s">
        <v>758</v>
      </c>
      <c r="D16" s="64">
        <v>180014471</v>
      </c>
      <c r="E16" s="56" t="s">
        <v>353</v>
      </c>
      <c r="F16" s="48">
        <v>673400</v>
      </c>
      <c r="G16" s="48" t="s">
        <v>776</v>
      </c>
      <c r="H16" s="48">
        <v>12</v>
      </c>
    </row>
    <row r="17" spans="1:8" ht="15" customHeight="1" x14ac:dyDescent="0.25">
      <c r="A17" s="66"/>
      <c r="B17" s="15" t="s">
        <v>757</v>
      </c>
      <c r="C17" s="67"/>
      <c r="D17" s="64"/>
      <c r="E17" s="56"/>
      <c r="F17" s="48"/>
      <c r="G17" s="48"/>
      <c r="H17" s="48"/>
    </row>
    <row r="18" spans="1:8" ht="15" customHeight="1" x14ac:dyDescent="0.25">
      <c r="A18" s="66">
        <v>43194</v>
      </c>
      <c r="B18" s="15" t="s">
        <v>759</v>
      </c>
      <c r="C18" s="67" t="s">
        <v>761</v>
      </c>
      <c r="D18" s="64">
        <v>180014450</v>
      </c>
      <c r="E18" s="56" t="s">
        <v>766</v>
      </c>
      <c r="F18" s="48">
        <v>745350</v>
      </c>
      <c r="G18" s="48" t="s">
        <v>767</v>
      </c>
      <c r="H18" s="48">
        <v>11</v>
      </c>
    </row>
    <row r="19" spans="1:8" ht="15" customHeight="1" x14ac:dyDescent="0.25">
      <c r="A19" s="66"/>
      <c r="B19" s="15" t="s">
        <v>760</v>
      </c>
      <c r="C19" s="67"/>
      <c r="D19" s="64"/>
      <c r="E19" s="56"/>
      <c r="F19" s="48"/>
      <c r="G19" s="48"/>
      <c r="H19" s="48"/>
    </row>
    <row r="20" spans="1:8" ht="15" customHeight="1" x14ac:dyDescent="0.25">
      <c r="A20" s="66">
        <v>43194</v>
      </c>
      <c r="B20" s="15" t="s">
        <v>651</v>
      </c>
      <c r="C20" s="67" t="s">
        <v>762</v>
      </c>
      <c r="D20" s="64">
        <v>180014453</v>
      </c>
      <c r="E20" s="56" t="s">
        <v>99</v>
      </c>
      <c r="F20" s="48">
        <v>1968000</v>
      </c>
      <c r="G20" s="48" t="s">
        <v>468</v>
      </c>
      <c r="H20" s="48">
        <v>24</v>
      </c>
    </row>
    <row r="21" spans="1:8" ht="15" customHeight="1" x14ac:dyDescent="0.25">
      <c r="A21" s="66"/>
      <c r="B21" s="15" t="s">
        <v>652</v>
      </c>
      <c r="C21" s="67"/>
      <c r="D21" s="64"/>
      <c r="E21" s="56"/>
      <c r="F21" s="48"/>
      <c r="G21" s="48"/>
      <c r="H21" s="48"/>
    </row>
    <row r="22" spans="1:8" ht="15" customHeight="1" x14ac:dyDescent="0.25">
      <c r="A22" s="66">
        <v>43194</v>
      </c>
      <c r="B22" s="15" t="s">
        <v>763</v>
      </c>
      <c r="C22" s="67" t="s">
        <v>765</v>
      </c>
      <c r="D22" s="64">
        <v>180014459</v>
      </c>
      <c r="E22" s="56" t="s">
        <v>315</v>
      </c>
      <c r="F22" s="48">
        <v>925800</v>
      </c>
      <c r="G22" s="48" t="s">
        <v>777</v>
      </c>
      <c r="H22" s="48">
        <v>12</v>
      </c>
    </row>
    <row r="23" spans="1:8" ht="15" customHeight="1" x14ac:dyDescent="0.25">
      <c r="A23" s="66"/>
      <c r="B23" s="15" t="s">
        <v>764</v>
      </c>
      <c r="C23" s="67"/>
      <c r="D23" s="64"/>
      <c r="E23" s="56"/>
      <c r="F23" s="48"/>
      <c r="G23" s="48"/>
      <c r="H23" s="48"/>
    </row>
    <row r="24" spans="1:8" ht="15" customHeight="1" x14ac:dyDescent="0.25">
      <c r="A24" s="66">
        <v>43195</v>
      </c>
      <c r="B24" s="15" t="s">
        <v>808</v>
      </c>
      <c r="C24" s="67" t="s">
        <v>810</v>
      </c>
      <c r="D24" s="64">
        <v>180014499</v>
      </c>
      <c r="E24" s="56" t="s">
        <v>168</v>
      </c>
      <c r="F24" s="48">
        <v>736200</v>
      </c>
      <c r="G24" s="48" t="s">
        <v>844</v>
      </c>
      <c r="H24" s="48">
        <v>36</v>
      </c>
    </row>
    <row r="25" spans="1:8" ht="15" customHeight="1" x14ac:dyDescent="0.25">
      <c r="A25" s="66"/>
      <c r="B25" s="15" t="s">
        <v>809</v>
      </c>
      <c r="C25" s="67"/>
      <c r="D25" s="64"/>
      <c r="E25" s="56"/>
      <c r="F25" s="48"/>
      <c r="G25" s="48"/>
      <c r="H25" s="48"/>
    </row>
    <row r="26" spans="1:8" ht="15" customHeight="1" x14ac:dyDescent="0.25">
      <c r="A26" s="66">
        <v>43195</v>
      </c>
      <c r="B26" s="15" t="s">
        <v>811</v>
      </c>
      <c r="C26" s="67" t="s">
        <v>813</v>
      </c>
      <c r="D26" s="64">
        <v>180014506</v>
      </c>
      <c r="E26" s="56" t="s">
        <v>829</v>
      </c>
      <c r="F26" s="48">
        <v>562600</v>
      </c>
      <c r="G26" s="48" t="s">
        <v>830</v>
      </c>
      <c r="H26" s="48">
        <v>16</v>
      </c>
    </row>
    <row r="27" spans="1:8" ht="15" customHeight="1" x14ac:dyDescent="0.25">
      <c r="A27" s="66"/>
      <c r="B27" s="15" t="s">
        <v>812</v>
      </c>
      <c r="C27" s="67"/>
      <c r="D27" s="64"/>
      <c r="E27" s="56"/>
      <c r="F27" s="48"/>
      <c r="G27" s="48"/>
      <c r="H27" s="48"/>
    </row>
    <row r="28" spans="1:8" ht="15" customHeight="1" x14ac:dyDescent="0.25">
      <c r="A28" s="66">
        <v>43195</v>
      </c>
      <c r="B28" s="15" t="s">
        <v>651</v>
      </c>
      <c r="C28" s="67" t="s">
        <v>814</v>
      </c>
      <c r="D28" s="64">
        <v>180014507</v>
      </c>
      <c r="E28" s="56" t="s">
        <v>99</v>
      </c>
      <c r="F28" s="48">
        <v>1928600</v>
      </c>
      <c r="G28" s="48" t="s">
        <v>834</v>
      </c>
      <c r="H28" s="48">
        <v>36</v>
      </c>
    </row>
    <row r="29" spans="1:8" ht="15" customHeight="1" x14ac:dyDescent="0.25">
      <c r="A29" s="66"/>
      <c r="B29" s="15" t="s">
        <v>652</v>
      </c>
      <c r="C29" s="67"/>
      <c r="D29" s="64"/>
      <c r="E29" s="56"/>
      <c r="F29" s="48"/>
      <c r="G29" s="48"/>
      <c r="H29" s="48"/>
    </row>
    <row r="30" spans="1:8" ht="15" customHeight="1" x14ac:dyDescent="0.25">
      <c r="A30" s="66">
        <v>43195</v>
      </c>
      <c r="B30" s="15" t="s">
        <v>815</v>
      </c>
      <c r="C30" s="67" t="s">
        <v>817</v>
      </c>
      <c r="D30" s="64">
        <v>180014487</v>
      </c>
      <c r="E30" s="56" t="s">
        <v>208</v>
      </c>
      <c r="F30" s="48">
        <v>1033700</v>
      </c>
      <c r="G30" s="48" t="s">
        <v>210</v>
      </c>
      <c r="H30" s="48">
        <v>22</v>
      </c>
    </row>
    <row r="31" spans="1:8" ht="15" customHeight="1" x14ac:dyDescent="0.25">
      <c r="A31" s="66"/>
      <c r="B31" s="15" t="s">
        <v>816</v>
      </c>
      <c r="C31" s="67"/>
      <c r="D31" s="64"/>
      <c r="E31" s="56"/>
      <c r="F31" s="48"/>
      <c r="G31" s="48"/>
      <c r="H31" s="48"/>
    </row>
    <row r="32" spans="1:8" ht="15" customHeight="1" x14ac:dyDescent="0.25">
      <c r="A32" s="66">
        <v>43195</v>
      </c>
      <c r="B32" s="15" t="s">
        <v>818</v>
      </c>
      <c r="C32" s="67" t="s">
        <v>820</v>
      </c>
      <c r="D32" s="64">
        <v>180014484</v>
      </c>
      <c r="E32" s="56" t="s">
        <v>849</v>
      </c>
      <c r="F32" s="48">
        <v>718200</v>
      </c>
      <c r="G32" s="48" t="s">
        <v>850</v>
      </c>
      <c r="H32" s="48">
        <v>12</v>
      </c>
    </row>
    <row r="33" spans="1:8" ht="15" customHeight="1" x14ac:dyDescent="0.25">
      <c r="A33" s="66"/>
      <c r="B33" s="15" t="s">
        <v>819</v>
      </c>
      <c r="C33" s="67"/>
      <c r="D33" s="64"/>
      <c r="E33" s="56"/>
      <c r="F33" s="48"/>
      <c r="G33" s="48"/>
      <c r="H33" s="48"/>
    </row>
    <row r="34" spans="1:8" ht="15" customHeight="1" x14ac:dyDescent="0.25">
      <c r="A34" s="66">
        <v>43195</v>
      </c>
      <c r="B34" s="15" t="s">
        <v>821</v>
      </c>
      <c r="C34" s="67" t="s">
        <v>823</v>
      </c>
      <c r="D34" s="64">
        <v>180014481</v>
      </c>
      <c r="E34" s="56" t="s">
        <v>846</v>
      </c>
      <c r="F34" s="48">
        <v>1497000</v>
      </c>
      <c r="G34" s="48" t="s">
        <v>847</v>
      </c>
      <c r="H34" s="48">
        <v>20</v>
      </c>
    </row>
    <row r="35" spans="1:8" ht="15" customHeight="1" x14ac:dyDescent="0.25">
      <c r="A35" s="66"/>
      <c r="B35" s="15" t="s">
        <v>822</v>
      </c>
      <c r="C35" s="67"/>
      <c r="D35" s="64"/>
      <c r="E35" s="56"/>
      <c r="F35" s="48"/>
      <c r="G35" s="48"/>
      <c r="H35" s="48"/>
    </row>
    <row r="36" spans="1:8" ht="15" customHeight="1" x14ac:dyDescent="0.25">
      <c r="A36" s="66">
        <v>43195</v>
      </c>
      <c r="B36" s="15" t="s">
        <v>824</v>
      </c>
      <c r="C36" s="67" t="s">
        <v>826</v>
      </c>
      <c r="D36" s="64">
        <v>180014480</v>
      </c>
      <c r="E36" s="56" t="s">
        <v>842</v>
      </c>
      <c r="F36" s="48">
        <v>1017600</v>
      </c>
      <c r="G36" s="48" t="s">
        <v>843</v>
      </c>
      <c r="H36" s="48">
        <v>16</v>
      </c>
    </row>
    <row r="37" spans="1:8" ht="15" customHeight="1" x14ac:dyDescent="0.25">
      <c r="A37" s="66"/>
      <c r="B37" s="15" t="s">
        <v>825</v>
      </c>
      <c r="C37" s="67"/>
      <c r="D37" s="64"/>
      <c r="E37" s="56"/>
      <c r="F37" s="48"/>
      <c r="G37" s="48"/>
      <c r="H37" s="48"/>
    </row>
    <row r="38" spans="1:8" ht="15" customHeight="1" x14ac:dyDescent="0.25">
      <c r="A38" s="66">
        <v>43195</v>
      </c>
      <c r="B38" s="15" t="s">
        <v>827</v>
      </c>
      <c r="C38" s="67" t="s">
        <v>828</v>
      </c>
      <c r="D38" s="64">
        <v>180014466</v>
      </c>
      <c r="E38" s="56" t="s">
        <v>55</v>
      </c>
      <c r="F38" s="48">
        <v>1610400</v>
      </c>
      <c r="G38" s="48" t="s">
        <v>38</v>
      </c>
      <c r="H38" s="48">
        <v>22</v>
      </c>
    </row>
    <row r="39" spans="1:8" ht="15" customHeight="1" x14ac:dyDescent="0.25">
      <c r="A39" s="66"/>
      <c r="B39" s="15" t="s">
        <v>822</v>
      </c>
      <c r="C39" s="67"/>
      <c r="D39" s="64"/>
      <c r="E39" s="56"/>
      <c r="F39" s="48"/>
      <c r="G39" s="48"/>
      <c r="H39" s="48"/>
    </row>
    <row r="40" spans="1:8" ht="15" customHeight="1" x14ac:dyDescent="0.25">
      <c r="A40" s="66">
        <v>43196</v>
      </c>
      <c r="B40" s="15" t="s">
        <v>827</v>
      </c>
      <c r="C40" s="67" t="s">
        <v>889</v>
      </c>
      <c r="D40" s="64">
        <v>180014514</v>
      </c>
      <c r="E40" s="56" t="s">
        <v>55</v>
      </c>
      <c r="F40" s="48">
        <v>1830000</v>
      </c>
      <c r="G40" s="64" t="s">
        <v>38</v>
      </c>
      <c r="H40" s="65">
        <v>25</v>
      </c>
    </row>
    <row r="41" spans="1:8" ht="15" customHeight="1" x14ac:dyDescent="0.25">
      <c r="A41" s="66"/>
      <c r="B41" s="15" t="s">
        <v>822</v>
      </c>
      <c r="C41" s="67"/>
      <c r="D41" s="64"/>
      <c r="E41" s="56"/>
      <c r="F41" s="48"/>
      <c r="G41" s="64"/>
      <c r="H41" s="65"/>
    </row>
    <row r="42" spans="1:8" ht="15" customHeight="1" x14ac:dyDescent="0.25">
      <c r="A42" s="66">
        <v>43196</v>
      </c>
      <c r="B42" s="15" t="s">
        <v>890</v>
      </c>
      <c r="C42" s="67" t="s">
        <v>892</v>
      </c>
      <c r="D42" s="64">
        <v>180014520</v>
      </c>
      <c r="E42" s="56" t="s">
        <v>74</v>
      </c>
      <c r="F42" s="48">
        <v>1736400</v>
      </c>
      <c r="G42" s="64" t="s">
        <v>913</v>
      </c>
      <c r="H42" s="65">
        <v>24</v>
      </c>
    </row>
    <row r="43" spans="1:8" ht="15" customHeight="1" x14ac:dyDescent="0.25">
      <c r="A43" s="66"/>
      <c r="B43" s="15" t="s">
        <v>891</v>
      </c>
      <c r="C43" s="67"/>
      <c r="D43" s="64"/>
      <c r="E43" s="56"/>
      <c r="F43" s="48"/>
      <c r="G43" s="64"/>
      <c r="H43" s="65"/>
    </row>
    <row r="44" spans="1:8" ht="15" customHeight="1" x14ac:dyDescent="0.25">
      <c r="A44" s="66">
        <v>43196</v>
      </c>
      <c r="B44" s="15" t="s">
        <v>893</v>
      </c>
      <c r="C44" s="67" t="s">
        <v>895</v>
      </c>
      <c r="D44" s="64">
        <v>180014532</v>
      </c>
      <c r="E44" s="56" t="s">
        <v>919</v>
      </c>
      <c r="F44" s="48">
        <v>643500</v>
      </c>
      <c r="G44" s="64" t="s">
        <v>920</v>
      </c>
      <c r="H44" s="65">
        <v>23</v>
      </c>
    </row>
    <row r="45" spans="1:8" ht="15" customHeight="1" x14ac:dyDescent="0.25">
      <c r="A45" s="66"/>
      <c r="B45" s="15" t="s">
        <v>894</v>
      </c>
      <c r="C45" s="67"/>
      <c r="D45" s="64"/>
      <c r="E45" s="56"/>
      <c r="F45" s="48"/>
      <c r="G45" s="64"/>
      <c r="H45" s="65"/>
    </row>
    <row r="46" spans="1:8" ht="15" customHeight="1" x14ac:dyDescent="0.25">
      <c r="A46" s="66">
        <v>43196</v>
      </c>
      <c r="B46" s="15" t="s">
        <v>896</v>
      </c>
      <c r="C46" s="67" t="s">
        <v>898</v>
      </c>
      <c r="D46" s="64">
        <v>180014521</v>
      </c>
      <c r="E46" s="56" t="s">
        <v>924</v>
      </c>
      <c r="F46" s="48">
        <v>1170450</v>
      </c>
      <c r="G46" s="64" t="s">
        <v>925</v>
      </c>
      <c r="H46" s="65">
        <v>17</v>
      </c>
    </row>
    <row r="47" spans="1:8" ht="15" customHeight="1" x14ac:dyDescent="0.25">
      <c r="A47" s="66"/>
      <c r="B47" s="15" t="s">
        <v>897</v>
      </c>
      <c r="C47" s="67"/>
      <c r="D47" s="64"/>
      <c r="E47" s="56"/>
      <c r="F47" s="48"/>
      <c r="G47" s="64"/>
      <c r="H47" s="65"/>
    </row>
    <row r="48" spans="1:8" ht="15" customHeight="1" x14ac:dyDescent="0.25">
      <c r="A48" s="66">
        <v>43196</v>
      </c>
      <c r="B48" s="15" t="s">
        <v>899</v>
      </c>
      <c r="C48" s="67" t="s">
        <v>901</v>
      </c>
      <c r="D48" s="64">
        <v>180014510</v>
      </c>
      <c r="E48" s="56" t="s">
        <v>51</v>
      </c>
      <c r="F48" s="48">
        <v>558500</v>
      </c>
      <c r="G48" s="64" t="s">
        <v>34</v>
      </c>
      <c r="H48" s="65">
        <v>10</v>
      </c>
    </row>
    <row r="49" spans="1:8" ht="15" customHeight="1" x14ac:dyDescent="0.25">
      <c r="A49" s="66"/>
      <c r="B49" s="15" t="s">
        <v>900</v>
      </c>
      <c r="C49" s="67"/>
      <c r="D49" s="64"/>
      <c r="E49" s="56"/>
      <c r="F49" s="48"/>
      <c r="G49" s="64"/>
      <c r="H49" s="65"/>
    </row>
    <row r="50" spans="1:8" ht="15" customHeight="1" x14ac:dyDescent="0.25">
      <c r="A50" s="66">
        <v>43197</v>
      </c>
      <c r="B50" s="15" t="s">
        <v>951</v>
      </c>
      <c r="C50" s="67" t="s">
        <v>953</v>
      </c>
      <c r="D50" s="64">
        <v>180014555</v>
      </c>
      <c r="E50" s="56" t="s">
        <v>973</v>
      </c>
      <c r="F50" s="69">
        <v>670200</v>
      </c>
      <c r="G50" s="64" t="s">
        <v>974</v>
      </c>
      <c r="H50" s="48">
        <v>12</v>
      </c>
    </row>
    <row r="51" spans="1:8" ht="15" customHeight="1" x14ac:dyDescent="0.25">
      <c r="A51" s="66"/>
      <c r="B51" s="15" t="s">
        <v>952</v>
      </c>
      <c r="C51" s="67"/>
      <c r="D51" s="64"/>
      <c r="E51" s="56"/>
      <c r="F51" s="69"/>
      <c r="G51" s="64"/>
      <c r="H51" s="48"/>
    </row>
    <row r="52" spans="1:8" ht="15" customHeight="1" x14ac:dyDescent="0.25">
      <c r="A52" s="66">
        <v>43197</v>
      </c>
      <c r="B52" s="15" t="s">
        <v>954</v>
      </c>
      <c r="C52" s="67" t="s">
        <v>956</v>
      </c>
      <c r="D52" s="64">
        <v>180014545</v>
      </c>
      <c r="E52" s="56" t="s">
        <v>287</v>
      </c>
      <c r="F52" s="69">
        <v>1269450</v>
      </c>
      <c r="G52" s="64" t="s">
        <v>288</v>
      </c>
      <c r="H52" s="48">
        <v>31</v>
      </c>
    </row>
    <row r="53" spans="1:8" ht="15" customHeight="1" x14ac:dyDescent="0.25">
      <c r="A53" s="66"/>
      <c r="B53" s="15" t="s">
        <v>955</v>
      </c>
      <c r="C53" s="67"/>
      <c r="D53" s="64"/>
      <c r="E53" s="56"/>
      <c r="F53" s="69"/>
      <c r="G53" s="64"/>
      <c r="H53" s="48"/>
    </row>
    <row r="54" spans="1:8" ht="15" customHeight="1" x14ac:dyDescent="0.25">
      <c r="A54" s="66">
        <v>43197</v>
      </c>
      <c r="B54" s="15" t="s">
        <v>957</v>
      </c>
      <c r="C54" s="67" t="s">
        <v>959</v>
      </c>
      <c r="D54" s="64">
        <v>180014544</v>
      </c>
      <c r="E54" s="56" t="s">
        <v>147</v>
      </c>
      <c r="F54" s="69">
        <v>527550</v>
      </c>
      <c r="G54" s="64" t="s">
        <v>968</v>
      </c>
      <c r="H54" s="48">
        <v>9</v>
      </c>
    </row>
    <row r="55" spans="1:8" ht="15" customHeight="1" x14ac:dyDescent="0.25">
      <c r="A55" s="66"/>
      <c r="B55" s="15" t="s">
        <v>958</v>
      </c>
      <c r="C55" s="67"/>
      <c r="D55" s="64"/>
      <c r="E55" s="56"/>
      <c r="F55" s="69"/>
      <c r="G55" s="64"/>
      <c r="H55" s="48"/>
    </row>
    <row r="56" spans="1:8" ht="15" customHeight="1" x14ac:dyDescent="0.25">
      <c r="A56" s="66">
        <v>43197</v>
      </c>
      <c r="B56" s="15" t="s">
        <v>899</v>
      </c>
      <c r="C56" s="67" t="s">
        <v>901</v>
      </c>
      <c r="D56" s="64">
        <v>180014546</v>
      </c>
      <c r="E56" s="56" t="s">
        <v>51</v>
      </c>
      <c r="F56" s="69">
        <v>558500</v>
      </c>
      <c r="G56" s="64" t="s">
        <v>34</v>
      </c>
      <c r="H56" s="68">
        <v>10</v>
      </c>
    </row>
    <row r="57" spans="1:8" ht="15" customHeight="1" x14ac:dyDescent="0.25">
      <c r="A57" s="66"/>
      <c r="B57" s="15" t="s">
        <v>900</v>
      </c>
      <c r="C57" s="67"/>
      <c r="D57" s="64"/>
      <c r="E57" s="56"/>
      <c r="F57" s="69"/>
      <c r="G57" s="64"/>
      <c r="H57" s="68"/>
    </row>
    <row r="58" spans="1:8" ht="15" customHeight="1" x14ac:dyDescent="0.25">
      <c r="A58" s="66">
        <v>43200</v>
      </c>
      <c r="B58" s="15" t="s">
        <v>657</v>
      </c>
      <c r="C58" s="67" t="s">
        <v>1037</v>
      </c>
      <c r="D58" s="64">
        <v>180014610</v>
      </c>
      <c r="E58" s="56" t="s">
        <v>185</v>
      </c>
      <c r="F58" s="69">
        <v>3732950</v>
      </c>
      <c r="G58" s="44" t="s">
        <v>381</v>
      </c>
      <c r="H58" s="39">
        <v>12</v>
      </c>
    </row>
    <row r="59" spans="1:8" ht="15" customHeight="1" x14ac:dyDescent="0.25">
      <c r="A59" s="66"/>
      <c r="B59" s="15" t="s">
        <v>658</v>
      </c>
      <c r="C59" s="67"/>
      <c r="D59" s="64"/>
      <c r="E59" s="56"/>
      <c r="F59" s="69"/>
      <c r="G59" s="44" t="s">
        <v>188</v>
      </c>
      <c r="H59" s="39">
        <f>6+8+8+5+8</f>
        <v>35</v>
      </c>
    </row>
    <row r="60" spans="1:8" ht="15" customHeight="1" x14ac:dyDescent="0.25">
      <c r="A60" s="66">
        <v>43200</v>
      </c>
      <c r="B60" s="15" t="s">
        <v>756</v>
      </c>
      <c r="C60" s="67" t="s">
        <v>1039</v>
      </c>
      <c r="D60" s="64">
        <v>180014606</v>
      </c>
      <c r="E60" s="56" t="s">
        <v>353</v>
      </c>
      <c r="F60" s="69">
        <v>1913450</v>
      </c>
      <c r="G60" s="64" t="s">
        <v>354</v>
      </c>
      <c r="H60" s="48">
        <v>31</v>
      </c>
    </row>
    <row r="61" spans="1:8" ht="15" customHeight="1" x14ac:dyDescent="0.25">
      <c r="A61" s="66"/>
      <c r="B61" s="15" t="s">
        <v>757</v>
      </c>
      <c r="C61" s="67"/>
      <c r="D61" s="64"/>
      <c r="E61" s="56"/>
      <c r="F61" s="69"/>
      <c r="G61" s="64"/>
      <c r="H61" s="48"/>
    </row>
    <row r="62" spans="1:8" ht="15" customHeight="1" x14ac:dyDescent="0.25">
      <c r="A62" s="66">
        <v>43200</v>
      </c>
      <c r="B62" s="15" t="s">
        <v>1041</v>
      </c>
      <c r="C62" s="67" t="s">
        <v>1042</v>
      </c>
      <c r="D62" s="64">
        <v>180014614</v>
      </c>
      <c r="E62" s="56" t="s">
        <v>919</v>
      </c>
      <c r="F62" s="69">
        <v>1417800</v>
      </c>
      <c r="G62" s="64" t="s">
        <v>1054</v>
      </c>
      <c r="H62" s="48">
        <v>52</v>
      </c>
    </row>
    <row r="63" spans="1:8" ht="15" customHeight="1" x14ac:dyDescent="0.25">
      <c r="A63" s="66"/>
      <c r="B63" s="15" t="s">
        <v>894</v>
      </c>
      <c r="C63" s="67"/>
      <c r="D63" s="64"/>
      <c r="E63" s="56"/>
      <c r="F63" s="69"/>
      <c r="G63" s="64"/>
      <c r="H63" s="48"/>
    </row>
    <row r="64" spans="1:8" ht="15" customHeight="1" x14ac:dyDescent="0.25">
      <c r="A64" s="66">
        <v>43200</v>
      </c>
      <c r="B64" s="15" t="s">
        <v>1044</v>
      </c>
      <c r="C64" s="67" t="s">
        <v>1046</v>
      </c>
      <c r="D64" s="64">
        <v>180014592</v>
      </c>
      <c r="E64" s="56" t="s">
        <v>125</v>
      </c>
      <c r="F64" s="69">
        <v>1519000</v>
      </c>
      <c r="G64" s="64" t="s">
        <v>1051</v>
      </c>
      <c r="H64" s="48">
        <v>35</v>
      </c>
    </row>
    <row r="65" spans="1:8" ht="15" customHeight="1" x14ac:dyDescent="0.25">
      <c r="A65" s="66"/>
      <c r="B65" s="15" t="s">
        <v>1045</v>
      </c>
      <c r="C65" s="67"/>
      <c r="D65" s="64"/>
      <c r="E65" s="56"/>
      <c r="F65" s="69"/>
      <c r="G65" s="64"/>
      <c r="H65" s="48"/>
    </row>
  </sheetData>
  <mergeCells count="222">
    <mergeCell ref="A64:A65"/>
    <mergeCell ref="C64:C65"/>
    <mergeCell ref="D64:D65"/>
    <mergeCell ref="E64:E65"/>
    <mergeCell ref="F58:F59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H50:H51"/>
    <mergeCell ref="H52:H53"/>
    <mergeCell ref="H54:H55"/>
    <mergeCell ref="H56:H57"/>
    <mergeCell ref="A56:A57"/>
    <mergeCell ref="C56:C57"/>
    <mergeCell ref="D56:D57"/>
    <mergeCell ref="E56:E57"/>
    <mergeCell ref="F50:F51"/>
    <mergeCell ref="G50:G51"/>
    <mergeCell ref="F52:F53"/>
    <mergeCell ref="G52:G53"/>
    <mergeCell ref="F54:F55"/>
    <mergeCell ref="G54:G55"/>
    <mergeCell ref="F56:F57"/>
    <mergeCell ref="G56:G57"/>
    <mergeCell ref="A50:A51"/>
    <mergeCell ref="C50:C51"/>
    <mergeCell ref="D50:D51"/>
    <mergeCell ref="E50:E51"/>
    <mergeCell ref="A52:A53"/>
    <mergeCell ref="C52:C53"/>
    <mergeCell ref="D52:D53"/>
    <mergeCell ref="E52:E53"/>
    <mergeCell ref="A54:A55"/>
    <mergeCell ref="C54:C55"/>
    <mergeCell ref="D54:D55"/>
    <mergeCell ref="E54:E55"/>
    <mergeCell ref="F34:F35"/>
    <mergeCell ref="G34:G35"/>
    <mergeCell ref="H34:H35"/>
    <mergeCell ref="H38:H39"/>
    <mergeCell ref="G38:G39"/>
    <mergeCell ref="F38:F39"/>
    <mergeCell ref="F36:F37"/>
    <mergeCell ref="G36:G37"/>
    <mergeCell ref="H36:H37"/>
    <mergeCell ref="F42:F43"/>
    <mergeCell ref="A48:A49"/>
    <mergeCell ref="D48:D49"/>
    <mergeCell ref="E48:E49"/>
    <mergeCell ref="F48:F49"/>
    <mergeCell ref="C40:C41"/>
    <mergeCell ref="C42:C43"/>
    <mergeCell ref="C44:C45"/>
    <mergeCell ref="C46:C47"/>
    <mergeCell ref="C48:C49"/>
    <mergeCell ref="A44:A45"/>
    <mergeCell ref="H24:H25"/>
    <mergeCell ref="G24:G25"/>
    <mergeCell ref="F24:F25"/>
    <mergeCell ref="H32:H33"/>
    <mergeCell ref="G32:G33"/>
    <mergeCell ref="F32:F33"/>
    <mergeCell ref="H30:H31"/>
    <mergeCell ref="G30:G31"/>
    <mergeCell ref="F30:F31"/>
    <mergeCell ref="F26:F27"/>
    <mergeCell ref="G26:G27"/>
    <mergeCell ref="H26:H27"/>
    <mergeCell ref="H28:H29"/>
    <mergeCell ref="G28:G29"/>
    <mergeCell ref="F28:F29"/>
    <mergeCell ref="A36:A37"/>
    <mergeCell ref="C36:C37"/>
    <mergeCell ref="D36:D37"/>
    <mergeCell ref="E36:E37"/>
    <mergeCell ref="A38:A39"/>
    <mergeCell ref="C38:C39"/>
    <mergeCell ref="A32:A33"/>
    <mergeCell ref="C32:C33"/>
    <mergeCell ref="D32:D33"/>
    <mergeCell ref="E32:E33"/>
    <mergeCell ref="A34:A35"/>
    <mergeCell ref="C34:C35"/>
    <mergeCell ref="D38:D39"/>
    <mergeCell ref="E38:E39"/>
    <mergeCell ref="D34:D35"/>
    <mergeCell ref="E34:E35"/>
    <mergeCell ref="A12:A13"/>
    <mergeCell ref="C12:C13"/>
    <mergeCell ref="A14:A15"/>
    <mergeCell ref="C14:C15"/>
    <mergeCell ref="H12:H13"/>
    <mergeCell ref="G12:G13"/>
    <mergeCell ref="F12:F13"/>
    <mergeCell ref="E12:E13"/>
    <mergeCell ref="D12:D13"/>
    <mergeCell ref="H14:H15"/>
    <mergeCell ref="G14:G15"/>
    <mergeCell ref="F14:F15"/>
    <mergeCell ref="E14:E15"/>
    <mergeCell ref="D14:D1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A10:A11"/>
    <mergeCell ref="C10:C11"/>
    <mergeCell ref="D10:D11"/>
    <mergeCell ref="E10:E11"/>
    <mergeCell ref="F2:F3"/>
    <mergeCell ref="G10:G11"/>
    <mergeCell ref="G8:G9"/>
    <mergeCell ref="G6:G7"/>
    <mergeCell ref="G4:G5"/>
    <mergeCell ref="F10:F11"/>
    <mergeCell ref="F8:F9"/>
    <mergeCell ref="F6:F7"/>
    <mergeCell ref="F4:F5"/>
    <mergeCell ref="G2:H2"/>
    <mergeCell ref="H10:H11"/>
    <mergeCell ref="H4:H5"/>
    <mergeCell ref="H6:H7"/>
    <mergeCell ref="H8:H9"/>
    <mergeCell ref="A2:A3"/>
    <mergeCell ref="B2:B3"/>
    <mergeCell ref="C2:C3"/>
    <mergeCell ref="D2:D3"/>
    <mergeCell ref="E2:E3"/>
    <mergeCell ref="A4:A5"/>
    <mergeCell ref="H18:H19"/>
    <mergeCell ref="G18:G19"/>
    <mergeCell ref="H16:H17"/>
    <mergeCell ref="G16:G17"/>
    <mergeCell ref="G22:G23"/>
    <mergeCell ref="H22:H23"/>
    <mergeCell ref="H20:H21"/>
    <mergeCell ref="G20:G21"/>
    <mergeCell ref="A16:A17"/>
    <mergeCell ref="C16:C17"/>
    <mergeCell ref="D16:D17"/>
    <mergeCell ref="E16:E17"/>
    <mergeCell ref="A18:A19"/>
    <mergeCell ref="C18:C19"/>
    <mergeCell ref="D18:D19"/>
    <mergeCell ref="E18:E19"/>
    <mergeCell ref="A20:A21"/>
    <mergeCell ref="C20:C21"/>
    <mergeCell ref="D20:D21"/>
    <mergeCell ref="E20:E21"/>
    <mergeCell ref="A22:A23"/>
    <mergeCell ref="C22:C23"/>
    <mergeCell ref="D22:D23"/>
    <mergeCell ref="E22:E23"/>
    <mergeCell ref="F22:F23"/>
    <mergeCell ref="F20:F21"/>
    <mergeCell ref="F18:F19"/>
    <mergeCell ref="F16:F17"/>
    <mergeCell ref="A28:A29"/>
    <mergeCell ref="C28:C29"/>
    <mergeCell ref="D28:D29"/>
    <mergeCell ref="E28:E29"/>
    <mergeCell ref="A30:A31"/>
    <mergeCell ref="C30:C31"/>
    <mergeCell ref="D30:D31"/>
    <mergeCell ref="E30:E31"/>
    <mergeCell ref="A24:A25"/>
    <mergeCell ref="C24:C25"/>
    <mergeCell ref="D24:D25"/>
    <mergeCell ref="E24:E25"/>
    <mergeCell ref="A26:A27"/>
    <mergeCell ref="C26:C27"/>
    <mergeCell ref="D26:D27"/>
    <mergeCell ref="E26:E27"/>
    <mergeCell ref="D44:D45"/>
    <mergeCell ref="E44:E45"/>
    <mergeCell ref="F44:F45"/>
    <mergeCell ref="A46:A47"/>
    <mergeCell ref="D46:D47"/>
    <mergeCell ref="E46:E47"/>
    <mergeCell ref="F46:F47"/>
    <mergeCell ref="A40:A41"/>
    <mergeCell ref="D40:D41"/>
    <mergeCell ref="E40:E41"/>
    <mergeCell ref="F40:F41"/>
    <mergeCell ref="A42:A43"/>
    <mergeCell ref="D42:D43"/>
    <mergeCell ref="E42:E43"/>
    <mergeCell ref="G40:G41"/>
    <mergeCell ref="G42:G43"/>
    <mergeCell ref="G44:G45"/>
    <mergeCell ref="G46:G47"/>
    <mergeCell ref="G48:G49"/>
    <mergeCell ref="H40:H41"/>
    <mergeCell ref="H42:H43"/>
    <mergeCell ref="H44:H45"/>
    <mergeCell ref="H46:H47"/>
    <mergeCell ref="H48:H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4"/>
  <sheetViews>
    <sheetView workbookViewId="0">
      <selection activeCell="E17" sqref="E17:I24"/>
    </sheetView>
  </sheetViews>
  <sheetFormatPr defaultRowHeight="12" customHeight="1" x14ac:dyDescent="0.25"/>
  <sheetData>
    <row r="4" spans="3:9" ht="18" customHeight="1" x14ac:dyDescent="0.25">
      <c r="C4" s="70"/>
      <c r="D4" s="66"/>
      <c r="E4" s="15"/>
      <c r="F4" s="67"/>
      <c r="G4" s="67"/>
      <c r="H4" s="67"/>
    </row>
    <row r="5" spans="3:9" ht="12" customHeight="1" x14ac:dyDescent="0.25">
      <c r="C5" s="70"/>
      <c r="D5" s="66"/>
      <c r="E5" s="15"/>
      <c r="F5" s="67"/>
      <c r="G5" s="67"/>
      <c r="H5" s="67"/>
    </row>
    <row r="6" spans="3:9" ht="18" customHeight="1" x14ac:dyDescent="0.25">
      <c r="C6" s="70"/>
      <c r="D6" s="66"/>
      <c r="E6" s="15"/>
      <c r="F6" s="67"/>
      <c r="G6" s="67"/>
      <c r="H6" s="67"/>
    </row>
    <row r="7" spans="3:9" ht="12" customHeight="1" x14ac:dyDescent="0.25">
      <c r="C7" s="70"/>
      <c r="D7" s="66"/>
      <c r="E7" s="15"/>
      <c r="F7" s="67"/>
      <c r="G7" s="67"/>
      <c r="H7" s="67"/>
    </row>
    <row r="8" spans="3:9" ht="18" customHeight="1" x14ac:dyDescent="0.25">
      <c r="C8" s="70"/>
      <c r="D8" s="66"/>
      <c r="E8" s="15"/>
      <c r="F8" s="67"/>
      <c r="G8" s="67"/>
      <c r="H8" s="67"/>
    </row>
    <row r="9" spans="3:9" ht="12" customHeight="1" x14ac:dyDescent="0.25">
      <c r="C9" s="70"/>
      <c r="D9" s="66"/>
      <c r="E9" s="15"/>
      <c r="F9" s="67"/>
      <c r="G9" s="67"/>
      <c r="H9" s="67"/>
    </row>
    <row r="10" spans="3:9" ht="18" customHeight="1" x14ac:dyDescent="0.25">
      <c r="C10" s="70"/>
      <c r="D10" s="66"/>
      <c r="E10" s="15"/>
      <c r="F10" s="67"/>
      <c r="G10" s="67"/>
      <c r="H10" s="67"/>
    </row>
    <row r="11" spans="3:9" ht="12" customHeight="1" x14ac:dyDescent="0.25">
      <c r="C11" s="70"/>
      <c r="D11" s="66"/>
      <c r="E11" s="15"/>
      <c r="F11" s="67"/>
      <c r="G11" s="67"/>
      <c r="H11" s="67"/>
    </row>
    <row r="12" spans="3:9" ht="18" customHeight="1" x14ac:dyDescent="0.25"/>
    <row r="15" spans="3:9" ht="18" customHeight="1" x14ac:dyDescent="0.25">
      <c r="D15" s="70">
        <v>43200.632488425923</v>
      </c>
      <c r="E15" s="66">
        <v>43200</v>
      </c>
      <c r="F15" s="15" t="s">
        <v>1033</v>
      </c>
      <c r="G15" s="67" t="s">
        <v>781</v>
      </c>
      <c r="H15" s="67" t="s">
        <v>1035</v>
      </c>
      <c r="I15" s="67" t="s">
        <v>1036</v>
      </c>
    </row>
    <row r="16" spans="3:9" ht="12" customHeight="1" x14ac:dyDescent="0.25">
      <c r="D16" s="70"/>
      <c r="E16" s="66"/>
      <c r="F16" s="15" t="s">
        <v>1034</v>
      </c>
      <c r="G16" s="67"/>
      <c r="H16" s="67"/>
      <c r="I16" s="67"/>
    </row>
    <row r="17" spans="4:9" ht="18" customHeight="1" x14ac:dyDescent="0.25">
      <c r="D17" s="70">
        <v>43200.647245370368</v>
      </c>
      <c r="E17" s="66">
        <v>43200</v>
      </c>
      <c r="F17" s="15" t="s">
        <v>657</v>
      </c>
      <c r="G17" s="67" t="s">
        <v>1037</v>
      </c>
      <c r="H17" s="67" t="s">
        <v>781</v>
      </c>
      <c r="I17" s="67" t="s">
        <v>1038</v>
      </c>
    </row>
    <row r="18" spans="4:9" ht="12" customHeight="1" x14ac:dyDescent="0.25">
      <c r="D18" s="70"/>
      <c r="E18" s="66"/>
      <c r="F18" s="15" t="s">
        <v>658</v>
      </c>
      <c r="G18" s="67"/>
      <c r="H18" s="67"/>
      <c r="I18" s="67"/>
    </row>
    <row r="19" spans="4:9" ht="18" customHeight="1" x14ac:dyDescent="0.25">
      <c r="D19" s="70">
        <v>43200.647268518522</v>
      </c>
      <c r="E19" s="66">
        <v>43200</v>
      </c>
      <c r="F19" s="15" t="s">
        <v>756</v>
      </c>
      <c r="G19" s="67" t="s">
        <v>1039</v>
      </c>
      <c r="H19" s="67" t="s">
        <v>781</v>
      </c>
      <c r="I19" s="67" t="s">
        <v>1040</v>
      </c>
    </row>
    <row r="20" spans="4:9" ht="12" customHeight="1" x14ac:dyDescent="0.25">
      <c r="D20" s="70"/>
      <c r="E20" s="66"/>
      <c r="F20" s="15" t="s">
        <v>757</v>
      </c>
      <c r="G20" s="67"/>
      <c r="H20" s="67"/>
      <c r="I20" s="67"/>
    </row>
    <row r="21" spans="4:9" ht="18" customHeight="1" x14ac:dyDescent="0.25">
      <c r="D21" s="70">
        <v>43200.647291666668</v>
      </c>
      <c r="E21" s="66">
        <v>43200</v>
      </c>
      <c r="F21" s="15" t="s">
        <v>1041</v>
      </c>
      <c r="G21" s="67" t="s">
        <v>1042</v>
      </c>
      <c r="H21" s="67" t="s">
        <v>781</v>
      </c>
      <c r="I21" s="67" t="s">
        <v>1043</v>
      </c>
    </row>
    <row r="22" spans="4:9" ht="12" customHeight="1" x14ac:dyDescent="0.25">
      <c r="D22" s="70"/>
      <c r="E22" s="66"/>
      <c r="F22" s="15" t="s">
        <v>894</v>
      </c>
      <c r="G22" s="67"/>
      <c r="H22" s="67"/>
      <c r="I22" s="67"/>
    </row>
    <row r="23" spans="4:9" ht="18" customHeight="1" x14ac:dyDescent="0.25">
      <c r="D23" s="70">
        <v>43200.647326388891</v>
      </c>
      <c r="E23" s="66">
        <v>43200</v>
      </c>
      <c r="F23" s="15" t="s">
        <v>1044</v>
      </c>
      <c r="G23" s="67" t="s">
        <v>1046</v>
      </c>
      <c r="H23" s="67" t="s">
        <v>781</v>
      </c>
      <c r="I23" s="67" t="s">
        <v>1047</v>
      </c>
    </row>
    <row r="24" spans="4:9" ht="12" customHeight="1" x14ac:dyDescent="0.25">
      <c r="D24" s="70"/>
      <c r="E24" s="66"/>
      <c r="F24" s="15" t="s">
        <v>1045</v>
      </c>
      <c r="G24" s="67"/>
      <c r="H24" s="67"/>
      <c r="I24" s="67"/>
    </row>
  </sheetData>
  <mergeCells count="45">
    <mergeCell ref="D23:D24"/>
    <mergeCell ref="E23:E24"/>
    <mergeCell ref="G23:G24"/>
    <mergeCell ref="H23:H24"/>
    <mergeCell ref="I23:I24"/>
    <mergeCell ref="D21:D22"/>
    <mergeCell ref="E21:E22"/>
    <mergeCell ref="G21:G22"/>
    <mergeCell ref="H21:H22"/>
    <mergeCell ref="I21:I22"/>
    <mergeCell ref="D19:D20"/>
    <mergeCell ref="E19:E20"/>
    <mergeCell ref="G19:G20"/>
    <mergeCell ref="H19:H20"/>
    <mergeCell ref="I19:I20"/>
    <mergeCell ref="D17:D18"/>
    <mergeCell ref="E17:E18"/>
    <mergeCell ref="G17:G18"/>
    <mergeCell ref="H17:H18"/>
    <mergeCell ref="I17:I18"/>
    <mergeCell ref="D15:D16"/>
    <mergeCell ref="E15:E16"/>
    <mergeCell ref="G15:G16"/>
    <mergeCell ref="H15:H16"/>
    <mergeCell ref="I15:I16"/>
    <mergeCell ref="G10:G11"/>
    <mergeCell ref="H10:H11"/>
    <mergeCell ref="D8:D9"/>
    <mergeCell ref="G8:G9"/>
    <mergeCell ref="H8:H9"/>
    <mergeCell ref="G6:G7"/>
    <mergeCell ref="H6:H7"/>
    <mergeCell ref="D4:D5"/>
    <mergeCell ref="G4:G5"/>
    <mergeCell ref="H4:H5"/>
    <mergeCell ref="C10:C11"/>
    <mergeCell ref="F10:F11"/>
    <mergeCell ref="C4:C5"/>
    <mergeCell ref="F4:F5"/>
    <mergeCell ref="C6:C7"/>
    <mergeCell ref="F6:F7"/>
    <mergeCell ref="C8:C9"/>
    <mergeCell ref="F8:F9"/>
    <mergeCell ref="D6:D7"/>
    <mergeCell ref="D10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Maret</vt:lpstr>
      <vt:lpstr>BRI-Apr</vt:lpstr>
      <vt:lpstr>Mandiri-Apr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2018-04-11T11:15:38Z</dcterms:modified>
</cp:coreProperties>
</file>